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24226"/>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39B05033-D599-B04A-8E4A-5254878E7B81}" xr6:coauthVersionLast="47" xr6:coauthVersionMax="47" xr10:uidLastSave="{00000000-0000-0000-0000-000000000000}"/>
  <bookViews>
    <workbookView xWindow="0" yWindow="760" windowWidth="34560" windowHeight="20860" tabRatio="684" firstSheet="4" activeTab="4" xr2:uid="{00000000-000D-0000-FFFF-FFFF00000000}"/>
  </bookViews>
  <sheets>
    <sheet name="Failures" sheetId="48" r:id="rId1"/>
    <sheet name="Master Pipeline" sheetId="54" r:id="rId2"/>
    <sheet name="Approved Products" sheetId="55" r:id="rId3"/>
    <sheet name="Management" sheetId="47" r:id="rId4"/>
    <sheet name="Main" sheetId="19" r:id="rId5"/>
    <sheet name="Model" sheetId="7" r:id="rId6"/>
    <sheet name="Comirnaty" sheetId="56" r:id="rId7"/>
    <sheet name="Ibrance" sheetId="57" r:id="rId8"/>
    <sheet name="Enbrel" sheetId="51" r:id="rId9"/>
    <sheet name="Paxlovid" sheetId="58" r:id="rId10"/>
    <sheet name="Eliquis" sheetId="36" r:id="rId11"/>
    <sheet name="Prevnar" sheetId="50" r:id="rId12"/>
    <sheet name="Inlyta" sheetId="17" r:id="rId13"/>
    <sheet name="Xeljanz" sheetId="33" r:id="rId14"/>
    <sheet name="Chantix" sheetId="21" r:id="rId15"/>
    <sheet name="Chantix Model" sheetId="40" r:id="rId16"/>
    <sheet name="Lorbrena" sheetId="62" r:id="rId17"/>
    <sheet name="Xalkori" sheetId="52" r:id="rId18"/>
    <sheet name="Myfembree" sheetId="59" r:id="rId19"/>
    <sheet name="etrasimod" sheetId="61" r:id="rId20"/>
    <sheet name="elranatamab" sheetId="60" r:id="rId21"/>
    <sheet name="giroctocogene" sheetId="64" r:id="rId22"/>
    <sheet name="PF-06425090" sheetId="65" r:id="rId23"/>
    <sheet name="VLA15" sheetId="66" r:id="rId24"/>
    <sheet name="Sutent" sheetId="16" r:id="rId25"/>
    <sheet name="Diflucan" sheetId="23" r:id="rId26"/>
    <sheet name="Cardura" sheetId="42" r:id="rId27"/>
    <sheet name="Vfend" sheetId="24" r:id="rId28"/>
    <sheet name="Zyvox" sheetId="25" r:id="rId29"/>
    <sheet name="Selzentry" sheetId="30" r:id="rId30"/>
    <sheet name="PF868554" sheetId="46" r:id="rId31"/>
    <sheet name="Aricept" sheetId="49" r:id="rId32"/>
    <sheet name="Zithromax" sheetId="22" r:id="rId33"/>
    <sheet name="fordadistrogene" sheetId="63" r:id="rId34"/>
    <sheet name="Genotropin" sheetId="31" r:id="rId35"/>
    <sheet name="Accupril" sheetId="32" r:id="rId36"/>
    <sheet name="Fablyn" sheetId="45" r:id="rId37"/>
    <sheet name="tanezumab" sheetId="44" r:id="rId38"/>
    <sheet name="Acquisitions" sheetId="41" r:id="rId39"/>
    <sheet name="IP" sheetId="53" r:id="rId40"/>
  </sheets>
  <externalReferences>
    <externalReference r:id="rId41"/>
    <externalReference r:id="rId42"/>
    <externalReference r:id="rId43"/>
  </externalReferences>
  <definedNames>
    <definedName name="_1_0EBITDA_Sh">#REF!</definedName>
    <definedName name="_2_0NOPAT_Sh">#REF!</definedName>
    <definedName name="_3_._0Gross_inc_gro">#REF!</definedName>
    <definedName name="_4_._0Restructuring_char">#REF!</definedName>
    <definedName name="_5_._0SGA_gro">#REF!</definedName>
    <definedName name="_6_._0Shares_repurchase_liabil">#REF!</definedName>
    <definedName name="_7_3_0Income_before_ta">#REF!</definedName>
    <definedName name="_8_3_0Increase_in_other_liabilit">#REF!</definedName>
    <definedName name="_9_3_0Other_Segment_Reven">#REF!</definedName>
    <definedName name="_QP2">#REF!</definedName>
    <definedName name="\a">[1]ROCHE!#REF!</definedName>
    <definedName name="\p">[1]ROCHE!#REF!</definedName>
    <definedName name="\q">[1]ROCHE!#REF!</definedName>
    <definedName name="\r">[1]ROCHE!#REF!</definedName>
    <definedName name="\s">[1]ROCHE!#REF!</definedName>
    <definedName name="\t">[1]ROCHE!#REF!</definedName>
    <definedName name="\u">[1]ROCHE!#REF!</definedName>
    <definedName name="\v">[1]ROCHE!#REF!</definedName>
    <definedName name="\x">[1]ROCHE!#REF!</definedName>
    <definedName name="Adjusted_EPS">[2]Figures!#REF!</definedName>
    <definedName name="Choices_Wrapper">[3]!Choices_Wrapper</definedName>
    <definedName name="Company_reported_exceptionals">[2]Figures!#REF!</definedName>
    <definedName name="Current_cost_adjusted_net_income">[2]Figures!#REF!</definedName>
    <definedName name="Debt_Market_Cap_Ratio">#REF!</definedName>
    <definedName name="DivisionSales">[1]ROCHE!#REF!</definedName>
    <definedName name="EG_DPS">[2]projections!#REF!</definedName>
    <definedName name="EG_Net_Profit">[2]projections!#REF!</definedName>
    <definedName name="EPS">[2]Figures!#REF!</definedName>
    <definedName name="Exceptionals">[2]Figures!#REF!</definedName>
    <definedName name="Exchange">[1]Valuation!$A$1:$I$12</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P_280_1_aSrv" hidden="1">#REF!</definedName>
    <definedName name="FDP_281_1_aSrv" hidden="1">#REF!</definedName>
    <definedName name="FDP_282_1_aSrv" hidden="1">#REF!</definedName>
    <definedName name="FDP_283_1_aSrv" hidden="1">#REF!</definedName>
    <definedName name="FixedAssets">[1]Valuation!$A$1:$V$51</definedName>
    <definedName name="ForecastVersion">#REF!</definedName>
    <definedName name="GenentechFrom1996">[1]ROCHE!#REF!</definedName>
    <definedName name="GenentechTo1995">[1]ROCHE!#REF!</definedName>
    <definedName name="Geographic">[1]ROCHE!#REF!</definedName>
    <definedName name="graphdata">#REF!</definedName>
    <definedName name="Loan_Loss_Provision_fore">#REF!</definedName>
    <definedName name="M_PlaceofPath" hidden="1">"\\snyceqt0301\vdf$\tmp\blabla"</definedName>
    <definedName name="NetDebtPerShare">[2]projections!#REF!</definedName>
    <definedName name="Number_of_Shares">#REF!</definedName>
    <definedName name="Off_B_S_Income_fore">#REF!</definedName>
    <definedName name="Off_B_S_Income_growth_fore">#REF!</definedName>
    <definedName name="Partial_year">#REF!</definedName>
    <definedName name="Patent">[1]Valuation!#REF!</definedName>
    <definedName name="Payout_ratio_on_underlying">[2]Figures!#REF!</definedName>
    <definedName name="Post_tax_stock_gains_losses">[2]Figures!#REF!</definedName>
    <definedName name="Products">[1]ROCHE!#REF!</definedName>
    <definedName name="quarter">#REF!</definedName>
    <definedName name="Reported_net_income">[2]Figures!#REF!</definedName>
    <definedName name="ResearchForecasts">#REF!</definedName>
    <definedName name="SalesAndOperatingDivisions">[1]ROCHE!#REF!</definedName>
    <definedName name="Schroder_exceptionals">[2]Figures!#REF!</definedName>
    <definedName name="Segment1_income_fore">#REF!</definedName>
    <definedName name="Segment1_income_growth_fore">#REF!</definedName>
    <definedName name="Segment2_income_fore">#REF!</definedName>
    <definedName name="Segment2_income_growth_fore">#REF!</definedName>
    <definedName name="Share_Price">#REF!</definedName>
    <definedName name="summary">#REF!</definedName>
    <definedName name="Value_of_Equity">#REF!</definedName>
    <definedName name="WWSalesQuarter">#REF!</definedName>
    <definedName name="WWSalesYear">#REF!</definedName>
    <definedName name="year">#REF!</definedName>
    <definedName name="yt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6" i="19" l="1"/>
  <c r="K5" i="19"/>
  <c r="DH147" i="7"/>
  <c r="DH171" i="7"/>
  <c r="DH166" i="7"/>
  <c r="DH158" i="7"/>
  <c r="DH156" i="7"/>
  <c r="DH155" i="7"/>
  <c r="DH154" i="7"/>
  <c r="DH148" i="7"/>
  <c r="DH151" i="7"/>
  <c r="DD101" i="7"/>
  <c r="EY45" i="7"/>
  <c r="EY44" i="7"/>
  <c r="DC102" i="7"/>
  <c r="DG102" i="7"/>
  <c r="DH102" i="7"/>
  <c r="DH113" i="7" s="1"/>
  <c r="DG113" i="7"/>
  <c r="EV126" i="7"/>
  <c r="EV119" i="7"/>
  <c r="EV117" i="7"/>
  <c r="EV116" i="7"/>
  <c r="EV114" i="7"/>
  <c r="EV112" i="7"/>
  <c r="EW126" i="7"/>
  <c r="EW117" i="7"/>
  <c r="EW116" i="7"/>
  <c r="EW114" i="7"/>
  <c r="EX126" i="7"/>
  <c r="EY119" i="7"/>
  <c r="EZ119" i="7" s="1"/>
  <c r="FA119" i="7" s="1"/>
  <c r="FB119" i="7" s="1"/>
  <c r="FC119" i="7" s="1"/>
  <c r="FD119" i="7" s="1"/>
  <c r="FE119" i="7" s="1"/>
  <c r="FF119" i="7" s="1"/>
  <c r="EX117" i="7"/>
  <c r="EX116" i="7"/>
  <c r="EX114" i="7"/>
  <c r="DC116" i="7"/>
  <c r="DC139" i="7" s="1"/>
  <c r="DD116" i="7"/>
  <c r="DD139" i="7" s="1"/>
  <c r="DE116" i="7"/>
  <c r="DE139" i="7" s="1"/>
  <c r="DF116" i="7"/>
  <c r="DC117" i="7"/>
  <c r="DD117" i="7"/>
  <c r="DE117" i="7"/>
  <c r="DF117" i="7"/>
  <c r="DB123" i="7"/>
  <c r="CJ113" i="7"/>
  <c r="ER141" i="7"/>
  <c r="ES141" i="7"/>
  <c r="EY112" i="7"/>
  <c r="EY111" i="7"/>
  <c r="EY110" i="7"/>
  <c r="EY109" i="7"/>
  <c r="EY108" i="7"/>
  <c r="EY107" i="7"/>
  <c r="EY106" i="7"/>
  <c r="EY100" i="7"/>
  <c r="EY99" i="7"/>
  <c r="EY98" i="7"/>
  <c r="EY97" i="7"/>
  <c r="EY96" i="7"/>
  <c r="EY95" i="7"/>
  <c r="EY94" i="7"/>
  <c r="EY93" i="7"/>
  <c r="EY92" i="7"/>
  <c r="EY91" i="7"/>
  <c r="EY90" i="7"/>
  <c r="EY89" i="7"/>
  <c r="EY88" i="7"/>
  <c r="EY87" i="7"/>
  <c r="EY86" i="7"/>
  <c r="EY85" i="7"/>
  <c r="EY84" i="7"/>
  <c r="EY83" i="7"/>
  <c r="EY82" i="7"/>
  <c r="EY81" i="7"/>
  <c r="EY80" i="7"/>
  <c r="EY79" i="7"/>
  <c r="EY78" i="7"/>
  <c r="EY77" i="7"/>
  <c r="EY76" i="7"/>
  <c r="EY75" i="7"/>
  <c r="EY74" i="7"/>
  <c r="EY73" i="7"/>
  <c r="EY72" i="7"/>
  <c r="EY71" i="7"/>
  <c r="EY70" i="7"/>
  <c r="EY69" i="7"/>
  <c r="EY68" i="7"/>
  <c r="EY67" i="7"/>
  <c r="EY66" i="7"/>
  <c r="EY65" i="7"/>
  <c r="EY64" i="7"/>
  <c r="EY63" i="7"/>
  <c r="EY62" i="7"/>
  <c r="EY61" i="7"/>
  <c r="EY60" i="7"/>
  <c r="EY59" i="7"/>
  <c r="EY58" i="7"/>
  <c r="EY57" i="7"/>
  <c r="EU112" i="7"/>
  <c r="EU111" i="7"/>
  <c r="EU110" i="7"/>
  <c r="EU109" i="7"/>
  <c r="EU108" i="7"/>
  <c r="EU107" i="7"/>
  <c r="EU106" i="7"/>
  <c r="EU105" i="7"/>
  <c r="EU103" i="7"/>
  <c r="EU102" i="7"/>
  <c r="EU101" i="7"/>
  <c r="EU100" i="7"/>
  <c r="EU99" i="7"/>
  <c r="EU98" i="7"/>
  <c r="EU97" i="7"/>
  <c r="EU96" i="7"/>
  <c r="EU95" i="7"/>
  <c r="EU94" i="7"/>
  <c r="EU93" i="7"/>
  <c r="EU92" i="7"/>
  <c r="EU91" i="7"/>
  <c r="EU90" i="7"/>
  <c r="EU89" i="7"/>
  <c r="EU88" i="7"/>
  <c r="EU87" i="7"/>
  <c r="EU86" i="7"/>
  <c r="EU85" i="7"/>
  <c r="EU84" i="7"/>
  <c r="EU83" i="7"/>
  <c r="EU82" i="7"/>
  <c r="EU81" i="7"/>
  <c r="EU80" i="7"/>
  <c r="EU79" i="7"/>
  <c r="EU78" i="7"/>
  <c r="EU77" i="7"/>
  <c r="EU76" i="7"/>
  <c r="EU75" i="7"/>
  <c r="EU74" i="7"/>
  <c r="EU73" i="7"/>
  <c r="EU72" i="7"/>
  <c r="EU71" i="7"/>
  <c r="EU70" i="7"/>
  <c r="EU69" i="7"/>
  <c r="EU68" i="7"/>
  <c r="EU67" i="7"/>
  <c r="EU66" i="7"/>
  <c r="EU65" i="7"/>
  <c r="EU64" i="7"/>
  <c r="EU63" i="7"/>
  <c r="EU62" i="7"/>
  <c r="EU61" i="7"/>
  <c r="EU60" i="7"/>
  <c r="EU59" i="7"/>
  <c r="EU58" i="7"/>
  <c r="EU57" i="7"/>
  <c r="EU56" i="7"/>
  <c r="EU55" i="7"/>
  <c r="EU54" i="7"/>
  <c r="EU50" i="7"/>
  <c r="EU49" i="7"/>
  <c r="EU48" i="7"/>
  <c r="EU47" i="7"/>
  <c r="EU46" i="7"/>
  <c r="EU43" i="7"/>
  <c r="EU42" i="7"/>
  <c r="EU41" i="7"/>
  <c r="EU40" i="7"/>
  <c r="EU38" i="7"/>
  <c r="EU37" i="7"/>
  <c r="EU36" i="7"/>
  <c r="EU35" i="7"/>
  <c r="EU34" i="7"/>
  <c r="EU33" i="7"/>
  <c r="EU32" i="7"/>
  <c r="EU31" i="7"/>
  <c r="EU30" i="7"/>
  <c r="EU29" i="7"/>
  <c r="EU28" i="7"/>
  <c r="EU27" i="7"/>
  <c r="EU25" i="7"/>
  <c r="EU24" i="7"/>
  <c r="EU23" i="7"/>
  <c r="EU22" i="7"/>
  <c r="EU21" i="7"/>
  <c r="EU20" i="7"/>
  <c r="EU19" i="7"/>
  <c r="EU16" i="7"/>
  <c r="EU13" i="7"/>
  <c r="EU11" i="7"/>
  <c r="EU10" i="7"/>
  <c r="EU9" i="7"/>
  <c r="EU8" i="7"/>
  <c r="EU7" i="7"/>
  <c r="EU6" i="7"/>
  <c r="EU5" i="7"/>
  <c r="EU4" i="7"/>
  <c r="EU3" i="7"/>
  <c r="EV3" i="7"/>
  <c r="EV111" i="7"/>
  <c r="EV110" i="7"/>
  <c r="EV109" i="7"/>
  <c r="EV108" i="7"/>
  <c r="EV107" i="7"/>
  <c r="EV106" i="7"/>
  <c r="EV105" i="7"/>
  <c r="EV103" i="7"/>
  <c r="EV102" i="7"/>
  <c r="EV101" i="7"/>
  <c r="EV100" i="7"/>
  <c r="EV99" i="7"/>
  <c r="EV98" i="7"/>
  <c r="EV97" i="7"/>
  <c r="EV96" i="7"/>
  <c r="EV95" i="7"/>
  <c r="EV94" i="7"/>
  <c r="EV93" i="7"/>
  <c r="EV92" i="7"/>
  <c r="EV91" i="7"/>
  <c r="EV90" i="7"/>
  <c r="EV89" i="7"/>
  <c r="EV88" i="7"/>
  <c r="EV87" i="7"/>
  <c r="EV86" i="7"/>
  <c r="EV85" i="7"/>
  <c r="EV84" i="7"/>
  <c r="EV83" i="7"/>
  <c r="EV82" i="7"/>
  <c r="EV81" i="7"/>
  <c r="EV80" i="7"/>
  <c r="EV79" i="7"/>
  <c r="EV78" i="7"/>
  <c r="EV77" i="7"/>
  <c r="EV76" i="7"/>
  <c r="EV75" i="7"/>
  <c r="EV74" i="7"/>
  <c r="EV73" i="7"/>
  <c r="EV72" i="7"/>
  <c r="EV71" i="7"/>
  <c r="EV70" i="7"/>
  <c r="EV69" i="7"/>
  <c r="EV68" i="7"/>
  <c r="EV67" i="7"/>
  <c r="EV66" i="7"/>
  <c r="EV65" i="7"/>
  <c r="EV64" i="7"/>
  <c r="EV63" i="7"/>
  <c r="EV62" i="7"/>
  <c r="EV61" i="7"/>
  <c r="EV60" i="7"/>
  <c r="EV59" i="7"/>
  <c r="EV58" i="7"/>
  <c r="EV57" i="7"/>
  <c r="EV56" i="7"/>
  <c r="EV55" i="7"/>
  <c r="EV54" i="7"/>
  <c r="EV50" i="7"/>
  <c r="EV49" i="7"/>
  <c r="EV48" i="7"/>
  <c r="EV47" i="7"/>
  <c r="EV46" i="7"/>
  <c r="EV43" i="7"/>
  <c r="EV42" i="7"/>
  <c r="EV41" i="7"/>
  <c r="EV40" i="7"/>
  <c r="EV38" i="7"/>
  <c r="EV37" i="7"/>
  <c r="EV36" i="7"/>
  <c r="EV35" i="7"/>
  <c r="EV34" i="7"/>
  <c r="EV33" i="7"/>
  <c r="EV32" i="7"/>
  <c r="EV31" i="7"/>
  <c r="EV30" i="7"/>
  <c r="EV29" i="7"/>
  <c r="EV28" i="7"/>
  <c r="EV27" i="7"/>
  <c r="EV25" i="7"/>
  <c r="EV24" i="7"/>
  <c r="EV23" i="7"/>
  <c r="EV22" i="7"/>
  <c r="EV21" i="7"/>
  <c r="EV20" i="7"/>
  <c r="EV19" i="7"/>
  <c r="EV16" i="7"/>
  <c r="EV13" i="7"/>
  <c r="EV11" i="7"/>
  <c r="EV10" i="7"/>
  <c r="EV9" i="7"/>
  <c r="EV8" i="7"/>
  <c r="EV7" i="7"/>
  <c r="EV6" i="7"/>
  <c r="EV5" i="7"/>
  <c r="EV4" i="7"/>
  <c r="CK123" i="7"/>
  <c r="CO123" i="7"/>
  <c r="CS142" i="7"/>
  <c r="CR142" i="7"/>
  <c r="CQ142" i="7"/>
  <c r="CP142" i="7"/>
  <c r="CO142" i="7"/>
  <c r="CS141" i="7"/>
  <c r="CR141" i="7"/>
  <c r="CQ141" i="7"/>
  <c r="CP141" i="7"/>
  <c r="CO141" i="7"/>
  <c r="CS140" i="7"/>
  <c r="CR140" i="7"/>
  <c r="CQ140" i="7"/>
  <c r="CP140" i="7"/>
  <c r="CO140" i="7"/>
  <c r="CS139" i="7"/>
  <c r="CR139" i="7"/>
  <c r="CQ139" i="7"/>
  <c r="CP139" i="7"/>
  <c r="CO139" i="7"/>
  <c r="CK104" i="7"/>
  <c r="CK113" i="7" s="1"/>
  <c r="CK115" i="7" s="1"/>
  <c r="CK118" i="7" s="1"/>
  <c r="CO104" i="7"/>
  <c r="CO113" i="7" s="1"/>
  <c r="CO130" i="7" s="1"/>
  <c r="CT142" i="7"/>
  <c r="CT141" i="7"/>
  <c r="CT140" i="7"/>
  <c r="CT139" i="7"/>
  <c r="CP123" i="7"/>
  <c r="CL104" i="7"/>
  <c r="CL113" i="7" s="1"/>
  <c r="CL129" i="7" s="1"/>
  <c r="CM104" i="7"/>
  <c r="CM113" i="7" s="1"/>
  <c r="CP104" i="7"/>
  <c r="CP113" i="7" s="1"/>
  <c r="CM123" i="7"/>
  <c r="CU142" i="7"/>
  <c r="CU141" i="7"/>
  <c r="CU140" i="7"/>
  <c r="CU139" i="7"/>
  <c r="CQ123" i="7"/>
  <c r="CQ104" i="7"/>
  <c r="CQ113" i="7" s="1"/>
  <c r="CQ115" i="7" s="1"/>
  <c r="CQ118" i="7" s="1"/>
  <c r="CQ122" i="7" s="1"/>
  <c r="CN123" i="7"/>
  <c r="CR123" i="7"/>
  <c r="CV142" i="7"/>
  <c r="CV141" i="7"/>
  <c r="CV140" i="7"/>
  <c r="CV139" i="7"/>
  <c r="CZ142" i="7"/>
  <c r="CY142" i="7"/>
  <c r="CX142" i="7"/>
  <c r="CW142" i="7"/>
  <c r="DA142" i="7"/>
  <c r="CZ141" i="7"/>
  <c r="CY141" i="7"/>
  <c r="CX141" i="7"/>
  <c r="CW141" i="7"/>
  <c r="DA141" i="7"/>
  <c r="CZ140" i="7"/>
  <c r="CY140" i="7"/>
  <c r="CX140" i="7"/>
  <c r="CW140" i="7"/>
  <c r="DA140" i="7"/>
  <c r="DA123" i="7"/>
  <c r="CW123" i="7"/>
  <c r="EW123" i="7" s="1"/>
  <c r="CW139" i="7"/>
  <c r="CX139" i="7"/>
  <c r="CY139" i="7"/>
  <c r="CZ139" i="7"/>
  <c r="DA139" i="7"/>
  <c r="DB139" i="7"/>
  <c r="CY186" i="7"/>
  <c r="CZ186" i="7" s="1"/>
  <c r="DA186" i="7" s="1"/>
  <c r="CZ187" i="7"/>
  <c r="DA187" i="7" s="1"/>
  <c r="CZ185" i="7"/>
  <c r="DA185" i="7" s="1"/>
  <c r="CZ194" i="7"/>
  <c r="DA194" i="7" s="1"/>
  <c r="CZ193" i="7"/>
  <c r="DA193" i="7" s="1"/>
  <c r="CY191" i="7"/>
  <c r="CY195" i="7" s="1"/>
  <c r="CZ191" i="7"/>
  <c r="CZ192" i="7"/>
  <c r="DA192" i="7" s="1"/>
  <c r="CY183" i="7"/>
  <c r="CY199" i="7" s="1"/>
  <c r="CZ182" i="7"/>
  <c r="CZ180" i="7"/>
  <c r="DA180" i="7" s="1"/>
  <c r="CZ179" i="7"/>
  <c r="DA179" i="7" s="1"/>
  <c r="CZ178" i="7"/>
  <c r="DA178" i="7" s="1"/>
  <c r="CZ177" i="7"/>
  <c r="DA177" i="7" s="1"/>
  <c r="CZ176" i="7"/>
  <c r="DA176" i="7" s="1"/>
  <c r="CZ175" i="7"/>
  <c r="DA175" i="7" s="1"/>
  <c r="CZ174" i="7"/>
  <c r="DA174" i="7" s="1"/>
  <c r="DA165" i="7"/>
  <c r="DA158" i="7"/>
  <c r="DA154" i="7"/>
  <c r="DA148" i="7"/>
  <c r="DA151" i="7"/>
  <c r="CZ165" i="7"/>
  <c r="CZ158" i="7"/>
  <c r="CZ154" i="7"/>
  <c r="CZ151" i="7"/>
  <c r="CZ148" i="7"/>
  <c r="DC126" i="7"/>
  <c r="DD126" i="7" s="1"/>
  <c r="DE126" i="7" s="1"/>
  <c r="DF126" i="7" s="1"/>
  <c r="DC104" i="7"/>
  <c r="CX113" i="7"/>
  <c r="CU119" i="7"/>
  <c r="CY119" i="7"/>
  <c r="EW139" i="7" l="1"/>
  <c r="EX123" i="7"/>
  <c r="EY126" i="7"/>
  <c r="EZ126" i="7" s="1"/>
  <c r="FA126" i="7" s="1"/>
  <c r="FB126" i="7" s="1"/>
  <c r="EY117" i="7"/>
  <c r="EZ117" i="7" s="1"/>
  <c r="EY116" i="7"/>
  <c r="EZ116" i="7" s="1"/>
  <c r="EY139" i="7"/>
  <c r="EV123" i="7"/>
  <c r="EX139" i="7"/>
  <c r="FC126" i="7"/>
  <c r="EY14" i="7"/>
  <c r="EZ14" i="7" s="1"/>
  <c r="EY33" i="7"/>
  <c r="EZ33" i="7" s="1"/>
  <c r="FA33" i="7" s="1"/>
  <c r="FB33" i="7" s="1"/>
  <c r="FC33" i="7" s="1"/>
  <c r="FD33" i="7" s="1"/>
  <c r="FE33" i="7" s="1"/>
  <c r="FF33" i="7" s="1"/>
  <c r="FG33" i="7" s="1"/>
  <c r="FH33" i="7" s="1"/>
  <c r="FI33" i="7" s="1"/>
  <c r="FJ33" i="7" s="1"/>
  <c r="FK33" i="7" s="1"/>
  <c r="EY31" i="7"/>
  <c r="EZ31" i="7" s="1"/>
  <c r="FA31" i="7" s="1"/>
  <c r="FB31" i="7" s="1"/>
  <c r="FC31" i="7" s="1"/>
  <c r="FD31" i="7" s="1"/>
  <c r="FE31" i="7" s="1"/>
  <c r="FF31" i="7" s="1"/>
  <c r="FG31" i="7" s="1"/>
  <c r="FH31" i="7" s="1"/>
  <c r="FI31" i="7" s="1"/>
  <c r="FJ31" i="7" s="1"/>
  <c r="FK31" i="7" s="1"/>
  <c r="EV142" i="7"/>
  <c r="EY32" i="7"/>
  <c r="EZ32" i="7" s="1"/>
  <c r="FA32" i="7" s="1"/>
  <c r="FB32" i="7" s="1"/>
  <c r="FC32" i="7" s="1"/>
  <c r="FD32" i="7" s="1"/>
  <c r="FE32" i="7" s="1"/>
  <c r="FF32" i="7" s="1"/>
  <c r="FG32" i="7" s="1"/>
  <c r="FH32" i="7" s="1"/>
  <c r="FI32" i="7" s="1"/>
  <c r="FJ32" i="7" s="1"/>
  <c r="FK32" i="7" s="1"/>
  <c r="EV141" i="7"/>
  <c r="EY25" i="7"/>
  <c r="EZ25" i="7" s="1"/>
  <c r="FA25" i="7" s="1"/>
  <c r="FB25" i="7" s="1"/>
  <c r="FC25" i="7" s="1"/>
  <c r="FD25" i="7" s="1"/>
  <c r="FE25" i="7" s="1"/>
  <c r="FF25" i="7" s="1"/>
  <c r="FG25" i="7" s="1"/>
  <c r="FH25" i="7" s="1"/>
  <c r="FI25" i="7" s="1"/>
  <c r="FJ25" i="7" s="1"/>
  <c r="FK25" i="7" s="1"/>
  <c r="EV140" i="7"/>
  <c r="EY28" i="7"/>
  <c r="EZ28" i="7" s="1"/>
  <c r="FA28" i="7" s="1"/>
  <c r="FB28" i="7" s="1"/>
  <c r="FC28" i="7" s="1"/>
  <c r="FD28" i="7" s="1"/>
  <c r="FE28" i="7" s="1"/>
  <c r="FF28" i="7" s="1"/>
  <c r="FG28" i="7" s="1"/>
  <c r="FH28" i="7" s="1"/>
  <c r="FI28" i="7" s="1"/>
  <c r="FJ28" i="7" s="1"/>
  <c r="FK28" i="7" s="1"/>
  <c r="EY34" i="7"/>
  <c r="EZ34" i="7" s="1"/>
  <c r="FA34" i="7" s="1"/>
  <c r="FB34" i="7" s="1"/>
  <c r="FC34" i="7" s="1"/>
  <c r="FD34" i="7" s="1"/>
  <c r="FE34" i="7" s="1"/>
  <c r="FF34" i="7" s="1"/>
  <c r="FG34" i="7" s="1"/>
  <c r="FH34" i="7" s="1"/>
  <c r="FI34" i="7" s="1"/>
  <c r="FJ34" i="7" s="1"/>
  <c r="FK34" i="7" s="1"/>
  <c r="EY30" i="7"/>
  <c r="EZ30" i="7" s="1"/>
  <c r="FA30" i="7" s="1"/>
  <c r="FB30" i="7" s="1"/>
  <c r="FC30" i="7" s="1"/>
  <c r="FD30" i="7" s="1"/>
  <c r="FE30" i="7" s="1"/>
  <c r="FF30" i="7" s="1"/>
  <c r="FG30" i="7" s="1"/>
  <c r="FH30" i="7" s="1"/>
  <c r="FI30" i="7" s="1"/>
  <c r="FJ30" i="7" s="1"/>
  <c r="FK30" i="7" s="1"/>
  <c r="EY103" i="7"/>
  <c r="EZ103" i="7" s="1"/>
  <c r="FA103" i="7" s="1"/>
  <c r="FB103" i="7" s="1"/>
  <c r="FC103" i="7" s="1"/>
  <c r="FD103" i="7" s="1"/>
  <c r="FE103" i="7" s="1"/>
  <c r="FF103" i="7" s="1"/>
  <c r="FG103" i="7" s="1"/>
  <c r="FH103" i="7" s="1"/>
  <c r="FI103" i="7" s="1"/>
  <c r="FJ103" i="7" s="1"/>
  <c r="FK103" i="7" s="1"/>
  <c r="EY35" i="7"/>
  <c r="EZ35" i="7" s="1"/>
  <c r="FA35" i="7" s="1"/>
  <c r="FB35" i="7" s="1"/>
  <c r="FC35" i="7" s="1"/>
  <c r="FD35" i="7" s="1"/>
  <c r="FE35" i="7" s="1"/>
  <c r="FF35" i="7" s="1"/>
  <c r="FG35" i="7" s="1"/>
  <c r="FH35" i="7" s="1"/>
  <c r="FI35" i="7" s="1"/>
  <c r="FJ35" i="7" s="1"/>
  <c r="FK35" i="7" s="1"/>
  <c r="EY55" i="7"/>
  <c r="EZ55" i="7" s="1"/>
  <c r="FA55" i="7" s="1"/>
  <c r="FB55" i="7" s="1"/>
  <c r="FC55" i="7" s="1"/>
  <c r="FD55" i="7" s="1"/>
  <c r="FE55" i="7" s="1"/>
  <c r="FF55" i="7" s="1"/>
  <c r="FG55" i="7" s="1"/>
  <c r="FH55" i="7" s="1"/>
  <c r="FI55" i="7" s="1"/>
  <c r="FJ55" i="7" s="1"/>
  <c r="FK55" i="7" s="1"/>
  <c r="EY105" i="7"/>
  <c r="EZ105" i="7" s="1"/>
  <c r="FA105" i="7" s="1"/>
  <c r="FB105" i="7" s="1"/>
  <c r="FC105" i="7" s="1"/>
  <c r="FD105" i="7" s="1"/>
  <c r="FE105" i="7" s="1"/>
  <c r="FF105" i="7" s="1"/>
  <c r="FG105" i="7" s="1"/>
  <c r="FH105" i="7" s="1"/>
  <c r="FI105" i="7" s="1"/>
  <c r="FJ105" i="7" s="1"/>
  <c r="FK105" i="7" s="1"/>
  <c r="EY56" i="7"/>
  <c r="EZ56" i="7" s="1"/>
  <c r="FA56" i="7" s="1"/>
  <c r="FB56" i="7" s="1"/>
  <c r="FC56" i="7" s="1"/>
  <c r="FD56" i="7" s="1"/>
  <c r="FE56" i="7" s="1"/>
  <c r="FF56" i="7" s="1"/>
  <c r="FG56" i="7" s="1"/>
  <c r="FH56" i="7" s="1"/>
  <c r="FI56" i="7" s="1"/>
  <c r="FJ56" i="7" s="1"/>
  <c r="FK56" i="7" s="1"/>
  <c r="EY27" i="7"/>
  <c r="EZ27" i="7" s="1"/>
  <c r="FA27" i="7" s="1"/>
  <c r="FB27" i="7" s="1"/>
  <c r="FC27" i="7" s="1"/>
  <c r="FD27" i="7" s="1"/>
  <c r="FE27" i="7" s="1"/>
  <c r="FF27" i="7" s="1"/>
  <c r="FG27" i="7" s="1"/>
  <c r="FH27" i="7" s="1"/>
  <c r="FI27" i="7" s="1"/>
  <c r="FJ27" i="7" s="1"/>
  <c r="FK27" i="7" s="1"/>
  <c r="CP137" i="7"/>
  <c r="EY104" i="7"/>
  <c r="EZ104" i="7" s="1"/>
  <c r="FA104" i="7" s="1"/>
  <c r="FB104" i="7" s="1"/>
  <c r="FC104" i="7" s="1"/>
  <c r="FD104" i="7" s="1"/>
  <c r="FE104" i="7" s="1"/>
  <c r="FF104" i="7" s="1"/>
  <c r="FG104" i="7" s="1"/>
  <c r="FH104" i="7" s="1"/>
  <c r="FI104" i="7" s="1"/>
  <c r="FJ104" i="7" s="1"/>
  <c r="FK104" i="7" s="1"/>
  <c r="DA147" i="7"/>
  <c r="EX3" i="7"/>
  <c r="EY29" i="7"/>
  <c r="EZ29" i="7" s="1"/>
  <c r="FA29" i="7" s="1"/>
  <c r="FB29" i="7" s="1"/>
  <c r="FC29" i="7" s="1"/>
  <c r="FD29" i="7" s="1"/>
  <c r="FE29" i="7" s="1"/>
  <c r="FF29" i="7" s="1"/>
  <c r="FG29" i="7" s="1"/>
  <c r="FH29" i="7" s="1"/>
  <c r="FI29" i="7" s="1"/>
  <c r="FJ29" i="7" s="1"/>
  <c r="FK29" i="7" s="1"/>
  <c r="CY189" i="7"/>
  <c r="CY197" i="7" s="1"/>
  <c r="EY40" i="7"/>
  <c r="EZ40" i="7" s="1"/>
  <c r="FA40" i="7" s="1"/>
  <c r="FB40" i="7" s="1"/>
  <c r="FC40" i="7" s="1"/>
  <c r="FD40" i="7" s="1"/>
  <c r="FE40" i="7" s="1"/>
  <c r="FF40" i="7" s="1"/>
  <c r="FG40" i="7" s="1"/>
  <c r="FH40" i="7" s="1"/>
  <c r="FI40" i="7" s="1"/>
  <c r="FJ40" i="7" s="1"/>
  <c r="FK40" i="7" s="1"/>
  <c r="EY36" i="7"/>
  <c r="EZ36" i="7" s="1"/>
  <c r="FA36" i="7" s="1"/>
  <c r="FB36" i="7" s="1"/>
  <c r="FC36" i="7" s="1"/>
  <c r="FD36" i="7" s="1"/>
  <c r="FE36" i="7" s="1"/>
  <c r="FF36" i="7" s="1"/>
  <c r="FG36" i="7" s="1"/>
  <c r="FH36" i="7" s="1"/>
  <c r="FI36" i="7" s="1"/>
  <c r="FJ36" i="7" s="1"/>
  <c r="FK36" i="7" s="1"/>
  <c r="EY37" i="7"/>
  <c r="EZ37" i="7" s="1"/>
  <c r="FA37" i="7" s="1"/>
  <c r="FB37" i="7" s="1"/>
  <c r="FC37" i="7" s="1"/>
  <c r="FD37" i="7" s="1"/>
  <c r="FE37" i="7" s="1"/>
  <c r="FF37" i="7" s="1"/>
  <c r="FG37" i="7" s="1"/>
  <c r="FH37" i="7" s="1"/>
  <c r="FI37" i="7" s="1"/>
  <c r="FJ37" i="7" s="1"/>
  <c r="FK37" i="7" s="1"/>
  <c r="EY38" i="7"/>
  <c r="EZ38" i="7" s="1"/>
  <c r="FA38" i="7" s="1"/>
  <c r="FB38" i="7" s="1"/>
  <c r="FC38" i="7" s="1"/>
  <c r="FD38" i="7" s="1"/>
  <c r="FE38" i="7" s="1"/>
  <c r="FF38" i="7" s="1"/>
  <c r="FG38" i="7" s="1"/>
  <c r="FH38" i="7" s="1"/>
  <c r="FI38" i="7" s="1"/>
  <c r="FJ38" i="7" s="1"/>
  <c r="FK38" i="7" s="1"/>
  <c r="EY43" i="7"/>
  <c r="EZ43" i="7" s="1"/>
  <c r="FA43" i="7" s="1"/>
  <c r="FB43" i="7" s="1"/>
  <c r="FC43" i="7" s="1"/>
  <c r="FD43" i="7" s="1"/>
  <c r="FE43" i="7" s="1"/>
  <c r="FF43" i="7" s="1"/>
  <c r="FG43" i="7" s="1"/>
  <c r="FH43" i="7" s="1"/>
  <c r="FI43" i="7" s="1"/>
  <c r="FJ43" i="7" s="1"/>
  <c r="FK43" i="7" s="1"/>
  <c r="CO115" i="7"/>
  <c r="EY46" i="7"/>
  <c r="EZ46" i="7" s="1"/>
  <c r="FA46" i="7" s="1"/>
  <c r="FB46" i="7" s="1"/>
  <c r="FC46" i="7" s="1"/>
  <c r="FD46" i="7" s="1"/>
  <c r="FE46" i="7" s="1"/>
  <c r="FF46" i="7" s="1"/>
  <c r="FG46" i="7" s="1"/>
  <c r="FH46" i="7" s="1"/>
  <c r="FI46" i="7" s="1"/>
  <c r="FJ46" i="7" s="1"/>
  <c r="FK46" i="7" s="1"/>
  <c r="CK129" i="7"/>
  <c r="EY47" i="7"/>
  <c r="EZ47" i="7" s="1"/>
  <c r="FA47" i="7" s="1"/>
  <c r="FB47" i="7" s="1"/>
  <c r="FC47" i="7" s="1"/>
  <c r="FD47" i="7" s="1"/>
  <c r="FE47" i="7" s="1"/>
  <c r="FF47" i="7" s="1"/>
  <c r="FG47" i="7" s="1"/>
  <c r="FH47" i="7" s="1"/>
  <c r="FI47" i="7" s="1"/>
  <c r="FJ47" i="7" s="1"/>
  <c r="FK47" i="7" s="1"/>
  <c r="CK130" i="7"/>
  <c r="CO137" i="7"/>
  <c r="EY48" i="7"/>
  <c r="EZ48" i="7" s="1"/>
  <c r="FA48" i="7" s="1"/>
  <c r="FB48" i="7" s="1"/>
  <c r="FC48" i="7" s="1"/>
  <c r="FD48" i="7" s="1"/>
  <c r="FE48" i="7" s="1"/>
  <c r="FF48" i="7" s="1"/>
  <c r="FG48" i="7" s="1"/>
  <c r="FH48" i="7" s="1"/>
  <c r="FI48" i="7" s="1"/>
  <c r="FJ48" i="7" s="1"/>
  <c r="FK48" i="7" s="1"/>
  <c r="EY49" i="7"/>
  <c r="EZ49" i="7" s="1"/>
  <c r="FA49" i="7" s="1"/>
  <c r="FB49" i="7" s="1"/>
  <c r="FC49" i="7" s="1"/>
  <c r="FD49" i="7" s="1"/>
  <c r="FE49" i="7" s="1"/>
  <c r="FF49" i="7" s="1"/>
  <c r="FG49" i="7" s="1"/>
  <c r="FH49" i="7" s="1"/>
  <c r="FI49" i="7" s="1"/>
  <c r="FJ49" i="7" s="1"/>
  <c r="FK49" i="7" s="1"/>
  <c r="EY42" i="7"/>
  <c r="EZ42" i="7" s="1"/>
  <c r="FA42" i="7" s="1"/>
  <c r="FB42" i="7" s="1"/>
  <c r="FC42" i="7" s="1"/>
  <c r="FD42" i="7" s="1"/>
  <c r="FE42" i="7" s="1"/>
  <c r="FF42" i="7" s="1"/>
  <c r="FG42" i="7" s="1"/>
  <c r="FH42" i="7" s="1"/>
  <c r="FI42" i="7" s="1"/>
  <c r="FJ42" i="7" s="1"/>
  <c r="FK42" i="7" s="1"/>
  <c r="CO129" i="7"/>
  <c r="CQ137" i="7"/>
  <c r="EY50" i="7"/>
  <c r="EZ50" i="7" s="1"/>
  <c r="FA50" i="7" s="1"/>
  <c r="FB50" i="7" s="1"/>
  <c r="FC50" i="7" s="1"/>
  <c r="FD50" i="7" s="1"/>
  <c r="FE50" i="7" s="1"/>
  <c r="FF50" i="7" s="1"/>
  <c r="FG50" i="7" s="1"/>
  <c r="FH50" i="7" s="1"/>
  <c r="FI50" i="7" s="1"/>
  <c r="FJ50" i="7" s="1"/>
  <c r="FK50" i="7" s="1"/>
  <c r="EY101" i="7"/>
  <c r="EZ101" i="7" s="1"/>
  <c r="FA101" i="7" s="1"/>
  <c r="FB101" i="7" s="1"/>
  <c r="FC101" i="7" s="1"/>
  <c r="FD101" i="7" s="1"/>
  <c r="FE101" i="7" s="1"/>
  <c r="FF101" i="7" s="1"/>
  <c r="FG101" i="7" s="1"/>
  <c r="FH101" i="7" s="1"/>
  <c r="FI101" i="7" s="1"/>
  <c r="FJ101" i="7" s="1"/>
  <c r="FK101" i="7" s="1"/>
  <c r="EY41" i="7"/>
  <c r="EZ41" i="7" s="1"/>
  <c r="FA41" i="7" s="1"/>
  <c r="FB41" i="7" s="1"/>
  <c r="FC41" i="7" s="1"/>
  <c r="FD41" i="7" s="1"/>
  <c r="FE41" i="7" s="1"/>
  <c r="FF41" i="7" s="1"/>
  <c r="FG41" i="7" s="1"/>
  <c r="FH41" i="7" s="1"/>
  <c r="FI41" i="7" s="1"/>
  <c r="FJ41" i="7" s="1"/>
  <c r="FK41" i="7" s="1"/>
  <c r="EY54" i="7"/>
  <c r="EZ54" i="7" s="1"/>
  <c r="FA54" i="7" s="1"/>
  <c r="FB54" i="7" s="1"/>
  <c r="FC54" i="7" s="1"/>
  <c r="FD54" i="7" s="1"/>
  <c r="FE54" i="7" s="1"/>
  <c r="FF54" i="7" s="1"/>
  <c r="FG54" i="7" s="1"/>
  <c r="FH54" i="7" s="1"/>
  <c r="FI54" i="7" s="1"/>
  <c r="FJ54" i="7" s="1"/>
  <c r="FK54" i="7" s="1"/>
  <c r="EY102" i="7"/>
  <c r="EZ102" i="7" s="1"/>
  <c r="FA102" i="7" s="1"/>
  <c r="FB102" i="7" s="1"/>
  <c r="FC102" i="7" s="1"/>
  <c r="FD102" i="7" s="1"/>
  <c r="FE102" i="7" s="1"/>
  <c r="FF102" i="7" s="1"/>
  <c r="FG102" i="7" s="1"/>
  <c r="FH102" i="7" s="1"/>
  <c r="FI102" i="7" s="1"/>
  <c r="FJ102" i="7" s="1"/>
  <c r="FK102" i="7" s="1"/>
  <c r="CK122" i="7"/>
  <c r="CK131" i="7"/>
  <c r="CK128" i="7"/>
  <c r="DA188" i="7"/>
  <c r="DA189" i="7" s="1"/>
  <c r="CQ128" i="7"/>
  <c r="CQ132" i="7"/>
  <c r="CM129" i="7"/>
  <c r="CM115" i="7"/>
  <c r="CM128" i="7" s="1"/>
  <c r="CM130" i="7"/>
  <c r="CL115" i="7"/>
  <c r="CL118" i="7" s="1"/>
  <c r="CL122" i="7" s="1"/>
  <c r="CP115" i="7"/>
  <c r="CP129" i="7"/>
  <c r="CP130" i="7"/>
  <c r="CL130" i="7"/>
  <c r="CQ124" i="7"/>
  <c r="CQ131" i="7"/>
  <c r="CQ129" i="7"/>
  <c r="CQ130" i="7"/>
  <c r="DF139" i="7"/>
  <c r="CZ189" i="7"/>
  <c r="CZ195" i="7"/>
  <c r="DA191" i="7"/>
  <c r="DA195" i="7" s="1"/>
  <c r="CZ183" i="7"/>
  <c r="DA182" i="7"/>
  <c r="DA183" i="7" s="1"/>
  <c r="DA199" i="7" s="1"/>
  <c r="DA169" i="7"/>
  <c r="DA171" i="7" s="1"/>
  <c r="CZ169" i="7"/>
  <c r="CZ171" i="7" s="1"/>
  <c r="DA156" i="7"/>
  <c r="CZ156" i="7"/>
  <c r="CZ147" i="7"/>
  <c r="CV119" i="7"/>
  <c r="EW119" i="7" s="1"/>
  <c r="CZ119" i="7"/>
  <c r="EX119" i="7" s="1"/>
  <c r="FA116" i="7" l="1"/>
  <c r="EZ139" i="7"/>
  <c r="FA14" i="7"/>
  <c r="FB14" i="7" s="1"/>
  <c r="FC14" i="7" s="1"/>
  <c r="FD14" i="7" s="1"/>
  <c r="FE14" i="7" s="1"/>
  <c r="FF14" i="7" s="1"/>
  <c r="FD126" i="7"/>
  <c r="EY39" i="7"/>
  <c r="EZ39" i="7" s="1"/>
  <c r="FA39" i="7" s="1"/>
  <c r="FB39" i="7" s="1"/>
  <c r="FC39" i="7" s="1"/>
  <c r="FD39" i="7" s="1"/>
  <c r="FE39" i="7" s="1"/>
  <c r="FF39" i="7" s="1"/>
  <c r="FG39" i="7" s="1"/>
  <c r="FH39" i="7" s="1"/>
  <c r="FI39" i="7" s="1"/>
  <c r="FJ39" i="7" s="1"/>
  <c r="FK39" i="7" s="1"/>
  <c r="CL131" i="7"/>
  <c r="EY3" i="7"/>
  <c r="EZ3" i="7" s="1"/>
  <c r="FA3" i="7" s="1"/>
  <c r="FB3" i="7" s="1"/>
  <c r="FC3" i="7" s="1"/>
  <c r="FD3" i="7" s="1"/>
  <c r="FE3" i="7" s="1"/>
  <c r="FF3" i="7" s="1"/>
  <c r="CO128" i="7"/>
  <c r="CO118" i="7"/>
  <c r="CM118" i="7"/>
  <c r="CL128" i="7"/>
  <c r="CK124" i="7"/>
  <c r="CK132" i="7"/>
  <c r="CQ125" i="7"/>
  <c r="CQ133" i="7"/>
  <c r="CL124" i="7"/>
  <c r="CL132" i="7"/>
  <c r="CP118" i="7"/>
  <c r="CP128" i="7"/>
  <c r="CZ197" i="7"/>
  <c r="CZ199" i="7"/>
  <c r="DA197" i="7"/>
  <c r="CN104" i="7"/>
  <c r="CR104" i="7"/>
  <c r="FA2" i="7"/>
  <c r="FB2" i="7" s="1"/>
  <c r="FC2" i="7" s="1"/>
  <c r="FD2" i="7" s="1"/>
  <c r="FE2" i="7" s="1"/>
  <c r="FF2" i="7" s="1"/>
  <c r="FG2" i="7" s="1"/>
  <c r="FH2" i="7" s="1"/>
  <c r="FI2" i="7" s="1"/>
  <c r="FJ2" i="7" s="1"/>
  <c r="FK2" i="7" s="1"/>
  <c r="CZ113" i="7"/>
  <c r="CZ130" i="7" s="1"/>
  <c r="DD142" i="7"/>
  <c r="DD140" i="7"/>
  <c r="DD141" i="7"/>
  <c r="DE141" i="7"/>
  <c r="DB140" i="7"/>
  <c r="DE140" i="7"/>
  <c r="EX6" i="7"/>
  <c r="EX112" i="7"/>
  <c r="EX111" i="7"/>
  <c r="EX110" i="7"/>
  <c r="EX109" i="7"/>
  <c r="EX108" i="7"/>
  <c r="EX107" i="7"/>
  <c r="EX106" i="7"/>
  <c r="EX105" i="7"/>
  <c r="EX104" i="7"/>
  <c r="EX103" i="7"/>
  <c r="EX102" i="7"/>
  <c r="EX101" i="7"/>
  <c r="EX100" i="7"/>
  <c r="EX99" i="7"/>
  <c r="EX98" i="7"/>
  <c r="EX97" i="7"/>
  <c r="EX96" i="7"/>
  <c r="EX95" i="7"/>
  <c r="EX94" i="7"/>
  <c r="EX93" i="7"/>
  <c r="EX92" i="7"/>
  <c r="EX91" i="7"/>
  <c r="EX90" i="7"/>
  <c r="EX89" i="7"/>
  <c r="EX88" i="7"/>
  <c r="EX87" i="7"/>
  <c r="EX86" i="7"/>
  <c r="EX85" i="7"/>
  <c r="EX84" i="7"/>
  <c r="EX83" i="7"/>
  <c r="EX82" i="7"/>
  <c r="EX81" i="7"/>
  <c r="EX80" i="7"/>
  <c r="EX79" i="7"/>
  <c r="EX78" i="7"/>
  <c r="EX77" i="7"/>
  <c r="EX76" i="7"/>
  <c r="EX75" i="7"/>
  <c r="EX74" i="7"/>
  <c r="EX73" i="7"/>
  <c r="EX72" i="7"/>
  <c r="EX70" i="7"/>
  <c r="EX69" i="7"/>
  <c r="EX68" i="7"/>
  <c r="EX67" i="7"/>
  <c r="EX66" i="7"/>
  <c r="EX65" i="7"/>
  <c r="EX64" i="7"/>
  <c r="EX63" i="7"/>
  <c r="EX62" i="7"/>
  <c r="EX61" i="7"/>
  <c r="EX60" i="7"/>
  <c r="EX59" i="7"/>
  <c r="EX58" i="7"/>
  <c r="EX57" i="7"/>
  <c r="EX56" i="7"/>
  <c r="EX55" i="7"/>
  <c r="EX54" i="7"/>
  <c r="EX50" i="7"/>
  <c r="EX49" i="7"/>
  <c r="EX48" i="7"/>
  <c r="EX47" i="7"/>
  <c r="EX46" i="7"/>
  <c r="EX43" i="7"/>
  <c r="EX42" i="7"/>
  <c r="EX41" i="7"/>
  <c r="EX40" i="7"/>
  <c r="EW112" i="7"/>
  <c r="EW111" i="7"/>
  <c r="EW110" i="7"/>
  <c r="EW109" i="7"/>
  <c r="EW108" i="7"/>
  <c r="EW107" i="7"/>
  <c r="EW106" i="7"/>
  <c r="EW105" i="7"/>
  <c r="EW104" i="7"/>
  <c r="EW103" i="7"/>
  <c r="EW102" i="7"/>
  <c r="EW101" i="7"/>
  <c r="EW100" i="7"/>
  <c r="EW99" i="7"/>
  <c r="EW98" i="7"/>
  <c r="EW97" i="7"/>
  <c r="EW96" i="7"/>
  <c r="EW95" i="7"/>
  <c r="EW94" i="7"/>
  <c r="EW93" i="7"/>
  <c r="EW92" i="7"/>
  <c r="EW91" i="7"/>
  <c r="EW90" i="7"/>
  <c r="EW89" i="7"/>
  <c r="EW88" i="7"/>
  <c r="EW87" i="7"/>
  <c r="EW86" i="7"/>
  <c r="EW85" i="7"/>
  <c r="EW84" i="7"/>
  <c r="EW83" i="7"/>
  <c r="EW82" i="7"/>
  <c r="EW81" i="7"/>
  <c r="EW80" i="7"/>
  <c r="EW79" i="7"/>
  <c r="EW78" i="7"/>
  <c r="EW77" i="7"/>
  <c r="EW76" i="7"/>
  <c r="EW75" i="7"/>
  <c r="EW74" i="7"/>
  <c r="EW73" i="7"/>
  <c r="EW72" i="7"/>
  <c r="EW70" i="7"/>
  <c r="EW69" i="7"/>
  <c r="EW68" i="7"/>
  <c r="EW67" i="7"/>
  <c r="EW66" i="7"/>
  <c r="EW65" i="7"/>
  <c r="EW64" i="7"/>
  <c r="EW63" i="7"/>
  <c r="EW62" i="7"/>
  <c r="EW61" i="7"/>
  <c r="EW60" i="7"/>
  <c r="EW59" i="7"/>
  <c r="EW58" i="7"/>
  <c r="EW57" i="7"/>
  <c r="EW56" i="7"/>
  <c r="EW55" i="7"/>
  <c r="EW54" i="7"/>
  <c r="EW50" i="7"/>
  <c r="EW49" i="7"/>
  <c r="EW48" i="7"/>
  <c r="EW47" i="7"/>
  <c r="EW46" i="7"/>
  <c r="EW43" i="7"/>
  <c r="EW42" i="7"/>
  <c r="EW41" i="7"/>
  <c r="EW40" i="7"/>
  <c r="EW38" i="7"/>
  <c r="EW37" i="7"/>
  <c r="EW36" i="7"/>
  <c r="EW35" i="7"/>
  <c r="EW34" i="7"/>
  <c r="EW33" i="7"/>
  <c r="EW32" i="7"/>
  <c r="EW31" i="7"/>
  <c r="EW30" i="7"/>
  <c r="EW29" i="7"/>
  <c r="EW28" i="7"/>
  <c r="EW27" i="7"/>
  <c r="EW25" i="7"/>
  <c r="EW24" i="7"/>
  <c r="EW23" i="7"/>
  <c r="EW22" i="7"/>
  <c r="EW21" i="7"/>
  <c r="EW20" i="7"/>
  <c r="EW19" i="7"/>
  <c r="EW16" i="7"/>
  <c r="EW13" i="7"/>
  <c r="EW11" i="7"/>
  <c r="EW10" i="7"/>
  <c r="EW9" i="7"/>
  <c r="EW8" i="7"/>
  <c r="EW7" i="7"/>
  <c r="EW142" i="7" s="1"/>
  <c r="EW6" i="7"/>
  <c r="EW5" i="7"/>
  <c r="EW140" i="7" s="1"/>
  <c r="EW4" i="7"/>
  <c r="EW141" i="7" s="1"/>
  <c r="EW3" i="7"/>
  <c r="EX38" i="7"/>
  <c r="EX37" i="7"/>
  <c r="EX36" i="7"/>
  <c r="EX35" i="7"/>
  <c r="EX34" i="7"/>
  <c r="EX33" i="7"/>
  <c r="EX32" i="7"/>
  <c r="EX31" i="7"/>
  <c r="EX30" i="7"/>
  <c r="EX29" i="7"/>
  <c r="EX28" i="7"/>
  <c r="EX27" i="7"/>
  <c r="EX25" i="7"/>
  <c r="CS113" i="7"/>
  <c r="CT113" i="7"/>
  <c r="CY165" i="7"/>
  <c r="CY158" i="7"/>
  <c r="CY151" i="7"/>
  <c r="CY154" i="7"/>
  <c r="CY148" i="7"/>
  <c r="CY113" i="7"/>
  <c r="CY115" i="7" s="1"/>
  <c r="CX115" i="7"/>
  <c r="CV113" i="7"/>
  <c r="CU113" i="7"/>
  <c r="BC58" i="7"/>
  <c r="BD58" i="7"/>
  <c r="BE58" i="7"/>
  <c r="BF58" i="7"/>
  <c r="BG58" i="7"/>
  <c r="BH58" i="7"/>
  <c r="BI58" i="7"/>
  <c r="BJ58" i="7"/>
  <c r="BK58" i="7"/>
  <c r="BL58" i="7"/>
  <c r="BM58" i="7"/>
  <c r="BN58" i="7"/>
  <c r="BO58" i="7"/>
  <c r="BP58" i="7"/>
  <c r="BQ58" i="7"/>
  <c r="BU58" i="7" s="1"/>
  <c r="BR58" i="7"/>
  <c r="BS58" i="7"/>
  <c r="BT58" i="7"/>
  <c r="EK58" i="7"/>
  <c r="FB116" i="7" l="1"/>
  <c r="FA139" i="7"/>
  <c r="FE126" i="7"/>
  <c r="DC113" i="7"/>
  <c r="EY10" i="7"/>
  <c r="EZ10" i="7" s="1"/>
  <c r="FA10" i="7" s="1"/>
  <c r="FB10" i="7" s="1"/>
  <c r="FC10" i="7" s="1"/>
  <c r="FD10" i="7" s="1"/>
  <c r="FE10" i="7" s="1"/>
  <c r="FF10" i="7" s="1"/>
  <c r="FG10" i="7" s="1"/>
  <c r="FH10" i="7" s="1"/>
  <c r="FI10" i="7" s="1"/>
  <c r="FJ10" i="7" s="1"/>
  <c r="FK10" i="7" s="1"/>
  <c r="EY9" i="7"/>
  <c r="EZ9" i="7" s="1"/>
  <c r="FA9" i="7" s="1"/>
  <c r="FB9" i="7" s="1"/>
  <c r="FC9" i="7" s="1"/>
  <c r="FD9" i="7" s="1"/>
  <c r="FE9" i="7" s="1"/>
  <c r="FF9" i="7" s="1"/>
  <c r="FG9" i="7" s="1"/>
  <c r="FH9" i="7" s="1"/>
  <c r="FI9" i="7" s="1"/>
  <c r="FJ9" i="7" s="1"/>
  <c r="FK9" i="7" s="1"/>
  <c r="EY11" i="7"/>
  <c r="EZ11" i="7" s="1"/>
  <c r="FA11" i="7" s="1"/>
  <c r="FB11" i="7" s="1"/>
  <c r="FC11" i="7" s="1"/>
  <c r="FD11" i="7" s="1"/>
  <c r="FE11" i="7" s="1"/>
  <c r="FF11" i="7" s="1"/>
  <c r="FG11" i="7" s="1"/>
  <c r="FH11" i="7" s="1"/>
  <c r="FI11" i="7" s="1"/>
  <c r="FJ11" i="7" s="1"/>
  <c r="FK11" i="7" s="1"/>
  <c r="EW113" i="7"/>
  <c r="EW134" i="7" s="1"/>
  <c r="DF141" i="7"/>
  <c r="DB141" i="7"/>
  <c r="EY20" i="7"/>
  <c r="EZ20" i="7" s="1"/>
  <c r="FA20" i="7" s="1"/>
  <c r="FB20" i="7" s="1"/>
  <c r="FC20" i="7" s="1"/>
  <c r="FD20" i="7" s="1"/>
  <c r="FE20" i="7" s="1"/>
  <c r="FF20" i="7" s="1"/>
  <c r="FG20" i="7" s="1"/>
  <c r="FH20" i="7" s="1"/>
  <c r="FI20" i="7" s="1"/>
  <c r="FJ20" i="7" s="1"/>
  <c r="FK20" i="7" s="1"/>
  <c r="EY16" i="7"/>
  <c r="EZ16" i="7" s="1"/>
  <c r="FA16" i="7" s="1"/>
  <c r="FB16" i="7" s="1"/>
  <c r="FC16" i="7" s="1"/>
  <c r="FD16" i="7" s="1"/>
  <c r="FE16" i="7" s="1"/>
  <c r="FF16" i="7" s="1"/>
  <c r="FG16" i="7" s="1"/>
  <c r="FH16" i="7" s="1"/>
  <c r="FI16" i="7" s="1"/>
  <c r="FJ16" i="7" s="1"/>
  <c r="FK16" i="7" s="1"/>
  <c r="DF142" i="7"/>
  <c r="DB142" i="7"/>
  <c r="CR113" i="7"/>
  <c r="CR115" i="7" s="1"/>
  <c r="EV104" i="7"/>
  <c r="EV113" i="7" s="1"/>
  <c r="EV134" i="7" s="1"/>
  <c r="DC142" i="7"/>
  <c r="EY13" i="7"/>
  <c r="EZ13" i="7" s="1"/>
  <c r="FA13" i="7" s="1"/>
  <c r="FB13" i="7" s="1"/>
  <c r="FC13" i="7" s="1"/>
  <c r="FD13" i="7" s="1"/>
  <c r="FE13" i="7" s="1"/>
  <c r="FF13" i="7" s="1"/>
  <c r="FG13" i="7" s="1"/>
  <c r="FH13" i="7" s="1"/>
  <c r="FI13" i="7" s="1"/>
  <c r="FJ13" i="7" s="1"/>
  <c r="FK13" i="7" s="1"/>
  <c r="CN113" i="7"/>
  <c r="CN115" i="7" s="1"/>
  <c r="EU104" i="7"/>
  <c r="EU113" i="7" s="1"/>
  <c r="EY4" i="7"/>
  <c r="DC141" i="7"/>
  <c r="EY19" i="7"/>
  <c r="EZ19" i="7" s="1"/>
  <c r="FA19" i="7" s="1"/>
  <c r="FB19" i="7" s="1"/>
  <c r="FC19" i="7" s="1"/>
  <c r="FD19" i="7" s="1"/>
  <c r="FE19" i="7" s="1"/>
  <c r="FF19" i="7" s="1"/>
  <c r="FG19" i="7" s="1"/>
  <c r="FH19" i="7" s="1"/>
  <c r="FI19" i="7" s="1"/>
  <c r="FJ19" i="7" s="1"/>
  <c r="FK19" i="7" s="1"/>
  <c r="CM131" i="7"/>
  <c r="CM122" i="7"/>
  <c r="EY23" i="7"/>
  <c r="EZ23" i="7" s="1"/>
  <c r="FA23" i="7" s="1"/>
  <c r="FB23" i="7" s="1"/>
  <c r="FC23" i="7" s="1"/>
  <c r="FD23" i="7" s="1"/>
  <c r="FE23" i="7" s="1"/>
  <c r="FF23" i="7" s="1"/>
  <c r="FG23" i="7" s="1"/>
  <c r="FH23" i="7" s="1"/>
  <c r="FI23" i="7" s="1"/>
  <c r="FJ23" i="7" s="1"/>
  <c r="FK23" i="7" s="1"/>
  <c r="CS129" i="7"/>
  <c r="CS137" i="7"/>
  <c r="CO131" i="7"/>
  <c r="CO122" i="7"/>
  <c r="DC140" i="7"/>
  <c r="CK125" i="7"/>
  <c r="CK133" i="7"/>
  <c r="CT130" i="7"/>
  <c r="CT137" i="7"/>
  <c r="CY128" i="7"/>
  <c r="CY118" i="7"/>
  <c r="CU115" i="7"/>
  <c r="CU118" i="7" s="1"/>
  <c r="CU137" i="7"/>
  <c r="CL125" i="7"/>
  <c r="CL133" i="7"/>
  <c r="CP131" i="7"/>
  <c r="CP122" i="7"/>
  <c r="CX118" i="7"/>
  <c r="CX122" i="7" s="1"/>
  <c r="EX13" i="7"/>
  <c r="EX8" i="7"/>
  <c r="EX24" i="7"/>
  <c r="EX21" i="7"/>
  <c r="EX19" i="7"/>
  <c r="EX22" i="7"/>
  <c r="EX9" i="7"/>
  <c r="CS115" i="7"/>
  <c r="CS130" i="7"/>
  <c r="CX137" i="7"/>
  <c r="CY147" i="7"/>
  <c r="CY137" i="7"/>
  <c r="EY22" i="7"/>
  <c r="EZ22" i="7" s="1"/>
  <c r="FA22" i="7" s="1"/>
  <c r="FB22" i="7" s="1"/>
  <c r="FC22" i="7" s="1"/>
  <c r="FD22" i="7" s="1"/>
  <c r="FE22" i="7" s="1"/>
  <c r="FF22" i="7" s="1"/>
  <c r="FG22" i="7" s="1"/>
  <c r="FH22" i="7" s="1"/>
  <c r="FI22" i="7" s="1"/>
  <c r="FJ22" i="7" s="1"/>
  <c r="FK22" i="7" s="1"/>
  <c r="EX5" i="7"/>
  <c r="EX140" i="7" s="1"/>
  <c r="EX20" i="7"/>
  <c r="EY21" i="7"/>
  <c r="EZ21" i="7" s="1"/>
  <c r="FA21" i="7" s="1"/>
  <c r="FB21" i="7" s="1"/>
  <c r="FC21" i="7" s="1"/>
  <c r="FD21" i="7" s="1"/>
  <c r="FE21" i="7" s="1"/>
  <c r="FF21" i="7" s="1"/>
  <c r="FG21" i="7" s="1"/>
  <c r="FH21" i="7" s="1"/>
  <c r="FI21" i="7" s="1"/>
  <c r="FJ21" i="7" s="1"/>
  <c r="FK21" i="7" s="1"/>
  <c r="EX7" i="7"/>
  <c r="EX142" i="7" s="1"/>
  <c r="EX23" i="7"/>
  <c r="DE142" i="7"/>
  <c r="DF140" i="7"/>
  <c r="EY24" i="7"/>
  <c r="EZ24" i="7" s="1"/>
  <c r="FA24" i="7" s="1"/>
  <c r="FB24" i="7" s="1"/>
  <c r="FC24" i="7" s="1"/>
  <c r="FD24" i="7" s="1"/>
  <c r="FE24" i="7" s="1"/>
  <c r="FF24" i="7" s="1"/>
  <c r="FG24" i="7" s="1"/>
  <c r="FH24" i="7" s="1"/>
  <c r="FI24" i="7" s="1"/>
  <c r="FJ24" i="7" s="1"/>
  <c r="FK24" i="7" s="1"/>
  <c r="EY8" i="7"/>
  <c r="EZ8" i="7" s="1"/>
  <c r="FA8" i="7" s="1"/>
  <c r="FB8" i="7" s="1"/>
  <c r="FC8" i="7" s="1"/>
  <c r="FD8" i="7" s="1"/>
  <c r="FE8" i="7" s="1"/>
  <c r="FF8" i="7" s="1"/>
  <c r="FG8" i="7" s="1"/>
  <c r="FH8" i="7" s="1"/>
  <c r="FI8" i="7" s="1"/>
  <c r="FJ8" i="7" s="1"/>
  <c r="FK8" i="7" s="1"/>
  <c r="CV115" i="7"/>
  <c r="EY6" i="7"/>
  <c r="CZ137" i="7"/>
  <c r="CZ115" i="7"/>
  <c r="CZ129" i="7"/>
  <c r="EX16" i="7"/>
  <c r="EX4" i="7"/>
  <c r="DA113" i="7"/>
  <c r="EX11" i="7"/>
  <c r="EX10" i="7"/>
  <c r="DB113" i="7"/>
  <c r="DB115" i="7" s="1"/>
  <c r="CT115" i="7"/>
  <c r="CT129" i="7"/>
  <c r="EL58" i="7"/>
  <c r="FQ58" i="7" s="1"/>
  <c r="CY169" i="7"/>
  <c r="CY171" i="7" s="1"/>
  <c r="EM58" i="7"/>
  <c r="CY156" i="7"/>
  <c r="EO58" i="7"/>
  <c r="CV129" i="7"/>
  <c r="CU129" i="7"/>
  <c r="CY129" i="7"/>
  <c r="CU130" i="7"/>
  <c r="CV130" i="7"/>
  <c r="CX130" i="7"/>
  <c r="CX129" i="7"/>
  <c r="CY130" i="7"/>
  <c r="CX128" i="7"/>
  <c r="EN58" i="7"/>
  <c r="BV58" i="7"/>
  <c r="EP58" i="7" s="1"/>
  <c r="EQ58" i="7" s="1"/>
  <c r="BV10" i="7"/>
  <c r="BU10" i="7"/>
  <c r="BV5" i="7"/>
  <c r="BU5" i="7"/>
  <c r="BV81" i="7"/>
  <c r="BU81" i="7"/>
  <c r="BT104" i="7"/>
  <c r="BS104" i="7"/>
  <c r="BS119" i="7"/>
  <c r="BS28" i="7"/>
  <c r="BU64" i="7"/>
  <c r="BV64" i="7" s="1"/>
  <c r="BT28" i="7"/>
  <c r="FC116" i="7" l="1"/>
  <c r="FB139" i="7"/>
  <c r="EZ6" i="7"/>
  <c r="FA6" i="7" s="1"/>
  <c r="FB6" i="7" s="1"/>
  <c r="FC6" i="7" s="1"/>
  <c r="FD6" i="7" s="1"/>
  <c r="FE6" i="7" s="1"/>
  <c r="FF6" i="7" s="1"/>
  <c r="FG6" i="7" s="1"/>
  <c r="FH6" i="7" s="1"/>
  <c r="FI6" i="7" s="1"/>
  <c r="FJ6" i="7" s="1"/>
  <c r="FK6" i="7" s="1"/>
  <c r="FF126" i="7"/>
  <c r="EW137" i="7"/>
  <c r="EV115" i="7"/>
  <c r="EV130" i="7"/>
  <c r="EV129" i="7"/>
  <c r="EW115" i="7"/>
  <c r="EW130" i="7"/>
  <c r="EW129" i="7"/>
  <c r="DC115" i="7"/>
  <c r="DC118" i="7" s="1"/>
  <c r="DC122" i="7" s="1"/>
  <c r="CN129" i="7"/>
  <c r="EY5" i="7"/>
  <c r="EZ5" i="7" s="1"/>
  <c r="CN130" i="7"/>
  <c r="CR137" i="7"/>
  <c r="CM132" i="7"/>
  <c r="CM124" i="7"/>
  <c r="EZ4" i="7"/>
  <c r="EY141" i="7"/>
  <c r="CR130" i="7"/>
  <c r="EX141" i="7"/>
  <c r="EX113" i="7"/>
  <c r="EX134" i="7" s="1"/>
  <c r="CO124" i="7"/>
  <c r="CO132" i="7"/>
  <c r="EY7" i="7"/>
  <c r="CR129" i="7"/>
  <c r="CV137" i="7"/>
  <c r="CU128" i="7"/>
  <c r="CX132" i="7"/>
  <c r="CX124" i="7"/>
  <c r="CX125" i="7" s="1"/>
  <c r="CX131" i="7"/>
  <c r="CP124" i="7"/>
  <c r="CP132" i="7"/>
  <c r="CT118" i="7"/>
  <c r="CT122" i="7" s="1"/>
  <c r="CN128" i="7"/>
  <c r="CN118" i="7"/>
  <c r="CN131" i="7" s="1"/>
  <c r="CV118" i="7"/>
  <c r="CV122" i="7" s="1"/>
  <c r="CS128" i="7"/>
  <c r="CS118" i="7"/>
  <c r="CR128" i="7"/>
  <c r="CR118" i="7"/>
  <c r="CZ128" i="7"/>
  <c r="CZ118" i="7"/>
  <c r="CZ131" i="7" s="1"/>
  <c r="DA115" i="7"/>
  <c r="DA118" i="7" s="1"/>
  <c r="DA130" i="7"/>
  <c r="DA129" i="7"/>
  <c r="DB129" i="7"/>
  <c r="DB130" i="7"/>
  <c r="DB137" i="7"/>
  <c r="DD113" i="7"/>
  <c r="DD115" i="7" s="1"/>
  <c r="CV128" i="7"/>
  <c r="CT128" i="7"/>
  <c r="CY131" i="7"/>
  <c r="CY122" i="7"/>
  <c r="CU122" i="7"/>
  <c r="CU131" i="7"/>
  <c r="FR58" i="7"/>
  <c r="ER58" i="7"/>
  <c r="ES58" i="7" s="1"/>
  <c r="ET58" i="7" s="1"/>
  <c r="FS58" i="7" s="1"/>
  <c r="BP165" i="7"/>
  <c r="BP164" i="7"/>
  <c r="BP158" i="7"/>
  <c r="BP154" i="7"/>
  <c r="BP148" i="7"/>
  <c r="BO123" i="7"/>
  <c r="BO119" i="7"/>
  <c r="BP123" i="7"/>
  <c r="BP119" i="7"/>
  <c r="BQ168" i="7"/>
  <c r="BQ165" i="7"/>
  <c r="BQ158" i="7"/>
  <c r="BQ154" i="7"/>
  <c r="BQ148" i="7"/>
  <c r="BQ123" i="7"/>
  <c r="BQ104" i="7"/>
  <c r="BU104" i="7" s="1"/>
  <c r="BV117" i="7"/>
  <c r="BU117" i="7"/>
  <c r="BV116" i="7"/>
  <c r="BU116" i="7"/>
  <c r="BU139" i="7" s="1"/>
  <c r="BT139" i="7"/>
  <c r="BS139" i="7"/>
  <c r="BR123" i="7"/>
  <c r="BR104" i="7"/>
  <c r="BV104" i="7" s="1"/>
  <c r="BV62" i="7"/>
  <c r="BU62" i="7"/>
  <c r="EP4" i="7"/>
  <c r="EP96" i="7"/>
  <c r="EP95" i="7"/>
  <c r="EP94" i="7"/>
  <c r="EP93" i="7"/>
  <c r="EP92" i="7"/>
  <c r="EP91" i="7"/>
  <c r="EP90" i="7"/>
  <c r="EP89" i="7"/>
  <c r="EP112" i="7"/>
  <c r="BV37" i="7"/>
  <c r="BU37" i="7"/>
  <c r="BV88" i="7"/>
  <c r="BU88" i="7"/>
  <c r="BV87" i="7"/>
  <c r="BU87" i="7"/>
  <c r="BV86" i="7"/>
  <c r="BU86" i="7"/>
  <c r="BV85" i="7"/>
  <c r="BU85" i="7"/>
  <c r="BV84" i="7"/>
  <c r="BU84" i="7"/>
  <c r="BV46" i="7"/>
  <c r="BU46" i="7"/>
  <c r="BV16" i="7"/>
  <c r="BU16" i="7"/>
  <c r="BU22" i="7"/>
  <c r="BV22" i="7" s="1"/>
  <c r="BV67" i="7"/>
  <c r="BU67" i="7"/>
  <c r="BV83" i="7"/>
  <c r="BU83" i="7"/>
  <c r="BV82" i="7"/>
  <c r="BU82" i="7"/>
  <c r="BV80" i="7"/>
  <c r="BU80" i="7"/>
  <c r="BV79" i="7"/>
  <c r="BU79" i="7"/>
  <c r="BV61" i="7"/>
  <c r="BU61" i="7"/>
  <c r="BU78" i="7"/>
  <c r="BV36" i="7"/>
  <c r="BU36" i="7"/>
  <c r="BV59" i="7"/>
  <c r="BU59" i="7"/>
  <c r="BV74" i="7"/>
  <c r="BU74" i="7"/>
  <c r="BV38" i="7"/>
  <c r="BU38" i="7"/>
  <c r="BV43" i="7"/>
  <c r="BU43" i="7"/>
  <c r="BV73" i="7"/>
  <c r="BU73" i="7"/>
  <c r="BV23" i="7"/>
  <c r="BU23" i="7"/>
  <c r="BV66" i="7"/>
  <c r="BU66" i="7"/>
  <c r="BV65" i="7"/>
  <c r="BU65" i="7"/>
  <c r="BV33" i="7"/>
  <c r="BU33" i="7"/>
  <c r="BV72" i="7"/>
  <c r="BU72" i="7"/>
  <c r="BV56" i="7"/>
  <c r="BU56" i="7"/>
  <c r="BV63" i="7"/>
  <c r="BU63" i="7"/>
  <c r="BV32" i="7"/>
  <c r="BU32" i="7"/>
  <c r="BV42" i="7"/>
  <c r="BU42" i="7"/>
  <c r="BV31" i="7"/>
  <c r="BU31" i="7"/>
  <c r="BV57" i="7"/>
  <c r="BU57" i="7"/>
  <c r="BV69" i="7"/>
  <c r="BU69" i="7"/>
  <c r="BV27" i="7"/>
  <c r="BU27" i="7"/>
  <c r="BV70" i="7"/>
  <c r="BU70" i="7"/>
  <c r="BV68" i="7"/>
  <c r="BU68" i="7"/>
  <c r="BV140" i="7"/>
  <c r="BU140" i="7"/>
  <c r="BT140" i="7"/>
  <c r="BV109" i="7"/>
  <c r="BU109" i="7"/>
  <c r="BP104" i="7"/>
  <c r="EO13" i="7"/>
  <c r="BP28" i="7"/>
  <c r="BQ28" i="7"/>
  <c r="BU28" i="7" s="1"/>
  <c r="EO68" i="7"/>
  <c r="EO81" i="7"/>
  <c r="BR165" i="7"/>
  <c r="BR164" i="7"/>
  <c r="BR158" i="7"/>
  <c r="BR151" i="7"/>
  <c r="BR154" i="7"/>
  <c r="BR148" i="7"/>
  <c r="CZ122" i="7" l="1"/>
  <c r="CZ124" i="7" s="1"/>
  <c r="CZ173" i="7" s="1"/>
  <c r="CX133" i="7"/>
  <c r="EY140" i="7"/>
  <c r="FD116" i="7"/>
  <c r="FC139" i="7"/>
  <c r="DC114" i="7"/>
  <c r="DC123" i="7"/>
  <c r="DC124" i="7" s="1"/>
  <c r="EX137" i="7"/>
  <c r="EX115" i="7"/>
  <c r="EX118" i="7" s="1"/>
  <c r="EX130" i="7"/>
  <c r="EX129" i="7"/>
  <c r="EW118" i="7"/>
  <c r="EW128" i="7"/>
  <c r="EV128" i="7"/>
  <c r="EV118" i="7"/>
  <c r="DD118" i="7"/>
  <c r="DD122" i="7" s="1"/>
  <c r="DD114" i="7"/>
  <c r="EZ7" i="7"/>
  <c r="EY142" i="7"/>
  <c r="EQ141" i="7"/>
  <c r="EP141" i="7"/>
  <c r="CO125" i="7"/>
  <c r="CO133" i="7"/>
  <c r="EY113" i="7"/>
  <c r="FA4" i="7"/>
  <c r="EZ141" i="7"/>
  <c r="CM125" i="7"/>
  <c r="CM133" i="7"/>
  <c r="EZ140" i="7"/>
  <c r="FA5" i="7"/>
  <c r="CT131" i="7"/>
  <c r="CN122" i="7"/>
  <c r="CN124" i="7" s="1"/>
  <c r="CV124" i="7"/>
  <c r="CV132" i="7"/>
  <c r="CT124" i="7"/>
  <c r="CT132" i="7"/>
  <c r="CV131" i="7"/>
  <c r="CR122" i="7"/>
  <c r="CR131" i="7"/>
  <c r="CS122" i="7"/>
  <c r="CS131" i="7"/>
  <c r="DB118" i="7"/>
  <c r="DB131" i="7" s="1"/>
  <c r="DB128" i="7"/>
  <c r="CP125" i="7"/>
  <c r="CP133" i="7"/>
  <c r="DD129" i="7"/>
  <c r="DD130" i="7"/>
  <c r="DD128" i="7"/>
  <c r="DD137" i="7"/>
  <c r="DC129" i="7"/>
  <c r="DC130" i="7"/>
  <c r="DC131" i="7"/>
  <c r="DC128" i="7"/>
  <c r="DC137" i="7"/>
  <c r="DA128" i="7"/>
  <c r="DF113" i="7"/>
  <c r="DF115" i="7" s="1"/>
  <c r="DE113" i="7"/>
  <c r="DE115" i="7" s="1"/>
  <c r="CU124" i="7"/>
  <c r="CU132" i="7"/>
  <c r="CY124" i="7"/>
  <c r="CY173" i="7" s="1"/>
  <c r="CY132" i="7"/>
  <c r="BQ156" i="7"/>
  <c r="BQ169" i="7"/>
  <c r="BQ171" i="7" s="1"/>
  <c r="BP169" i="7"/>
  <c r="BP171" i="7" s="1"/>
  <c r="EP38" i="7"/>
  <c r="EP59" i="7"/>
  <c r="EP77" i="7"/>
  <c r="EP79" i="7"/>
  <c r="EP83" i="7"/>
  <c r="BP147" i="7"/>
  <c r="EP66" i="7"/>
  <c r="EP43" i="7"/>
  <c r="EP75" i="7"/>
  <c r="EP36" i="7"/>
  <c r="EP61" i="7"/>
  <c r="EP73" i="7"/>
  <c r="EP74" i="7"/>
  <c r="EP76" i="7"/>
  <c r="EP78" i="7"/>
  <c r="EP80" i="7"/>
  <c r="EP67" i="7"/>
  <c r="EP10" i="7"/>
  <c r="EP27" i="7"/>
  <c r="EP86" i="7"/>
  <c r="EP32" i="7"/>
  <c r="EP82" i="7"/>
  <c r="EP68" i="7"/>
  <c r="EP16" i="7"/>
  <c r="EP85" i="7"/>
  <c r="EP88" i="7"/>
  <c r="BP156" i="7"/>
  <c r="EP33" i="7"/>
  <c r="EP23" i="7"/>
  <c r="BU13" i="7"/>
  <c r="BV13" i="7" s="1"/>
  <c r="EP87" i="7"/>
  <c r="EP31" i="7"/>
  <c r="EP46" i="7"/>
  <c r="EQ46" i="7" s="1"/>
  <c r="ER46" i="7" s="1"/>
  <c r="ES46" i="7" s="1"/>
  <c r="ET46" i="7" s="1"/>
  <c r="FS46" i="7" s="1"/>
  <c r="BQ113" i="7"/>
  <c r="EP72" i="7"/>
  <c r="EP56" i="7"/>
  <c r="EP37" i="7"/>
  <c r="EP84" i="7"/>
  <c r="EP109" i="7"/>
  <c r="EP70" i="7"/>
  <c r="EP65" i="7"/>
  <c r="EP42" i="7"/>
  <c r="EP63" i="7"/>
  <c r="EP22" i="7"/>
  <c r="EQ22" i="7" s="1"/>
  <c r="ER22" i="7" s="1"/>
  <c r="ES22" i="7" s="1"/>
  <c r="ET22" i="7" s="1"/>
  <c r="BU111" i="7"/>
  <c r="BV111" i="7" s="1"/>
  <c r="BU9" i="7"/>
  <c r="BV9" i="7" s="1"/>
  <c r="EP64" i="7"/>
  <c r="EP81" i="7"/>
  <c r="EQ81" i="7" s="1"/>
  <c r="EP69" i="7"/>
  <c r="EP57" i="7"/>
  <c r="EP62" i="7"/>
  <c r="BV139" i="7"/>
  <c r="BQ147" i="7"/>
  <c r="BR147" i="7"/>
  <c r="BR156" i="7"/>
  <c r="BR169" i="7"/>
  <c r="BR171" i="7" s="1"/>
  <c r="BR28" i="7"/>
  <c r="BV28" i="7" s="1"/>
  <c r="CZ132" i="7" l="1"/>
  <c r="EX128" i="7"/>
  <c r="EY134" i="7"/>
  <c r="FE116" i="7"/>
  <c r="FD139" i="7"/>
  <c r="DD131" i="7"/>
  <c r="DC125" i="7"/>
  <c r="DC133" i="7"/>
  <c r="EY129" i="7"/>
  <c r="EY130" i="7"/>
  <c r="EV131" i="7"/>
  <c r="EV122" i="7"/>
  <c r="DC132" i="7"/>
  <c r="EW122" i="7"/>
  <c r="EW131" i="7"/>
  <c r="EX122" i="7"/>
  <c r="EX124" i="7" s="1"/>
  <c r="EX125" i="7" s="1"/>
  <c r="EX131" i="7"/>
  <c r="EY137" i="7"/>
  <c r="DE118" i="7"/>
  <c r="DE122" i="7" s="1"/>
  <c r="DE114" i="7"/>
  <c r="DF118" i="7"/>
  <c r="DF122" i="7" s="1"/>
  <c r="DD123" i="7"/>
  <c r="DD132" i="7" s="1"/>
  <c r="FB5" i="7"/>
  <c r="FA140" i="7"/>
  <c r="FB4" i="7"/>
  <c r="FA141" i="7"/>
  <c r="CN132" i="7"/>
  <c r="FA7" i="7"/>
  <c r="EZ142" i="7"/>
  <c r="DB122" i="7"/>
  <c r="CN125" i="7"/>
  <c r="CN133" i="7"/>
  <c r="CR132" i="7"/>
  <c r="CR124" i="7"/>
  <c r="CT125" i="7"/>
  <c r="CT133" i="7"/>
  <c r="CS132" i="7"/>
  <c r="CS124" i="7"/>
  <c r="CV125" i="7"/>
  <c r="CV133" i="7"/>
  <c r="EZ113" i="7"/>
  <c r="DF130" i="7"/>
  <c r="DF137" i="7"/>
  <c r="DF129" i="7"/>
  <c r="DA122" i="7"/>
  <c r="DA131" i="7"/>
  <c r="DE128" i="7"/>
  <c r="DE130" i="7"/>
  <c r="DE129" i="7"/>
  <c r="DE137" i="7"/>
  <c r="CZ133" i="7"/>
  <c r="CZ125" i="7"/>
  <c r="CY125" i="7"/>
  <c r="CY133" i="7"/>
  <c r="CU125" i="7"/>
  <c r="CU133" i="7"/>
  <c r="EP13" i="7"/>
  <c r="BV113" i="7"/>
  <c r="BV115" i="7" s="1"/>
  <c r="BQ115" i="7"/>
  <c r="BQ128" i="7" s="1"/>
  <c r="BQ145" i="7"/>
  <c r="BT113" i="7"/>
  <c r="BT115" i="7" s="1"/>
  <c r="BT118" i="7" s="1"/>
  <c r="BU113" i="7"/>
  <c r="BU115" i="7" s="1"/>
  <c r="EP111" i="7"/>
  <c r="EP9" i="7"/>
  <c r="BO5" i="7"/>
  <c r="BO104" i="7"/>
  <c r="EP104" i="7" s="1"/>
  <c r="BO28" i="7"/>
  <c r="EP28" i="7" s="1"/>
  <c r="BN104" i="7"/>
  <c r="BN5" i="7"/>
  <c r="BN28" i="7"/>
  <c r="BM139" i="7"/>
  <c r="BM28" i="7"/>
  <c r="E113" i="7"/>
  <c r="D113" i="7"/>
  <c r="C113" i="7"/>
  <c r="BM104" i="7"/>
  <c r="BM5" i="7"/>
  <c r="FF116" i="7" l="1"/>
  <c r="FF139" i="7" s="1"/>
  <c r="FE139" i="7"/>
  <c r="DE131" i="7"/>
  <c r="DD124" i="7"/>
  <c r="DD125" i="7" s="1"/>
  <c r="EZ134" i="7"/>
  <c r="EZ115" i="7"/>
  <c r="EZ130" i="7"/>
  <c r="EZ129" i="7"/>
  <c r="EW124" i="7"/>
  <c r="EW125" i="7" s="1"/>
  <c r="EW132" i="7"/>
  <c r="EV124" i="7"/>
  <c r="EV125" i="7" s="1"/>
  <c r="EV132" i="7"/>
  <c r="DF128" i="7"/>
  <c r="DF123" i="7"/>
  <c r="DF132" i="7" s="1"/>
  <c r="DF131" i="7"/>
  <c r="DF114" i="7"/>
  <c r="EY114" i="7" s="1"/>
  <c r="EY115" i="7" s="1"/>
  <c r="DE123" i="7"/>
  <c r="DE132" i="7" s="1"/>
  <c r="EZ137" i="7"/>
  <c r="FA142" i="7"/>
  <c r="FB7" i="7"/>
  <c r="FC4" i="7"/>
  <c r="FB141" i="7"/>
  <c r="FB140" i="7"/>
  <c r="FC5" i="7"/>
  <c r="CS125" i="7"/>
  <c r="CS133" i="7"/>
  <c r="CR125" i="7"/>
  <c r="CR133" i="7"/>
  <c r="DB132" i="7"/>
  <c r="DA124" i="7"/>
  <c r="DA132" i="7"/>
  <c r="BV129" i="7"/>
  <c r="BV130" i="7"/>
  <c r="BU129" i="7"/>
  <c r="BT130" i="7"/>
  <c r="BT129" i="7"/>
  <c r="BU137" i="7"/>
  <c r="BU130" i="7"/>
  <c r="BU114" i="7"/>
  <c r="BV118" i="7"/>
  <c r="BV128" i="7"/>
  <c r="EO5" i="7"/>
  <c r="BO113" i="7"/>
  <c r="BV114" i="7"/>
  <c r="BU118" i="7"/>
  <c r="BU128" i="7"/>
  <c r="BM113" i="7"/>
  <c r="BM115" i="7" s="1"/>
  <c r="BM128" i="7" s="1"/>
  <c r="EH81" i="7"/>
  <c r="BL185" i="7"/>
  <c r="BL182" i="7"/>
  <c r="BL179" i="7"/>
  <c r="BL177" i="7"/>
  <c r="BL176" i="7"/>
  <c r="BL174" i="7"/>
  <c r="BK183" i="7"/>
  <c r="BL180" i="7"/>
  <c r="BL178" i="7"/>
  <c r="BL175" i="7"/>
  <c r="BL165" i="7"/>
  <c r="BL164" i="7"/>
  <c r="BL158" i="7"/>
  <c r="BL148" i="7"/>
  <c r="BL154" i="7"/>
  <c r="BL139" i="7"/>
  <c r="BK139" i="7"/>
  <c r="BJ139" i="7"/>
  <c r="BL104" i="7"/>
  <c r="AD5" i="7"/>
  <c r="AH5" i="7"/>
  <c r="AL5" i="7"/>
  <c r="BH5" i="7"/>
  <c r="BI5" i="7"/>
  <c r="BJ5" i="7"/>
  <c r="DD133" i="7" l="1"/>
  <c r="DE124" i="7"/>
  <c r="DE125" i="7" s="1"/>
  <c r="EZ118" i="7"/>
  <c r="EZ128" i="7"/>
  <c r="EZ114" i="7"/>
  <c r="FA113" i="7"/>
  <c r="FA137" i="7" s="1"/>
  <c r="EY118" i="7"/>
  <c r="EY128" i="7"/>
  <c r="EY123" i="7"/>
  <c r="DF124" i="7"/>
  <c r="FC140" i="7"/>
  <c r="FD5" i="7"/>
  <c r="FD4" i="7"/>
  <c r="FC141" i="7"/>
  <c r="FC7" i="7"/>
  <c r="FB142" i="7"/>
  <c r="DB124" i="7"/>
  <c r="DA133" i="7"/>
  <c r="DA173" i="7"/>
  <c r="DA125" i="7"/>
  <c r="BL156" i="7"/>
  <c r="BL147" i="7"/>
  <c r="BV122" i="7"/>
  <c r="BV131" i="7"/>
  <c r="BT128" i="7"/>
  <c r="EP5" i="7"/>
  <c r="BS140" i="7"/>
  <c r="BS113" i="7"/>
  <c r="BS115" i="7" s="1"/>
  <c r="BU131" i="7"/>
  <c r="BU122" i="7"/>
  <c r="BM130" i="7"/>
  <c r="BM129" i="7"/>
  <c r="BM140" i="7"/>
  <c r="BL169" i="7"/>
  <c r="BL171" i="7" s="1"/>
  <c r="BL183" i="7"/>
  <c r="BL199" i="7" s="1"/>
  <c r="EM81" i="7"/>
  <c r="EM68" i="7"/>
  <c r="BL5" i="7"/>
  <c r="BL28" i="7"/>
  <c r="DE133" i="7" l="1"/>
  <c r="EZ131" i="7"/>
  <c r="EZ122" i="7"/>
  <c r="FA134" i="7"/>
  <c r="FA129" i="7"/>
  <c r="FA130" i="7"/>
  <c r="FA115" i="7"/>
  <c r="EY131" i="7"/>
  <c r="EY122" i="7"/>
  <c r="EY124" i="7" s="1"/>
  <c r="EY125" i="7" s="1"/>
  <c r="DF125" i="7"/>
  <c r="DF133" i="7"/>
  <c r="FB113" i="7"/>
  <c r="FD7" i="7"/>
  <c r="FC142" i="7"/>
  <c r="FD141" i="7"/>
  <c r="FE4" i="7"/>
  <c r="FD140" i="7"/>
  <c r="FE5" i="7"/>
  <c r="DB125" i="7"/>
  <c r="DB133" i="7"/>
  <c r="BS130" i="7"/>
  <c r="BS129" i="7"/>
  <c r="BT122" i="7"/>
  <c r="BT131" i="7"/>
  <c r="BV123" i="7"/>
  <c r="BV132" i="7" s="1"/>
  <c r="BU123" i="7"/>
  <c r="BU132" i="7" s="1"/>
  <c r="BL140" i="7"/>
  <c r="BL113" i="7"/>
  <c r="H40" i="50"/>
  <c r="I40" i="50"/>
  <c r="X34" i="50"/>
  <c r="T22" i="50"/>
  <c r="T19" i="50"/>
  <c r="T16" i="50" s="1"/>
  <c r="T18" i="50"/>
  <c r="T17" i="50"/>
  <c r="H24" i="50"/>
  <c r="H23" i="50"/>
  <c r="H21" i="50"/>
  <c r="H20" i="50"/>
  <c r="H37" i="50" s="1"/>
  <c r="I24" i="50"/>
  <c r="I23" i="50"/>
  <c r="I21" i="50"/>
  <c r="I20" i="50"/>
  <c r="I37" i="50" s="1"/>
  <c r="AB34" i="50"/>
  <c r="AA34" i="50"/>
  <c r="Z34" i="50"/>
  <c r="Y34" i="50"/>
  <c r="AC34" i="50"/>
  <c r="Y31" i="50"/>
  <c r="Y30" i="50"/>
  <c r="U22" i="50"/>
  <c r="U19" i="50"/>
  <c r="U18" i="50"/>
  <c r="U17" i="50"/>
  <c r="AB31" i="50"/>
  <c r="AA31" i="50"/>
  <c r="Z31" i="50"/>
  <c r="AB30" i="50"/>
  <c r="AA30" i="50"/>
  <c r="Z30" i="50"/>
  <c r="AC31" i="50"/>
  <c r="AC30" i="50"/>
  <c r="V22" i="50"/>
  <c r="V19" i="50"/>
  <c r="V18" i="50"/>
  <c r="V17" i="50"/>
  <c r="W22" i="50"/>
  <c r="W19" i="50"/>
  <c r="W18" i="50"/>
  <c r="W17" i="50"/>
  <c r="AB18" i="50"/>
  <c r="AB17" i="50"/>
  <c r="AB22" i="50"/>
  <c r="AA22" i="50"/>
  <c r="Z22" i="50"/>
  <c r="Y22" i="50"/>
  <c r="Y32" i="50" s="1"/>
  <c r="X22" i="50"/>
  <c r="AB19" i="50"/>
  <c r="AA19" i="50"/>
  <c r="Z19" i="50"/>
  <c r="Y19" i="50"/>
  <c r="X19" i="50"/>
  <c r="AC22" i="50"/>
  <c r="AC32" i="50" s="1"/>
  <c r="AC19" i="50"/>
  <c r="AC16" i="50"/>
  <c r="X18" i="50"/>
  <c r="X28" i="50" s="1"/>
  <c r="X17" i="50"/>
  <c r="X27" i="50" s="1"/>
  <c r="AC18" i="50"/>
  <c r="AA18" i="50"/>
  <c r="AA28" i="50" s="1"/>
  <c r="Z18" i="50"/>
  <c r="Z28" i="50" s="1"/>
  <c r="Y18" i="50"/>
  <c r="Y28" i="50" s="1"/>
  <c r="AC17" i="50"/>
  <c r="AA17" i="50"/>
  <c r="Z17" i="50"/>
  <c r="Y17" i="50"/>
  <c r="I15" i="50"/>
  <c r="J15" i="50" s="1"/>
  <c r="K15" i="50" s="1"/>
  <c r="L15" i="50" s="1"/>
  <c r="M15" i="50" s="1"/>
  <c r="N15" i="50" s="1"/>
  <c r="O15" i="50" s="1"/>
  <c r="P15" i="50" s="1"/>
  <c r="Q15" i="50" s="1"/>
  <c r="R15" i="50" s="1"/>
  <c r="EZ123" i="7" l="1"/>
  <c r="EZ124" i="7" s="1"/>
  <c r="EZ125" i="7" s="1"/>
  <c r="FB137" i="7"/>
  <c r="FB129" i="7"/>
  <c r="FB115" i="7"/>
  <c r="FB130" i="7"/>
  <c r="FA128" i="7"/>
  <c r="FA118" i="7"/>
  <c r="FA114" i="7"/>
  <c r="FB134" i="7"/>
  <c r="FF4" i="7"/>
  <c r="FE141" i="7"/>
  <c r="FE140" i="7"/>
  <c r="FF5" i="7"/>
  <c r="FE7" i="7"/>
  <c r="FD142" i="7"/>
  <c r="FC113" i="7"/>
  <c r="AA29" i="50"/>
  <c r="X32" i="50"/>
  <c r="Z29" i="50"/>
  <c r="Z32" i="50"/>
  <c r="I17" i="50"/>
  <c r="Z27" i="50"/>
  <c r="AA27" i="50"/>
  <c r="AC27" i="50"/>
  <c r="AC28" i="50"/>
  <c r="AC29" i="50"/>
  <c r="AB32" i="50"/>
  <c r="AB27" i="50"/>
  <c r="AB28" i="50"/>
  <c r="H17" i="50"/>
  <c r="H18" i="50"/>
  <c r="H22" i="50"/>
  <c r="BU124" i="7"/>
  <c r="BU133" i="7" s="1"/>
  <c r="BV124" i="7"/>
  <c r="BV125" i="7" s="1"/>
  <c r="BS128" i="7"/>
  <c r="BS118" i="7"/>
  <c r="BT124" i="7"/>
  <c r="BT132" i="7"/>
  <c r="X16" i="50"/>
  <c r="AB16" i="50"/>
  <c r="AA32" i="50"/>
  <c r="U16" i="50"/>
  <c r="Y27" i="50"/>
  <c r="I18" i="50"/>
  <c r="I19" i="50"/>
  <c r="H19" i="50"/>
  <c r="I22" i="50"/>
  <c r="Y29" i="50"/>
  <c r="Z16" i="50"/>
  <c r="AB29" i="50"/>
  <c r="V16" i="50"/>
  <c r="AA16" i="50"/>
  <c r="W16" i="50"/>
  <c r="Y16" i="50"/>
  <c r="FC137" i="7" l="1"/>
  <c r="FC129" i="7"/>
  <c r="FC130" i="7"/>
  <c r="FC115" i="7"/>
  <c r="FC134" i="7"/>
  <c r="FA122" i="7"/>
  <c r="FA131" i="7"/>
  <c r="FB118" i="7"/>
  <c r="FB128" i="7"/>
  <c r="FB114" i="7"/>
  <c r="FD113" i="7"/>
  <c r="FF7" i="7"/>
  <c r="FE142" i="7"/>
  <c r="FF140" i="7"/>
  <c r="FG5" i="7"/>
  <c r="FG4" i="7"/>
  <c r="FF141" i="7"/>
  <c r="BV133" i="7"/>
  <c r="Z26" i="50"/>
  <c r="BU125" i="7"/>
  <c r="BT125" i="7"/>
  <c r="BT133" i="7"/>
  <c r="BS122" i="7"/>
  <c r="BS131" i="7"/>
  <c r="AA26" i="50"/>
  <c r="AB26" i="50"/>
  <c r="H16" i="50"/>
  <c r="X26" i="50"/>
  <c r="AC26" i="50"/>
  <c r="Y26" i="50"/>
  <c r="I16" i="50"/>
  <c r="DU70" i="7"/>
  <c r="DT70" i="7" s="1"/>
  <c r="DS70" i="7" s="1"/>
  <c r="F92" i="7"/>
  <c r="F70" i="7"/>
  <c r="G65" i="7"/>
  <c r="FD137" i="7" l="1"/>
  <c r="FD115" i="7"/>
  <c r="FD114" i="7" s="1"/>
  <c r="FD129" i="7"/>
  <c r="FD130" i="7"/>
  <c r="FD134" i="7"/>
  <c r="FB122" i="7"/>
  <c r="FB131" i="7"/>
  <c r="FA123" i="7"/>
  <c r="FA124" i="7" s="1"/>
  <c r="FA125" i="7" s="1"/>
  <c r="FC128" i="7"/>
  <c r="FC118" i="7"/>
  <c r="FC114" i="7"/>
  <c r="FH4" i="7"/>
  <c r="FG141" i="7"/>
  <c r="FG140" i="7"/>
  <c r="FH5" i="7"/>
  <c r="FG7" i="7"/>
  <c r="FF142" i="7"/>
  <c r="FE113" i="7"/>
  <c r="BS132" i="7"/>
  <c r="FS4" i="7"/>
  <c r="EI32" i="7"/>
  <c r="EK32" i="7"/>
  <c r="EM32" i="7"/>
  <c r="FE137" i="7" l="1"/>
  <c r="FE115" i="7"/>
  <c r="FE114" i="7" s="1"/>
  <c r="FE129" i="7"/>
  <c r="FE130" i="7"/>
  <c r="FE134" i="7"/>
  <c r="FB123" i="7"/>
  <c r="FB124" i="7" s="1"/>
  <c r="FB125" i="7" s="1"/>
  <c r="FC122" i="7"/>
  <c r="FC131" i="7"/>
  <c r="FD128" i="7"/>
  <c r="FD118" i="7"/>
  <c r="FG3" i="7"/>
  <c r="FF113" i="7"/>
  <c r="FH7" i="7"/>
  <c r="FG142" i="7"/>
  <c r="FH140" i="7"/>
  <c r="FI5" i="7"/>
  <c r="FI4" i="7"/>
  <c r="FH141" i="7"/>
  <c r="BS124" i="7"/>
  <c r="BS133" i="7" s="1"/>
  <c r="EC130" i="7"/>
  <c r="EB130" i="7"/>
  <c r="EA130" i="7"/>
  <c r="DZ130" i="7"/>
  <c r="DY130" i="7"/>
  <c r="DX130" i="7"/>
  <c r="DW130" i="7"/>
  <c r="DV130" i="7"/>
  <c r="FC123" i="7" l="1"/>
  <c r="FC124" i="7" s="1"/>
  <c r="FC125" i="7" s="1"/>
  <c r="FF137" i="7"/>
  <c r="FF115" i="7"/>
  <c r="FF129" i="7"/>
  <c r="FF130" i="7"/>
  <c r="FF134" i="7"/>
  <c r="FD122" i="7"/>
  <c r="FD131" i="7"/>
  <c r="FE128" i="7"/>
  <c r="FE118" i="7"/>
  <c r="FI140" i="7"/>
  <c r="FJ5" i="7"/>
  <c r="FI7" i="7"/>
  <c r="FH142" i="7"/>
  <c r="FJ4" i="7"/>
  <c r="FI141" i="7"/>
  <c r="FH3" i="7"/>
  <c r="FG113" i="7"/>
  <c r="FG137" i="7" s="1"/>
  <c r="BS125" i="7"/>
  <c r="EM77" i="7"/>
  <c r="EM116" i="7"/>
  <c r="EM111" i="7"/>
  <c r="EM112" i="7"/>
  <c r="BK199" i="7"/>
  <c r="BJ165" i="7"/>
  <c r="BJ158" i="7"/>
  <c r="BJ154" i="7"/>
  <c r="BJ148" i="7"/>
  <c r="BI144" i="7"/>
  <c r="BH144" i="7"/>
  <c r="BG144" i="7"/>
  <c r="BF144" i="7"/>
  <c r="BE144" i="7"/>
  <c r="BD144" i="7"/>
  <c r="BK158" i="7"/>
  <c r="BK165" i="7"/>
  <c r="BK154" i="7"/>
  <c r="BK148" i="7"/>
  <c r="BB140" i="7"/>
  <c r="EN42" i="7"/>
  <c r="EN9" i="7"/>
  <c r="FE122" i="7" l="1"/>
  <c r="FE131" i="7"/>
  <c r="FD123" i="7"/>
  <c r="FD124" i="7" s="1"/>
  <c r="FD125" i="7" s="1"/>
  <c r="FF128" i="7"/>
  <c r="FF118" i="7"/>
  <c r="FF114" i="7"/>
  <c r="FI3" i="7"/>
  <c r="FH113" i="7"/>
  <c r="FH137" i="7" s="1"/>
  <c r="FJ140" i="7"/>
  <c r="FK5" i="7"/>
  <c r="FK4" i="7"/>
  <c r="FK141" i="7" s="1"/>
  <c r="FJ141" i="7"/>
  <c r="FJ7" i="7"/>
  <c r="FI142" i="7"/>
  <c r="BJ147" i="7"/>
  <c r="BJ144" i="7" s="1"/>
  <c r="EN109" i="7"/>
  <c r="EN116" i="7"/>
  <c r="BK169" i="7"/>
  <c r="BK171" i="7" s="1"/>
  <c r="BK147" i="7"/>
  <c r="BK144" i="7" s="1"/>
  <c r="BJ169" i="7"/>
  <c r="BJ171" i="7" s="1"/>
  <c r="EO109" i="7"/>
  <c r="BK156" i="7"/>
  <c r="EN63" i="7"/>
  <c r="BJ156" i="7"/>
  <c r="EN126" i="7"/>
  <c r="EM126" i="7"/>
  <c r="EM13" i="7"/>
  <c r="EM4" i="7"/>
  <c r="EM109" i="7"/>
  <c r="EL112" i="7"/>
  <c r="BO139" i="7"/>
  <c r="BQ139" i="7"/>
  <c r="BP139" i="7"/>
  <c r="FF122" i="7" l="1"/>
  <c r="FF131" i="7"/>
  <c r="FE123" i="7"/>
  <c r="FE124" i="7" s="1"/>
  <c r="FE125" i="7" s="1"/>
  <c r="FK140" i="7"/>
  <c r="FK7" i="7"/>
  <c r="FK142" i="7" s="1"/>
  <c r="FJ142" i="7"/>
  <c r="FJ3" i="7"/>
  <c r="FI113" i="7"/>
  <c r="FI137" i="7" s="1"/>
  <c r="EO42" i="7"/>
  <c r="EQ109" i="7"/>
  <c r="ER109" i="7" s="1"/>
  <c r="ES109" i="7" s="1"/>
  <c r="ET109" i="7" s="1"/>
  <c r="BR139" i="7"/>
  <c r="EO116" i="7"/>
  <c r="EN112" i="7"/>
  <c r="BI104" i="7"/>
  <c r="BJ110" i="7"/>
  <c r="EM110" i="7" s="1"/>
  <c r="BN139" i="7"/>
  <c r="EN111" i="7"/>
  <c r="BK104" i="7"/>
  <c r="FF123" i="7" l="1"/>
  <c r="FF124" i="7" s="1"/>
  <c r="FF125" i="7" s="1"/>
  <c r="FK3" i="7"/>
  <c r="FK113" i="7" s="1"/>
  <c r="FJ113" i="7"/>
  <c r="FJ137" i="7" s="1"/>
  <c r="EO111" i="7"/>
  <c r="BK110" i="7"/>
  <c r="EN110" i="7" s="1"/>
  <c r="FK137" i="7" l="1"/>
  <c r="EO112" i="7"/>
  <c r="EQ112" i="7" s="1"/>
  <c r="ER112" i="7" s="1"/>
  <c r="ES112" i="7" s="1"/>
  <c r="EN104" i="7"/>
  <c r="EN117" i="7"/>
  <c r="EO72" i="7"/>
  <c r="EN72" i="7"/>
  <c r="EO59" i="7"/>
  <c r="EN59" i="7"/>
  <c r="EO23" i="7"/>
  <c r="EQ23" i="7" s="1"/>
  <c r="EN23" i="7"/>
  <c r="EO75" i="7"/>
  <c r="EN75" i="7"/>
  <c r="EN65" i="7"/>
  <c r="EO74" i="7"/>
  <c r="EN74" i="7"/>
  <c r="EO36" i="7"/>
  <c r="EN36" i="7"/>
  <c r="EO104" i="7" l="1"/>
  <c r="EN33" i="7"/>
  <c r="EN67" i="7"/>
  <c r="EN16" i="7"/>
  <c r="EN80" i="7"/>
  <c r="EN78" i="7"/>
  <c r="EO65" i="7"/>
  <c r="EN61" i="7"/>
  <c r="EN79" i="7"/>
  <c r="EN83" i="7"/>
  <c r="EN82" i="7"/>
  <c r="ER23" i="7"/>
  <c r="ES23" i="7" s="1"/>
  <c r="ET23" i="7" s="1"/>
  <c r="FS23" i="7" s="1"/>
  <c r="FR23" i="7"/>
  <c r="EM10" i="7"/>
  <c r="EK5" i="7"/>
  <c r="BJ28" i="7"/>
  <c r="BK28" i="7"/>
  <c r="BK5" i="7"/>
  <c r="BK113" i="7" l="1"/>
  <c r="BJ113" i="7"/>
  <c r="EN81" i="7"/>
  <c r="EN62" i="7"/>
  <c r="EO56" i="7"/>
  <c r="EN56" i="7"/>
  <c r="EO32" i="7"/>
  <c r="EQ32" i="7" s="1"/>
  <c r="ER32" i="7" s="1"/>
  <c r="ES32" i="7" s="1"/>
  <c r="ET32" i="7" s="1"/>
  <c r="EN32" i="7"/>
  <c r="EN69" i="7"/>
  <c r="EO78" i="7"/>
  <c r="EQ78" i="7" s="1"/>
  <c r="ER78" i="7" s="1"/>
  <c r="ES78" i="7" s="1"/>
  <c r="ET78" i="7" s="1"/>
  <c r="FS78" i="7" s="1"/>
  <c r="EO33" i="7"/>
  <c r="EO83" i="7"/>
  <c r="EQ83" i="7" s="1"/>
  <c r="ER83" i="7" s="1"/>
  <c r="ES83" i="7" s="1"/>
  <c r="ET83" i="7" s="1"/>
  <c r="FS83" i="7" s="1"/>
  <c r="EO16" i="7"/>
  <c r="EQ16" i="7" s="1"/>
  <c r="ER16" i="7" s="1"/>
  <c r="FS16" i="7" s="1"/>
  <c r="EO67" i="7"/>
  <c r="EQ67" i="7" s="1"/>
  <c r="ER67" i="7" s="1"/>
  <c r="ES67" i="7" s="1"/>
  <c r="ET67" i="7" s="1"/>
  <c r="FS67" i="7" s="1"/>
  <c r="EO80" i="7"/>
  <c r="EQ80" i="7" s="1"/>
  <c r="ER80" i="7" s="1"/>
  <c r="ES80" i="7" s="1"/>
  <c r="ET80" i="7" s="1"/>
  <c r="FS80" i="7" s="1"/>
  <c r="EO82" i="7"/>
  <c r="EQ82" i="7" s="1"/>
  <c r="ER82" i="7" s="1"/>
  <c r="ES82" i="7" s="1"/>
  <c r="ET82" i="7" s="1"/>
  <c r="FS82" i="7" s="1"/>
  <c r="EO79" i="7"/>
  <c r="EQ79" i="7" s="1"/>
  <c r="ER79" i="7" s="1"/>
  <c r="ES79" i="7" s="1"/>
  <c r="ET79" i="7" s="1"/>
  <c r="FS79" i="7" s="1"/>
  <c r="EN10" i="7"/>
  <c r="EO27" i="7"/>
  <c r="EN27" i="7"/>
  <c r="EO61" i="7"/>
  <c r="EQ61" i="7" s="1"/>
  <c r="ER61" i="7" s="1"/>
  <c r="ES61" i="7" s="1"/>
  <c r="ET61" i="7" s="1"/>
  <c r="FS61" i="7" s="1"/>
  <c r="BO140" i="7"/>
  <c r="BH104" i="7"/>
  <c r="BI28" i="7"/>
  <c r="BH28" i="7"/>
  <c r="BN113" i="7" l="1"/>
  <c r="BI113" i="7"/>
  <c r="BM137" i="7" s="1"/>
  <c r="EN66" i="7"/>
  <c r="BK145" i="7"/>
  <c r="BK129" i="7"/>
  <c r="BK130" i="7"/>
  <c r="BJ130" i="7"/>
  <c r="BJ145" i="7"/>
  <c r="BJ129" i="7"/>
  <c r="EN77" i="7"/>
  <c r="EN31" i="7"/>
  <c r="EN57" i="7"/>
  <c r="EO10" i="7"/>
  <c r="EO62" i="7"/>
  <c r="EO69" i="7"/>
  <c r="EN43" i="7"/>
  <c r="EN38" i="7"/>
  <c r="EN64" i="7"/>
  <c r="BK211" i="7"/>
  <c r="EN28" i="7"/>
  <c r="EN76" i="7"/>
  <c r="EN73" i="7"/>
  <c r="EO77" i="7"/>
  <c r="EQ77" i="7" s="1"/>
  <c r="ER77" i="7" s="1"/>
  <c r="ES77" i="7" s="1"/>
  <c r="ET77" i="7" s="1"/>
  <c r="FS77" i="7" s="1"/>
  <c r="EO66" i="7"/>
  <c r="BN140" i="7"/>
  <c r="BR140" i="7"/>
  <c r="BJ115" i="7"/>
  <c r="BJ128" i="7" s="1"/>
  <c r="BK115" i="7"/>
  <c r="BG139" i="7"/>
  <c r="BH139" i="7"/>
  <c r="BI139" i="7"/>
  <c r="BH123" i="7"/>
  <c r="BG104" i="7"/>
  <c r="EM104" i="7" s="1"/>
  <c r="BH113" i="7"/>
  <c r="BI130" i="7" l="1"/>
  <c r="BN115" i="7"/>
  <c r="BN128" i="7" s="1"/>
  <c r="BN130" i="7"/>
  <c r="BN129" i="7"/>
  <c r="EO28" i="7"/>
  <c r="EQ28" i="7" s="1"/>
  <c r="ER28" i="7" s="1"/>
  <c r="ES28" i="7" s="1"/>
  <c r="ET28" i="7" s="1"/>
  <c r="BK128" i="7"/>
  <c r="EN68" i="7"/>
  <c r="EO31" i="7"/>
  <c r="EO57" i="7"/>
  <c r="EN5" i="7"/>
  <c r="EO76" i="7"/>
  <c r="EO73" i="7"/>
  <c r="EO38" i="7"/>
  <c r="EO43" i="7"/>
  <c r="EN70" i="7"/>
  <c r="BI115" i="7"/>
  <c r="BI145" i="7"/>
  <c r="BJ118" i="7"/>
  <c r="BJ131" i="7" s="1"/>
  <c r="BK118" i="7"/>
  <c r="BK131" i="7" s="1"/>
  <c r="BS137" i="7" l="1"/>
  <c r="BL137" i="7"/>
  <c r="BL129" i="7"/>
  <c r="BL145" i="7"/>
  <c r="BL130" i="7"/>
  <c r="BL115" i="7"/>
  <c r="BQ140" i="7"/>
  <c r="BK122" i="7"/>
  <c r="BK132" i="7" s="1"/>
  <c r="BP140" i="7"/>
  <c r="BH129" i="7"/>
  <c r="BH145" i="7"/>
  <c r="BN137" i="7"/>
  <c r="BH130" i="7"/>
  <c r="BH115" i="7"/>
  <c r="BH128" i="7" s="1"/>
  <c r="BG123" i="7"/>
  <c r="BG28" i="7"/>
  <c r="EM28" i="7" s="1"/>
  <c r="BG5" i="7"/>
  <c r="BO130" i="7" l="1"/>
  <c r="BO115" i="7"/>
  <c r="BO129" i="7"/>
  <c r="BK140" i="7"/>
  <c r="BG113" i="7"/>
  <c r="BP113" i="7"/>
  <c r="BM118" i="7"/>
  <c r="BM131" i="7" s="1"/>
  <c r="BL118" i="7"/>
  <c r="BL131" i="7" s="1"/>
  <c r="BL128" i="7"/>
  <c r="EN115" i="7"/>
  <c r="BO137" i="7"/>
  <c r="EM5" i="7"/>
  <c r="BK124" i="7"/>
  <c r="BK133" i="7" s="1"/>
  <c r="EO63" i="7"/>
  <c r="BH118" i="7"/>
  <c r="BH131" i="7" s="1"/>
  <c r="BN118" i="7"/>
  <c r="BN131" i="7" s="1"/>
  <c r="EC137" i="7"/>
  <c r="EB137" i="7"/>
  <c r="EA137" i="7"/>
  <c r="DZ137" i="7"/>
  <c r="DY137" i="7"/>
  <c r="DX137" i="7"/>
  <c r="DW137" i="7"/>
  <c r="EL111" i="7"/>
  <c r="BP129" i="7" l="1"/>
  <c r="BP145" i="7"/>
  <c r="BP130" i="7"/>
  <c r="BT137" i="7"/>
  <c r="BO118" i="7"/>
  <c r="BO131" i="7" s="1"/>
  <c r="BO128" i="7"/>
  <c r="BR113" i="7"/>
  <c r="BL122" i="7"/>
  <c r="BL132" i="7" s="1"/>
  <c r="EN118" i="7"/>
  <c r="BP137" i="7"/>
  <c r="EO70" i="7"/>
  <c r="BQ137" i="7"/>
  <c r="BQ130" i="7"/>
  <c r="EO64" i="7"/>
  <c r="EQ111" i="7"/>
  <c r="ER111" i="7" s="1"/>
  <c r="ES111" i="7" s="1"/>
  <c r="ET111" i="7" s="1"/>
  <c r="BK173" i="7"/>
  <c r="BQ129" i="7"/>
  <c r="BQ118" i="7"/>
  <c r="BH122" i="7"/>
  <c r="BH132" i="7" s="1"/>
  <c r="BK125" i="7"/>
  <c r="BK213" i="7" s="1"/>
  <c r="EL121" i="7"/>
  <c r="EM121" i="7" s="1"/>
  <c r="EL116" i="7"/>
  <c r="BV137" i="7" l="1"/>
  <c r="BR145" i="7"/>
  <c r="BR115" i="7"/>
  <c r="BR128" i="7" s="1"/>
  <c r="EO113" i="7"/>
  <c r="BR137" i="7"/>
  <c r="BR130" i="7"/>
  <c r="BR129" i="7"/>
  <c r="BH124" i="7"/>
  <c r="BH173" i="7" s="1"/>
  <c r="BR118" i="7"/>
  <c r="BR131" i="7" s="1"/>
  <c r="BQ131" i="7"/>
  <c r="EM85" i="7"/>
  <c r="EN85" i="7" s="1"/>
  <c r="EN113" i="7" s="1"/>
  <c r="EN114" i="7" s="1"/>
  <c r="FQ112" i="7"/>
  <c r="EL90" i="7"/>
  <c r="EL110" i="7"/>
  <c r="EL109" i="7"/>
  <c r="EL33" i="7"/>
  <c r="EL23" i="7"/>
  <c r="FQ23" i="7" s="1"/>
  <c r="EL36" i="7"/>
  <c r="EL59" i="7"/>
  <c r="EL74" i="7"/>
  <c r="EL38" i="7"/>
  <c r="EL85" i="7"/>
  <c r="BF139" i="7"/>
  <c r="BF104" i="7"/>
  <c r="BF28" i="7"/>
  <c r="BF5" i="7"/>
  <c r="BJ140" i="7" l="1"/>
  <c r="BF113" i="7"/>
  <c r="BJ137" i="7" s="1"/>
  <c r="BH133" i="7"/>
  <c r="BH125" i="7"/>
  <c r="BF140" i="7"/>
  <c r="BL124" i="7"/>
  <c r="BL125" i="7" s="1"/>
  <c r="BL133" i="7" l="1"/>
  <c r="BL173" i="7"/>
  <c r="BF129" i="7"/>
  <c r="BF145" i="7"/>
  <c r="BL143" i="7"/>
  <c r="BF115" i="7"/>
  <c r="BF118" i="7" s="1"/>
  <c r="BF130" i="7"/>
  <c r="EE104" i="7"/>
  <c r="BE5" i="7"/>
  <c r="BD5" i="7"/>
  <c r="BC5" i="7"/>
  <c r="BE140" i="7" l="1"/>
  <c r="BI140" i="7"/>
  <c r="BM122" i="7"/>
  <c r="BM132" i="7" s="1"/>
  <c r="BL144" i="7"/>
  <c r="BC140" i="7"/>
  <c r="BG140" i="7"/>
  <c r="BD140" i="7"/>
  <c r="BH140" i="7"/>
  <c r="EL5" i="7"/>
  <c r="BF128" i="7"/>
  <c r="BF131" i="7"/>
  <c r="BF122" i="7"/>
  <c r="EM65" i="7"/>
  <c r="FS22" i="7"/>
  <c r="FR22" i="7"/>
  <c r="BE123" i="7"/>
  <c r="BE104" i="7"/>
  <c r="BE139" i="7"/>
  <c r="BD139" i="7"/>
  <c r="BE28" i="7"/>
  <c r="BD104" i="7"/>
  <c r="BD28" i="7"/>
  <c r="AK104" i="7"/>
  <c r="AK123" i="7"/>
  <c r="AL104" i="7"/>
  <c r="AL113" i="7" s="1"/>
  <c r="AL123" i="7"/>
  <c r="AO104" i="7"/>
  <c r="AZ104" i="7"/>
  <c r="AM104" i="7"/>
  <c r="AM113" i="7" s="1"/>
  <c r="AN104" i="7"/>
  <c r="AN113" i="7" s="1"/>
  <c r="AP104" i="7"/>
  <c r="AQ104" i="7"/>
  <c r="AQ68" i="7"/>
  <c r="AQ113" i="7" s="1"/>
  <c r="AR123" i="7"/>
  <c r="AR104" i="7"/>
  <c r="AR113" i="7" s="1"/>
  <c r="AS104" i="7"/>
  <c r="AS81" i="7"/>
  <c r="AS73" i="7"/>
  <c r="AS77" i="7"/>
  <c r="AS70" i="7"/>
  <c r="AS68" i="7"/>
  <c r="AT104" i="7"/>
  <c r="BE126" i="7"/>
  <c r="EL126" i="7" s="1"/>
  <c r="AU104" i="7"/>
  <c r="AU32" i="7"/>
  <c r="AU63" i="7"/>
  <c r="AU43" i="7"/>
  <c r="AU27" i="7"/>
  <c r="AU94" i="7"/>
  <c r="AU64" i="7"/>
  <c r="AU69" i="7"/>
  <c r="AU80" i="7"/>
  <c r="AU23" i="7"/>
  <c r="AU42" i="7"/>
  <c r="AU57" i="7"/>
  <c r="AU62" i="7"/>
  <c r="AU67" i="7"/>
  <c r="AU82" i="7"/>
  <c r="AU79" i="7"/>
  <c r="AU65" i="7"/>
  <c r="AU76" i="7"/>
  <c r="AU81" i="7"/>
  <c r="AU73" i="7"/>
  <c r="AU77" i="7"/>
  <c r="AU56" i="7"/>
  <c r="AU70" i="7"/>
  <c r="AU68" i="7"/>
  <c r="BC183" i="7"/>
  <c r="BC199" i="7" s="1"/>
  <c r="BC165" i="7"/>
  <c r="BC161" i="7"/>
  <c r="BC158" i="7"/>
  <c r="BC154" i="7"/>
  <c r="BC148" i="7"/>
  <c r="EK126" i="7"/>
  <c r="EK90" i="7"/>
  <c r="EK111" i="7"/>
  <c r="EK110" i="7"/>
  <c r="EK109" i="7"/>
  <c r="EK96" i="7"/>
  <c r="EK91" i="7"/>
  <c r="EK67" i="7"/>
  <c r="EK82" i="7"/>
  <c r="EK80" i="7"/>
  <c r="EK79" i="7"/>
  <c r="EK23" i="7"/>
  <c r="EK65" i="7"/>
  <c r="EK72" i="7"/>
  <c r="EK75" i="7"/>
  <c r="EK43" i="7"/>
  <c r="EK73" i="7"/>
  <c r="EK77" i="7"/>
  <c r="EK94" i="7"/>
  <c r="EK42" i="7"/>
  <c r="EK56" i="7"/>
  <c r="EK27" i="7"/>
  <c r="EK85" i="7"/>
  <c r="EK76" i="7"/>
  <c r="EK31" i="7"/>
  <c r="EK57" i="7"/>
  <c r="EK64" i="7"/>
  <c r="EK66" i="7"/>
  <c r="EK63" i="7"/>
  <c r="EK69" i="7"/>
  <c r="EK10" i="7"/>
  <c r="AW104" i="7"/>
  <c r="AY104" i="7"/>
  <c r="AY68" i="7"/>
  <c r="BA104" i="7"/>
  <c r="AV104" i="7"/>
  <c r="AV23" i="7"/>
  <c r="AV65" i="7"/>
  <c r="AV72" i="7"/>
  <c r="AV43" i="7"/>
  <c r="AV73" i="7"/>
  <c r="AV77" i="7"/>
  <c r="AV94" i="7"/>
  <c r="AV42" i="7"/>
  <c r="AV56" i="7"/>
  <c r="AV32" i="7"/>
  <c r="AV27" i="7"/>
  <c r="AV76" i="7"/>
  <c r="AV57" i="7"/>
  <c r="AV64" i="7"/>
  <c r="AV63" i="7"/>
  <c r="AV69" i="7"/>
  <c r="AV70" i="7"/>
  <c r="AV62" i="7"/>
  <c r="AV81" i="7"/>
  <c r="AV68" i="7"/>
  <c r="AV123" i="7"/>
  <c r="AZ123" i="7"/>
  <c r="AZ112" i="7"/>
  <c r="BA112" i="7"/>
  <c r="BB104" i="7"/>
  <c r="BA123" i="7"/>
  <c r="BB70" i="7"/>
  <c r="BB62" i="7"/>
  <c r="BB81" i="7"/>
  <c r="BB68" i="7"/>
  <c r="AX123" i="7"/>
  <c r="AX112" i="7"/>
  <c r="BA204" i="7"/>
  <c r="BA205" i="7"/>
  <c r="EJ111" i="7"/>
  <c r="EJ112" i="7"/>
  <c r="BD205" i="7"/>
  <c r="BC43" i="7"/>
  <c r="EL43" i="7" s="1"/>
  <c r="BC65" i="7"/>
  <c r="BC72" i="7"/>
  <c r="EL72" i="7" s="1"/>
  <c r="BC75" i="7"/>
  <c r="EL75" i="7" s="1"/>
  <c r="BC10" i="7"/>
  <c r="BC70" i="7"/>
  <c r="BC69" i="7"/>
  <c r="BC63" i="7"/>
  <c r="BC66" i="7"/>
  <c r="EL66" i="7" s="1"/>
  <c r="BC64" i="7"/>
  <c r="BC57" i="7"/>
  <c r="EL57" i="7" s="1"/>
  <c r="BC31" i="7"/>
  <c r="EL31" i="7" s="1"/>
  <c r="BC76" i="7"/>
  <c r="EL76" i="7" s="1"/>
  <c r="BC27" i="7"/>
  <c r="EL27" i="7" s="1"/>
  <c r="BC73" i="7"/>
  <c r="EL73" i="7" s="1"/>
  <c r="BC77" i="7"/>
  <c r="EL77" i="7" s="1"/>
  <c r="BC42" i="7"/>
  <c r="EL42" i="7" s="1"/>
  <c r="BC56" i="7"/>
  <c r="EL56" i="7" s="1"/>
  <c r="BC32" i="7"/>
  <c r="EL32" i="7" s="1"/>
  <c r="BC62" i="7"/>
  <c r="BC81" i="7"/>
  <c r="BC68" i="7"/>
  <c r="EL68" i="7" s="1"/>
  <c r="BC123" i="7"/>
  <c r="EL117" i="7"/>
  <c r="BB205" i="7"/>
  <c r="BC205" i="7"/>
  <c r="BC204" i="7"/>
  <c r="BB203" i="7"/>
  <c r="BB204" i="7" s="1"/>
  <c r="EJ126" i="7"/>
  <c r="EJ121" i="7"/>
  <c r="EJ119" i="7"/>
  <c r="EJ117" i="7"/>
  <c r="EJ116" i="7"/>
  <c r="BB28" i="7"/>
  <c r="EK121" i="7"/>
  <c r="FR4" i="7"/>
  <c r="FR9" i="7"/>
  <c r="BD203" i="7"/>
  <c r="EL203" i="7" s="1"/>
  <c r="EM203" i="7" s="1"/>
  <c r="EN203" i="7" s="1"/>
  <c r="EO203" i="7" s="1"/>
  <c r="Q18" i="47"/>
  <c r="Q19" i="47"/>
  <c r="Q20" i="47"/>
  <c r="BC104" i="7"/>
  <c r="BC28" i="7"/>
  <c r="EL10" i="7" l="1"/>
  <c r="FQ10" i="7" s="1"/>
  <c r="BD113" i="7"/>
  <c r="AY113" i="7"/>
  <c r="AU113" i="7"/>
  <c r="BA113" i="7"/>
  <c r="BB113" i="7"/>
  <c r="BE113" i="7"/>
  <c r="EL81" i="7"/>
  <c r="BC113" i="7"/>
  <c r="BC145" i="7" s="1"/>
  <c r="AO113" i="7"/>
  <c r="AO211" i="7" s="1"/>
  <c r="AV113" i="7"/>
  <c r="AT113" i="7"/>
  <c r="AT130" i="7" s="1"/>
  <c r="EI81" i="7"/>
  <c r="AS113" i="7"/>
  <c r="AZ113" i="7"/>
  <c r="EK81" i="7"/>
  <c r="EJ68" i="7"/>
  <c r="EJ32" i="7"/>
  <c r="EI68" i="7"/>
  <c r="EK68" i="7"/>
  <c r="EJ81" i="7"/>
  <c r="EL62" i="7"/>
  <c r="EJ70" i="7"/>
  <c r="EL104" i="7"/>
  <c r="FQ104" i="7" s="1"/>
  <c r="EL123" i="7"/>
  <c r="EJ63" i="7"/>
  <c r="EM74" i="7"/>
  <c r="EQ74" i="7" s="1"/>
  <c r="ER74" i="7" s="1"/>
  <c r="ES74" i="7" s="1"/>
  <c r="ET74" i="7" s="1"/>
  <c r="FS74" i="7" s="1"/>
  <c r="EM36" i="7"/>
  <c r="EQ36" i="7" s="1"/>
  <c r="ER36" i="7" s="1"/>
  <c r="ES36" i="7" s="1"/>
  <c r="ET36" i="7" s="1"/>
  <c r="FS36" i="7" s="1"/>
  <c r="EL63" i="7"/>
  <c r="EK70" i="7"/>
  <c r="BF132" i="7"/>
  <c r="BF124" i="7"/>
  <c r="EL28" i="7"/>
  <c r="EL69" i="7"/>
  <c r="EL64" i="7"/>
  <c r="EL70" i="7"/>
  <c r="EL65" i="7"/>
  <c r="EJ69" i="7"/>
  <c r="EM38" i="7"/>
  <c r="EQ38" i="7" s="1"/>
  <c r="ER38" i="7" s="1"/>
  <c r="ES38" i="7" s="1"/>
  <c r="ET38" i="7" s="1"/>
  <c r="FS38" i="7" s="1"/>
  <c r="EM59" i="7"/>
  <c r="EQ59" i="7" s="1"/>
  <c r="ER59" i="7" s="1"/>
  <c r="ES59" i="7" s="1"/>
  <c r="ET59" i="7" s="1"/>
  <c r="FS59" i="7" s="1"/>
  <c r="EK62" i="7"/>
  <c r="EM62" i="7"/>
  <c r="BC147" i="7"/>
  <c r="BC144" i="7" s="1"/>
  <c r="EJ62" i="7"/>
  <c r="BC169" i="7"/>
  <c r="BC171" i="7" s="1"/>
  <c r="BC156" i="7"/>
  <c r="EK123" i="7"/>
  <c r="EK104" i="7"/>
  <c r="EK112" i="7"/>
  <c r="AN211" i="7"/>
  <c r="EK28" i="7"/>
  <c r="BD204" i="7"/>
  <c r="EP203" i="7"/>
  <c r="EQ203" i="7" s="1"/>
  <c r="BB167" i="7"/>
  <c r="BB158" i="7"/>
  <c r="BB154" i="7"/>
  <c r="BB148" i="7"/>
  <c r="AK32" i="7"/>
  <c r="AJ32" i="7"/>
  <c r="AI32" i="7"/>
  <c r="AH32" i="7"/>
  <c r="AG32" i="7"/>
  <c r="AF32" i="7"/>
  <c r="AE32" i="7"/>
  <c r="AD32" i="7"/>
  <c r="AC32" i="7"/>
  <c r="AB32" i="7"/>
  <c r="AK63" i="7"/>
  <c r="AJ63" i="7"/>
  <c r="AI63" i="7"/>
  <c r="AH63" i="7"/>
  <c r="AG63" i="7"/>
  <c r="AF63" i="7"/>
  <c r="AE63" i="7"/>
  <c r="AD63" i="7"/>
  <c r="AC63" i="7"/>
  <c r="AB63" i="7"/>
  <c r="AK43" i="7"/>
  <c r="AJ43" i="7"/>
  <c r="AI43" i="7"/>
  <c r="AE43" i="7"/>
  <c r="AK96" i="7"/>
  <c r="AJ96" i="7"/>
  <c r="AI96" i="7"/>
  <c r="AH96" i="7"/>
  <c r="AG96" i="7"/>
  <c r="AF96" i="7"/>
  <c r="AE96" i="7"/>
  <c r="AD96" i="7"/>
  <c r="AC96" i="7"/>
  <c r="AB96" i="7"/>
  <c r="ED94" i="7"/>
  <c r="AK94" i="7"/>
  <c r="AJ94" i="7"/>
  <c r="AI94" i="7"/>
  <c r="AH94" i="7"/>
  <c r="AG94" i="7"/>
  <c r="AF94" i="7"/>
  <c r="AE94" i="7"/>
  <c r="AD94" i="7"/>
  <c r="AC94" i="7"/>
  <c r="AB94" i="7"/>
  <c r="AK64" i="7"/>
  <c r="AJ64" i="7"/>
  <c r="AI64" i="7"/>
  <c r="AH64" i="7"/>
  <c r="AG64" i="7"/>
  <c r="AF64" i="7"/>
  <c r="AE64" i="7"/>
  <c r="AD64" i="7"/>
  <c r="AC64" i="7"/>
  <c r="AB64" i="7"/>
  <c r="AK69" i="7"/>
  <c r="AJ69" i="7"/>
  <c r="AI69" i="7"/>
  <c r="AH69" i="7"/>
  <c r="AG69" i="7"/>
  <c r="AF69" i="7"/>
  <c r="AE69" i="7"/>
  <c r="AD69" i="7"/>
  <c r="AC69" i="7"/>
  <c r="AB69" i="7"/>
  <c r="AA69" i="7"/>
  <c r="Z69" i="7"/>
  <c r="Y69" i="7"/>
  <c r="X69" i="7"/>
  <c r="W69" i="7"/>
  <c r="V69" i="7"/>
  <c r="U69" i="7"/>
  <c r="T69" i="7"/>
  <c r="S69" i="7"/>
  <c r="R69" i="7"/>
  <c r="Q69" i="7"/>
  <c r="P69" i="7"/>
  <c r="O69" i="7"/>
  <c r="N69" i="7"/>
  <c r="M69" i="7"/>
  <c r="L69" i="7"/>
  <c r="K69" i="7"/>
  <c r="H69" i="7"/>
  <c r="I69" i="7"/>
  <c r="J69" i="7"/>
  <c r="ED62" i="7"/>
  <c r="AK62" i="7"/>
  <c r="AJ62" i="7"/>
  <c r="AI62" i="7"/>
  <c r="AH62" i="7"/>
  <c r="AG62" i="7"/>
  <c r="AF62" i="7"/>
  <c r="AE62" i="7"/>
  <c r="AD62" i="7"/>
  <c r="AC62" i="7"/>
  <c r="AB62" i="7"/>
  <c r="AK76" i="7"/>
  <c r="AJ76" i="7"/>
  <c r="AI76" i="7"/>
  <c r="AG76" i="7"/>
  <c r="AF76" i="7"/>
  <c r="AE76" i="7"/>
  <c r="AD76" i="7"/>
  <c r="AC76" i="7"/>
  <c r="AB76" i="7"/>
  <c r="AA76" i="7"/>
  <c r="Z76" i="7"/>
  <c r="Y76" i="7"/>
  <c r="X76" i="7"/>
  <c r="W76" i="7"/>
  <c r="V76" i="7"/>
  <c r="U76" i="7"/>
  <c r="T76" i="7"/>
  <c r="EF77" i="7"/>
  <c r="ED67" i="7"/>
  <c r="AK67" i="7"/>
  <c r="AJ67" i="7"/>
  <c r="AI67" i="7"/>
  <c r="AH67" i="7"/>
  <c r="AG67" i="7"/>
  <c r="AF67" i="7"/>
  <c r="AE67" i="7"/>
  <c r="AD67" i="7"/>
  <c r="AC67" i="7"/>
  <c r="AB67" i="7"/>
  <c r="AA67" i="7"/>
  <c r="EF75" i="7"/>
  <c r="EE75" i="7"/>
  <c r="ED75" i="7"/>
  <c r="EC75" i="7"/>
  <c r="EB75" i="7"/>
  <c r="EA75" i="7"/>
  <c r="DZ75" i="7"/>
  <c r="AK82" i="7"/>
  <c r="AJ82" i="7"/>
  <c r="AI82" i="7"/>
  <c r="AH82" i="7"/>
  <c r="AG82" i="7"/>
  <c r="AF82" i="7"/>
  <c r="AE82" i="7"/>
  <c r="AD82" i="7"/>
  <c r="AC82" i="7"/>
  <c r="AB82" i="7"/>
  <c r="AK81" i="7"/>
  <c r="AK79" i="7"/>
  <c r="AJ79" i="7"/>
  <c r="AI79" i="7"/>
  <c r="AH79" i="7"/>
  <c r="AG79" i="7"/>
  <c r="AF79" i="7"/>
  <c r="AE79" i="7"/>
  <c r="AD79" i="7"/>
  <c r="AC79" i="7"/>
  <c r="AB79" i="7"/>
  <c r="AA79" i="7"/>
  <c r="Z79" i="7"/>
  <c r="Y79" i="7"/>
  <c r="X79" i="7"/>
  <c r="W79" i="7"/>
  <c r="V79" i="7"/>
  <c r="U79" i="7"/>
  <c r="T79" i="7"/>
  <c r="S79" i="7"/>
  <c r="R79" i="7"/>
  <c r="Q79" i="7"/>
  <c r="P79" i="7"/>
  <c r="O79" i="7"/>
  <c r="N79" i="7"/>
  <c r="M79" i="7"/>
  <c r="L79" i="7"/>
  <c r="K79" i="7"/>
  <c r="J79" i="7"/>
  <c r="I79" i="7"/>
  <c r="H79" i="7"/>
  <c r="G79" i="7"/>
  <c r="AK65" i="7"/>
  <c r="AJ65" i="7"/>
  <c r="AI65" i="7"/>
  <c r="AH65" i="7"/>
  <c r="AG65" i="7"/>
  <c r="AF65" i="7"/>
  <c r="AE65" i="7"/>
  <c r="AD65" i="7"/>
  <c r="AC65" i="7"/>
  <c r="AB65" i="7"/>
  <c r="AA65" i="7"/>
  <c r="Z65" i="7"/>
  <c r="Y65" i="7"/>
  <c r="X65" i="7"/>
  <c r="W65" i="7"/>
  <c r="V65" i="7"/>
  <c r="U65" i="7"/>
  <c r="T65" i="7"/>
  <c r="S65" i="7"/>
  <c r="R65" i="7"/>
  <c r="Q65" i="7"/>
  <c r="P65" i="7"/>
  <c r="O65" i="7"/>
  <c r="N65" i="7"/>
  <c r="M65" i="7"/>
  <c r="L65" i="7"/>
  <c r="K65" i="7"/>
  <c r="J65" i="7"/>
  <c r="I65" i="7"/>
  <c r="H65" i="7"/>
  <c r="DY65" i="7"/>
  <c r="F65" i="7" s="1"/>
  <c r="ED57" i="7"/>
  <c r="AK57" i="7"/>
  <c r="AJ57" i="7"/>
  <c r="AI57" i="7"/>
  <c r="AH57" i="7"/>
  <c r="AG57" i="7"/>
  <c r="AF57" i="7"/>
  <c r="AE57" i="7"/>
  <c r="AD57" i="7"/>
  <c r="AC57" i="7"/>
  <c r="AB57" i="7"/>
  <c r="ED42" i="7"/>
  <c r="AJ42" i="7"/>
  <c r="AI42" i="7"/>
  <c r="AH42" i="7"/>
  <c r="AG42" i="7"/>
  <c r="AF42" i="7"/>
  <c r="AE42" i="7"/>
  <c r="AD42" i="7"/>
  <c r="AC42" i="7"/>
  <c r="AB42" i="7"/>
  <c r="AA42" i="7"/>
  <c r="AK80" i="7"/>
  <c r="AJ80" i="7"/>
  <c r="AI80" i="7"/>
  <c r="AH80" i="7"/>
  <c r="AG80" i="7"/>
  <c r="AF80" i="7"/>
  <c r="AE80" i="7"/>
  <c r="AD80" i="7"/>
  <c r="AC80" i="7"/>
  <c r="AB80" i="7"/>
  <c r="AA80" i="7"/>
  <c r="Z80" i="7"/>
  <c r="Y80" i="7"/>
  <c r="X80" i="7"/>
  <c r="W80" i="7"/>
  <c r="V80" i="7"/>
  <c r="U80" i="7"/>
  <c r="T80" i="7"/>
  <c r="S80" i="7"/>
  <c r="R80" i="7"/>
  <c r="Q80" i="7"/>
  <c r="P80" i="7"/>
  <c r="O80" i="7"/>
  <c r="N80" i="7"/>
  <c r="M80" i="7"/>
  <c r="L80" i="7"/>
  <c r="K80" i="7"/>
  <c r="J80" i="7"/>
  <c r="I80" i="7"/>
  <c r="H80" i="7"/>
  <c r="G80" i="7"/>
  <c r="DY80" i="7"/>
  <c r="F80" i="7" s="1"/>
  <c r="AK23" i="7"/>
  <c r="AJ23" i="7"/>
  <c r="AI23" i="7"/>
  <c r="AH23" i="7"/>
  <c r="AG23" i="7"/>
  <c r="AF23" i="7"/>
  <c r="AE23" i="7"/>
  <c r="AD23" i="7"/>
  <c r="AC23" i="7"/>
  <c r="AB23" i="7"/>
  <c r="AA23" i="7"/>
  <c r="Z23" i="7"/>
  <c r="Y23" i="7"/>
  <c r="X23" i="7"/>
  <c r="W23" i="7"/>
  <c r="V23" i="7"/>
  <c r="U23" i="7"/>
  <c r="T23" i="7"/>
  <c r="S23" i="7"/>
  <c r="R23" i="7"/>
  <c r="Q23" i="7"/>
  <c r="P23" i="7"/>
  <c r="O23" i="7"/>
  <c r="N23" i="7"/>
  <c r="M23" i="7"/>
  <c r="L23" i="7"/>
  <c r="K23" i="7"/>
  <c r="J23" i="7"/>
  <c r="I23" i="7"/>
  <c r="H23" i="7"/>
  <c r="G23" i="7"/>
  <c r="DY23" i="7"/>
  <c r="F23" i="7" s="1"/>
  <c r="AK91" i="7"/>
  <c r="AJ91" i="7"/>
  <c r="AI91" i="7"/>
  <c r="AH91" i="7"/>
  <c r="AG91" i="7"/>
  <c r="AF91" i="7"/>
  <c r="AE91" i="7"/>
  <c r="AD91" i="7"/>
  <c r="AC91" i="7"/>
  <c r="AB91" i="7"/>
  <c r="AA91" i="7"/>
  <c r="Z91" i="7"/>
  <c r="Y91" i="7"/>
  <c r="X91" i="7"/>
  <c r="W91" i="7"/>
  <c r="V91" i="7"/>
  <c r="U91" i="7"/>
  <c r="T91" i="7"/>
  <c r="S91" i="7"/>
  <c r="R91" i="7"/>
  <c r="Q91" i="7"/>
  <c r="P91" i="7"/>
  <c r="O91" i="7"/>
  <c r="N91" i="7"/>
  <c r="M91" i="7"/>
  <c r="L91" i="7"/>
  <c r="K91" i="7"/>
  <c r="J91" i="7"/>
  <c r="I91" i="7"/>
  <c r="H91" i="7"/>
  <c r="G91" i="7"/>
  <c r="AK73" i="7"/>
  <c r="AJ73" i="7"/>
  <c r="AI73" i="7"/>
  <c r="AH73" i="7"/>
  <c r="AG73" i="7"/>
  <c r="AF73" i="7"/>
  <c r="AE73" i="7"/>
  <c r="AD73" i="7"/>
  <c r="AC73" i="7"/>
  <c r="AB73" i="7"/>
  <c r="AA73" i="7"/>
  <c r="Z73" i="7"/>
  <c r="Y73" i="7"/>
  <c r="X73" i="7"/>
  <c r="W73" i="7"/>
  <c r="V73" i="7"/>
  <c r="U73" i="7"/>
  <c r="T73" i="7"/>
  <c r="S73" i="7"/>
  <c r="R73" i="7"/>
  <c r="Q73" i="7"/>
  <c r="P73" i="7"/>
  <c r="O73" i="7"/>
  <c r="N73" i="7"/>
  <c r="M73" i="7"/>
  <c r="L73" i="7"/>
  <c r="K73" i="7"/>
  <c r="J73" i="7"/>
  <c r="I73" i="7"/>
  <c r="H73" i="7"/>
  <c r="G73" i="7"/>
  <c r="DY73" i="7"/>
  <c r="F73" i="7" s="1"/>
  <c r="AK70" i="7"/>
  <c r="AJ70" i="7"/>
  <c r="AI70" i="7"/>
  <c r="AH70" i="7"/>
  <c r="AG70" i="7"/>
  <c r="AF70" i="7"/>
  <c r="AE70" i="7"/>
  <c r="AD70" i="7"/>
  <c r="AC70" i="7"/>
  <c r="AB70" i="7"/>
  <c r="AA70" i="7"/>
  <c r="Z70" i="7"/>
  <c r="Y70" i="7"/>
  <c r="X70" i="7"/>
  <c r="W70" i="7"/>
  <c r="V70" i="7"/>
  <c r="U70" i="7"/>
  <c r="T70" i="7"/>
  <c r="S70" i="7"/>
  <c r="R70" i="7"/>
  <c r="Q70" i="7"/>
  <c r="P70" i="7"/>
  <c r="O70" i="7"/>
  <c r="J70" i="7"/>
  <c r="I70" i="7"/>
  <c r="H70" i="7"/>
  <c r="G70" i="7"/>
  <c r="N70" i="7"/>
  <c r="M70" i="7"/>
  <c r="L70" i="7"/>
  <c r="K70" i="7"/>
  <c r="AK68" i="7"/>
  <c r="AJ68" i="7"/>
  <c r="AI68" i="7"/>
  <c r="AH68" i="7"/>
  <c r="AG68" i="7"/>
  <c r="AF68" i="7"/>
  <c r="AE68" i="7"/>
  <c r="AD68" i="7"/>
  <c r="AC68" i="7"/>
  <c r="AB68" i="7"/>
  <c r="AA68" i="7"/>
  <c r="Z68" i="7"/>
  <c r="Y68" i="7"/>
  <c r="X68" i="7"/>
  <c r="W68" i="7"/>
  <c r="V68" i="7"/>
  <c r="U68" i="7"/>
  <c r="T68" i="7"/>
  <c r="S68" i="7"/>
  <c r="R68" i="7"/>
  <c r="Q68" i="7"/>
  <c r="P68" i="7"/>
  <c r="O68" i="7"/>
  <c r="N68" i="7"/>
  <c r="M68" i="7"/>
  <c r="L68" i="7"/>
  <c r="K68" i="7"/>
  <c r="J68" i="7"/>
  <c r="I68" i="7"/>
  <c r="H68" i="7"/>
  <c r="G68" i="7"/>
  <c r="AX104" i="7"/>
  <c r="AX113" i="7" s="1"/>
  <c r="AZ185" i="7"/>
  <c r="BA185" i="7" s="1"/>
  <c r="BB185" i="7" s="1"/>
  <c r="AZ182" i="7"/>
  <c r="BA182" i="7" s="1"/>
  <c r="BB182" i="7" s="1"/>
  <c r="AZ179" i="7"/>
  <c r="BA179" i="7" s="1"/>
  <c r="BB179" i="7" s="1"/>
  <c r="AZ178" i="7"/>
  <c r="BA178" i="7" s="1"/>
  <c r="BB178" i="7" s="1"/>
  <c r="AZ177" i="7"/>
  <c r="BA177" i="7" s="1"/>
  <c r="BB177" i="7" s="1"/>
  <c r="AZ176" i="7"/>
  <c r="BA176" i="7" s="1"/>
  <c r="BB176" i="7" s="1"/>
  <c r="AZ175" i="7"/>
  <c r="BA175" i="7" s="1"/>
  <c r="BB175" i="7" s="1"/>
  <c r="AZ174" i="7"/>
  <c r="BA174" i="7" s="1"/>
  <c r="BB174" i="7" s="1"/>
  <c r="AZ165" i="7"/>
  <c r="AZ158" i="7"/>
  <c r="AZ154" i="7"/>
  <c r="AZ148" i="7"/>
  <c r="AY183" i="7"/>
  <c r="AY199" i="7" s="1"/>
  <c r="AY165" i="7"/>
  <c r="AY158" i="7"/>
  <c r="AY154" i="7"/>
  <c r="AY148" i="7"/>
  <c r="AW112" i="7"/>
  <c r="AW113" i="7" s="1"/>
  <c r="BA165" i="7"/>
  <c r="BA161" i="7"/>
  <c r="BA154" i="7"/>
  <c r="BA158" i="7"/>
  <c r="BA148" i="7"/>
  <c r="AX147" i="7"/>
  <c r="EE140" i="7"/>
  <c r="EF140" i="7"/>
  <c r="EG140" i="7"/>
  <c r="EH140" i="7"/>
  <c r="EI140" i="7"/>
  <c r="EJ140" i="7"/>
  <c r="EK140" i="7"/>
  <c r="B38" i="21"/>
  <c r="B39" i="21" s="1"/>
  <c r="B40" i="21" s="1"/>
  <c r="B41" i="21" s="1"/>
  <c r="B42" i="21" s="1"/>
  <c r="B43" i="21" s="1"/>
  <c r="B44" i="21" s="1"/>
  <c r="B45" i="21" s="1"/>
  <c r="BA139" i="7"/>
  <c r="AZ139" i="7"/>
  <c r="AX114" i="7"/>
  <c r="AY117" i="7"/>
  <c r="AY116" i="7"/>
  <c r="BC139" i="7" s="1"/>
  <c r="AY114" i="7"/>
  <c r="AW165" i="7"/>
  <c r="AW158" i="7"/>
  <c r="AW123" i="7"/>
  <c r="EJ123" i="7" s="1"/>
  <c r="AV175" i="7"/>
  <c r="AW175" i="7" s="1"/>
  <c r="AV176" i="7"/>
  <c r="AW176" i="7" s="1"/>
  <c r="AV177" i="7"/>
  <c r="AW177" i="7" s="1"/>
  <c r="AV178" i="7"/>
  <c r="AW178" i="7" s="1"/>
  <c r="AV179" i="7"/>
  <c r="AW179" i="7" s="1"/>
  <c r="AV182" i="7"/>
  <c r="AW182" i="7" s="1"/>
  <c r="AU183" i="7"/>
  <c r="AU148" i="7"/>
  <c r="AU158" i="7"/>
  <c r="AU154" i="7"/>
  <c r="AV154" i="7"/>
  <c r="AV148" i="7"/>
  <c r="AV158" i="7"/>
  <c r="AW148" i="7"/>
  <c r="EJ42" i="7"/>
  <c r="EJ43" i="7"/>
  <c r="EJ75" i="7"/>
  <c r="EJ67" i="7"/>
  <c r="FS9" i="7"/>
  <c r="AT148" i="7"/>
  <c r="AT158" i="7"/>
  <c r="AT123" i="7"/>
  <c r="AW154" i="7"/>
  <c r="AT154" i="7"/>
  <c r="AW139" i="7"/>
  <c r="EI103" i="7"/>
  <c r="EI97" i="7"/>
  <c r="EI42" i="7"/>
  <c r="EI43" i="7"/>
  <c r="EI75" i="7"/>
  <c r="EI67" i="7"/>
  <c r="EH112" i="7"/>
  <c r="EI112" i="7" s="1"/>
  <c r="EJ23" i="7"/>
  <c r="EJ79" i="7"/>
  <c r="EI79" i="7"/>
  <c r="EI126" i="7"/>
  <c r="EJ82" i="7"/>
  <c r="EJ80" i="7"/>
  <c r="EJ73" i="7"/>
  <c r="EJ65" i="7"/>
  <c r="EJ77" i="7"/>
  <c r="EJ57" i="7"/>
  <c r="EJ76" i="7"/>
  <c r="EJ94" i="7"/>
  <c r="EJ27" i="7"/>
  <c r="EJ64" i="7"/>
  <c r="AP68" i="7"/>
  <c r="AP113" i="7" s="1"/>
  <c r="EI62" i="7"/>
  <c r="EI69" i="7"/>
  <c r="EI63" i="7"/>
  <c r="EI64" i="7"/>
  <c r="EI27" i="7"/>
  <c r="EI94" i="7"/>
  <c r="EI76" i="7"/>
  <c r="EI57" i="7"/>
  <c r="EI77" i="7"/>
  <c r="EI65" i="7"/>
  <c r="EI73" i="7"/>
  <c r="EI80" i="7"/>
  <c r="EI23" i="7"/>
  <c r="EI82" i="7"/>
  <c r="AQ114" i="7"/>
  <c r="AR114" i="7"/>
  <c r="AQ116" i="7"/>
  <c r="AR116" i="7"/>
  <c r="AR139" i="7" s="1"/>
  <c r="AQ117" i="7"/>
  <c r="AR117" i="7"/>
  <c r="AR121" i="7"/>
  <c r="EI119" i="7" s="1"/>
  <c r="AS147" i="7"/>
  <c r="EE112" i="7"/>
  <c r="EE69" i="7"/>
  <c r="EH104" i="7"/>
  <c r="EI104" i="7" s="1"/>
  <c r="EI111" i="7"/>
  <c r="EH70" i="7"/>
  <c r="EG104" i="7"/>
  <c r="EG112" i="7"/>
  <c r="EF104" i="7"/>
  <c r="EF112" i="7"/>
  <c r="ED69" i="7"/>
  <c r="AI77" i="7"/>
  <c r="AI97" i="7"/>
  <c r="AI103" i="7"/>
  <c r="AI106" i="7"/>
  <c r="AI107" i="7"/>
  <c r="AI108" i="7"/>
  <c r="AI101" i="7"/>
  <c r="AI104" i="7"/>
  <c r="AI114" i="7"/>
  <c r="AH97" i="7"/>
  <c r="AH103" i="7"/>
  <c r="AH106" i="7"/>
  <c r="AH107" i="7"/>
  <c r="AH108" i="7"/>
  <c r="AH101" i="7"/>
  <c r="AH104" i="7"/>
  <c r="AD114" i="7"/>
  <c r="AC114" i="7"/>
  <c r="AB114" i="7"/>
  <c r="AK7" i="40"/>
  <c r="AJ7" i="40"/>
  <c r="AI7" i="40"/>
  <c r="AH7" i="40"/>
  <c r="AG7" i="40"/>
  <c r="AF7" i="40"/>
  <c r="AE7" i="40"/>
  <c r="AD7" i="40"/>
  <c r="AC7" i="40"/>
  <c r="AB7" i="40"/>
  <c r="AA7" i="40"/>
  <c r="Z7" i="40"/>
  <c r="Y7" i="40"/>
  <c r="X7" i="40"/>
  <c r="W7" i="40"/>
  <c r="V7" i="40"/>
  <c r="U7" i="40"/>
  <c r="T7" i="40"/>
  <c r="S7" i="40"/>
  <c r="R7" i="40"/>
  <c r="Q7" i="40"/>
  <c r="R13" i="40"/>
  <c r="S13" i="40" s="1"/>
  <c r="R15" i="40"/>
  <c r="Q15" i="40"/>
  <c r="P7" i="40"/>
  <c r="P15" i="40"/>
  <c r="P14" i="40" s="1"/>
  <c r="O15" i="40"/>
  <c r="N15" i="40"/>
  <c r="O16" i="40"/>
  <c r="N16" i="40"/>
  <c r="F25" i="40"/>
  <c r="L13" i="40"/>
  <c r="M13" i="40" s="1"/>
  <c r="L15" i="40"/>
  <c r="L5" i="40" s="1"/>
  <c r="L7" i="40" s="1"/>
  <c r="M15" i="40"/>
  <c r="L16" i="40"/>
  <c r="M16" i="40"/>
  <c r="F27" i="40"/>
  <c r="B31" i="40"/>
  <c r="B28" i="40"/>
  <c r="B29" i="40" s="1"/>
  <c r="K4" i="19"/>
  <c r="AQ123" i="7"/>
  <c r="AQ148" i="7"/>
  <c r="AQ158" i="7"/>
  <c r="AN115" i="7"/>
  <c r="AN128" i="7" s="1"/>
  <c r="AN121" i="7"/>
  <c r="AM121" i="7"/>
  <c r="AR183" i="7"/>
  <c r="AR148" i="7"/>
  <c r="AR158" i="7"/>
  <c r="EJ56" i="7"/>
  <c r="EI56" i="7"/>
  <c r="EI70" i="7"/>
  <c r="AT139" i="7"/>
  <c r="AS139" i="7"/>
  <c r="AX139" i="7"/>
  <c r="AN130" i="7"/>
  <c r="AE117" i="7"/>
  <c r="AF117" i="7"/>
  <c r="AE116" i="7"/>
  <c r="AO126" i="7"/>
  <c r="AN129" i="7"/>
  <c r="D13" i="25"/>
  <c r="D12" i="25"/>
  <c r="U11" i="25"/>
  <c r="T11" i="25"/>
  <c r="S11" i="25"/>
  <c r="R11" i="25"/>
  <c r="Q11" i="25"/>
  <c r="P11" i="25"/>
  <c r="O11" i="25"/>
  <c r="N11" i="25"/>
  <c r="M11" i="25"/>
  <c r="L11" i="25"/>
  <c r="K11" i="25"/>
  <c r="J11" i="25"/>
  <c r="I11" i="25"/>
  <c r="H11" i="25"/>
  <c r="E11" i="25"/>
  <c r="C11" i="25"/>
  <c r="AH3" i="24"/>
  <c r="AG3" i="24"/>
  <c r="E5" i="24"/>
  <c r="E4" i="24"/>
  <c r="AF3" i="24"/>
  <c r="AE3" i="24"/>
  <c r="AD3" i="24"/>
  <c r="AC3" i="24"/>
  <c r="D5" i="24"/>
  <c r="D4" i="24"/>
  <c r="D3" i="24"/>
  <c r="F3" i="24"/>
  <c r="C4" i="24"/>
  <c r="C5" i="24"/>
  <c r="AB3" i="24"/>
  <c r="AA3" i="24"/>
  <c r="Z3" i="24"/>
  <c r="Y3" i="24"/>
  <c r="X3" i="24"/>
  <c r="W3" i="24"/>
  <c r="N3" i="23"/>
  <c r="M3" i="23"/>
  <c r="L3" i="23"/>
  <c r="K3" i="23"/>
  <c r="T121" i="7"/>
  <c r="AQ3" i="22"/>
  <c r="AP3" i="22"/>
  <c r="N3" i="22"/>
  <c r="M3" i="22"/>
  <c r="L3" i="22"/>
  <c r="K3" i="22"/>
  <c r="AO3" i="22"/>
  <c r="AN3" i="22"/>
  <c r="AM3" i="22"/>
  <c r="AL3" i="22"/>
  <c r="AK3" i="22"/>
  <c r="AJ3" i="22"/>
  <c r="AI3" i="22"/>
  <c r="AH3" i="22"/>
  <c r="AG3" i="22"/>
  <c r="AF3" i="22"/>
  <c r="AE3" i="22"/>
  <c r="AD3" i="22"/>
  <c r="AI116" i="7"/>
  <c r="Y116" i="7"/>
  <c r="X126" i="7"/>
  <c r="Y126" i="7" s="1"/>
  <c r="Z126" i="7" s="1"/>
  <c r="AE124" i="7"/>
  <c r="AE133" i="7" s="1"/>
  <c r="AF124" i="7"/>
  <c r="AF133" i="7" s="1"/>
  <c r="AG124" i="7"/>
  <c r="AG133" i="7" s="1"/>
  <c r="AH124" i="7"/>
  <c r="AH133" i="7" s="1"/>
  <c r="AE132" i="7"/>
  <c r="AF132" i="7"/>
  <c r="AG132" i="7"/>
  <c r="AH132" i="7"/>
  <c r="EC115" i="7"/>
  <c r="EC118" i="7" s="1"/>
  <c r="EC131" i="7" s="1"/>
  <c r="EB115" i="7"/>
  <c r="EB118" i="7" s="1"/>
  <c r="EA115" i="7"/>
  <c r="EA118" i="7" s="1"/>
  <c r="DZ115" i="7"/>
  <c r="DZ118" i="7" s="1"/>
  <c r="DY115" i="7"/>
  <c r="DY128" i="7" s="1"/>
  <c r="DX115" i="7"/>
  <c r="DX118" i="7" s="1"/>
  <c r="DW115" i="7"/>
  <c r="DW128" i="7" s="1"/>
  <c r="DV115" i="7"/>
  <c r="DV118" i="7" s="1"/>
  <c r="EC129" i="7"/>
  <c r="EB129" i="7"/>
  <c r="EA129" i="7"/>
  <c r="DZ129" i="7"/>
  <c r="DY129" i="7"/>
  <c r="DX129" i="7"/>
  <c r="DW129" i="7"/>
  <c r="DV129" i="7"/>
  <c r="BB139" i="7"/>
  <c r="AO129" i="7" l="1"/>
  <c r="AO130" i="7"/>
  <c r="AO115" i="7"/>
  <c r="AO118" i="7" s="1"/>
  <c r="AO131" i="7" s="1"/>
  <c r="O113" i="7"/>
  <c r="AA113" i="7"/>
  <c r="AA115" i="7" s="1"/>
  <c r="AA118" i="7" s="1"/>
  <c r="G113" i="7"/>
  <c r="S113" i="7"/>
  <c r="R113" i="7"/>
  <c r="AE113" i="7"/>
  <c r="AE115" i="7" s="1"/>
  <c r="AE118" i="7" s="1"/>
  <c r="AE131" i="7" s="1"/>
  <c r="N113" i="7"/>
  <c r="Z113" i="7"/>
  <c r="Z115" i="7" s="1"/>
  <c r="Z128" i="7" s="1"/>
  <c r="F113" i="7"/>
  <c r="AT156" i="7"/>
  <c r="P113" i="7"/>
  <c r="AB113" i="7"/>
  <c r="AB115" i="7" s="1"/>
  <c r="AB118" i="7" s="1"/>
  <c r="AK113" i="7"/>
  <c r="Q113" i="7"/>
  <c r="AC113" i="7"/>
  <c r="AC115" i="7" s="1"/>
  <c r="AC118" i="7" s="1"/>
  <c r="AD113" i="7"/>
  <c r="AD115" i="7" s="1"/>
  <c r="AD118" i="7" s="1"/>
  <c r="AT129" i="7"/>
  <c r="H113" i="7"/>
  <c r="T113" i="7"/>
  <c r="T115" i="7" s="1"/>
  <c r="T118" i="7" s="1"/>
  <c r="T122" i="7" s="1"/>
  <c r="T124" i="7" s="1"/>
  <c r="AF113" i="7"/>
  <c r="AF115" i="7" s="1"/>
  <c r="AF118" i="7" s="1"/>
  <c r="AF131" i="7" s="1"/>
  <c r="I113" i="7"/>
  <c r="U113" i="7"/>
  <c r="AG113" i="7"/>
  <c r="AF130" i="7" s="1"/>
  <c r="J113" i="7"/>
  <c r="V113" i="7"/>
  <c r="AH113" i="7"/>
  <c r="AH115" i="7" s="1"/>
  <c r="AH118" i="7" s="1"/>
  <c r="AH131" i="7" s="1"/>
  <c r="K113" i="7"/>
  <c r="W113" i="7"/>
  <c r="W115" i="7" s="1"/>
  <c r="W128" i="7" s="1"/>
  <c r="AI113" i="7"/>
  <c r="AI115" i="7" s="1"/>
  <c r="AI118" i="7" s="1"/>
  <c r="L113" i="7"/>
  <c r="X113" i="7"/>
  <c r="X115" i="7" s="1"/>
  <c r="X128" i="7" s="1"/>
  <c r="AJ113" i="7"/>
  <c r="AN137" i="7" s="1"/>
  <c r="M113" i="7"/>
  <c r="Y113" i="7"/>
  <c r="Y115" i="7" s="1"/>
  <c r="Y128" i="7" s="1"/>
  <c r="T13" i="40"/>
  <c r="S15" i="40"/>
  <c r="C3" i="24"/>
  <c r="D11" i="25"/>
  <c r="DZ68" i="7"/>
  <c r="EA68" i="7"/>
  <c r="EB68" i="7"/>
  <c r="EC68" i="7"/>
  <c r="ED68" i="7"/>
  <c r="EE68" i="7"/>
  <c r="EF68" i="7"/>
  <c r="BF133" i="7"/>
  <c r="BF173" i="7"/>
  <c r="BM124" i="7"/>
  <c r="EL113" i="7"/>
  <c r="E3" i="24"/>
  <c r="EN140" i="7"/>
  <c r="BB147" i="7"/>
  <c r="BB144" i="7" s="1"/>
  <c r="BB211" i="7"/>
  <c r="BF137" i="7"/>
  <c r="FQ68" i="7"/>
  <c r="FQ63" i="7"/>
  <c r="AU156" i="7"/>
  <c r="AZ147" i="7"/>
  <c r="AZ144" i="7" s="1"/>
  <c r="AQ130" i="7"/>
  <c r="BC211" i="7"/>
  <c r="BD115" i="7"/>
  <c r="BD128" i="7" s="1"/>
  <c r="BD129" i="7"/>
  <c r="BD145" i="7"/>
  <c r="BD130" i="7"/>
  <c r="FQ90" i="7"/>
  <c r="BB206" i="7"/>
  <c r="BB207" i="7" s="1"/>
  <c r="BB129" i="7"/>
  <c r="EK113" i="7"/>
  <c r="BB130" i="7"/>
  <c r="AP115" i="7"/>
  <c r="AQ139" i="7"/>
  <c r="AQ129" i="7"/>
  <c r="AX144" i="7"/>
  <c r="EK117" i="7"/>
  <c r="AY130" i="7"/>
  <c r="AX129" i="7"/>
  <c r="AX130" i="7"/>
  <c r="AY129" i="7"/>
  <c r="EK116" i="7"/>
  <c r="BC129" i="7"/>
  <c r="BC130" i="7"/>
  <c r="AM211" i="7"/>
  <c r="AW156" i="7"/>
  <c r="AX211" i="7"/>
  <c r="EJ97" i="7"/>
  <c r="BA206" i="7"/>
  <c r="BA207" i="7" s="1"/>
  <c r="BD137" i="7"/>
  <c r="BC115" i="7"/>
  <c r="BC206" i="7"/>
  <c r="AY139" i="7"/>
  <c r="FS13" i="7"/>
  <c r="FR13" i="7"/>
  <c r="EM63" i="7"/>
  <c r="FR112" i="7"/>
  <c r="FQ72" i="7"/>
  <c r="FQ66" i="7"/>
  <c r="EL140" i="7"/>
  <c r="FQ5" i="7"/>
  <c r="BB115" i="7"/>
  <c r="BB128" i="7" s="1"/>
  <c r="ER203" i="7"/>
  <c r="FQ109" i="7"/>
  <c r="EQ10" i="7"/>
  <c r="EH113" i="7"/>
  <c r="EH130" i="7" s="1"/>
  <c r="EC73" i="7"/>
  <c r="EI108" i="7"/>
  <c r="AV156" i="7"/>
  <c r="AU147" i="7"/>
  <c r="AU144" i="7" s="1"/>
  <c r="AY156" i="7"/>
  <c r="EA70" i="7"/>
  <c r="EB70" i="7"/>
  <c r="EE70" i="7"/>
  <c r="EF70" i="7"/>
  <c r="EA73" i="7"/>
  <c r="EE73" i="7"/>
  <c r="EE91" i="7"/>
  <c r="AY147" i="7"/>
  <c r="AY144" i="7" s="1"/>
  <c r="BA156" i="7"/>
  <c r="EC122" i="7"/>
  <c r="EC124" i="7" s="1"/>
  <c r="EC133" i="7" s="1"/>
  <c r="EC128" i="7"/>
  <c r="AU139" i="7"/>
  <c r="AZ183" i="7"/>
  <c r="AZ199" i="7" s="1"/>
  <c r="EG113" i="7"/>
  <c r="EG130" i="7" s="1"/>
  <c r="AW147" i="7"/>
  <c r="AW144" i="7" s="1"/>
  <c r="AT147" i="7"/>
  <c r="AV147" i="7"/>
  <c r="AV144" i="7" s="1"/>
  <c r="EJ107" i="7"/>
  <c r="EI101" i="7"/>
  <c r="EJ103" i="7"/>
  <c r="DZ70" i="7"/>
  <c r="EC70" i="7"/>
  <c r="ED70" i="7"/>
  <c r="DZ73" i="7"/>
  <c r="EB73" i="7"/>
  <c r="ED73" i="7"/>
  <c r="EF73" i="7"/>
  <c r="EF91" i="7"/>
  <c r="AZ156" i="7"/>
  <c r="DX128" i="7"/>
  <c r="AV183" i="7"/>
  <c r="AN118" i="7"/>
  <c r="AN131" i="7" s="1"/>
  <c r="AV139" i="7"/>
  <c r="EI107" i="7"/>
  <c r="EJ108" i="7"/>
  <c r="EJ106" i="7"/>
  <c r="AW169" i="7"/>
  <c r="T15" i="40"/>
  <c r="U13" i="40"/>
  <c r="N13" i="40"/>
  <c r="M5" i="40"/>
  <c r="M7" i="40" s="1"/>
  <c r="AY169" i="7"/>
  <c r="AM129" i="7"/>
  <c r="EJ101" i="7"/>
  <c r="FQ62" i="7"/>
  <c r="BA169" i="7"/>
  <c r="AZ169" i="7"/>
  <c r="EI106" i="7"/>
  <c r="AR147" i="7"/>
  <c r="AQ147" i="7"/>
  <c r="EI117" i="7"/>
  <c r="BA147" i="7"/>
  <c r="BA144" i="7" s="1"/>
  <c r="BB183" i="7"/>
  <c r="BB199" i="7" s="1"/>
  <c r="BB156" i="7"/>
  <c r="EB128" i="7"/>
  <c r="DV128" i="7"/>
  <c r="EI116" i="7"/>
  <c r="DZ128" i="7"/>
  <c r="BB169" i="7"/>
  <c r="BB171" i="7" s="1"/>
  <c r="BB145" i="7"/>
  <c r="AQ115" i="7"/>
  <c r="DW118" i="7"/>
  <c r="DZ79" i="7"/>
  <c r="EC80" i="7"/>
  <c r="ED79" i="7"/>
  <c r="EF79" i="7"/>
  <c r="EC76" i="7"/>
  <c r="EF62" i="7"/>
  <c r="EB23" i="7"/>
  <c r="EF23" i="7"/>
  <c r="EA80" i="7"/>
  <c r="EB80" i="7"/>
  <c r="AU115" i="7"/>
  <c r="AU128" i="7" s="1"/>
  <c r="DZ23" i="7"/>
  <c r="EA23" i="7"/>
  <c r="EE42" i="7"/>
  <c r="EF57" i="7"/>
  <c r="EE76" i="7"/>
  <c r="EF76" i="7"/>
  <c r="EE62" i="7"/>
  <c r="EE94" i="7"/>
  <c r="EF94" i="7"/>
  <c r="EF96" i="7"/>
  <c r="ED23" i="7"/>
  <c r="EE23" i="7"/>
  <c r="EE80" i="7"/>
  <c r="EF80" i="7"/>
  <c r="EE57" i="7"/>
  <c r="EB79" i="7"/>
  <c r="EC79" i="7"/>
  <c r="EE67" i="7"/>
  <c r="EF67" i="7"/>
  <c r="K7" i="19"/>
  <c r="BA183" i="7"/>
  <c r="BA199" i="7" s="1"/>
  <c r="DY118" i="7"/>
  <c r="EA128" i="7"/>
  <c r="DZ91" i="7"/>
  <c r="EA91" i="7"/>
  <c r="EB91" i="7"/>
  <c r="EC91" i="7"/>
  <c r="ED91" i="7"/>
  <c r="EC23" i="7"/>
  <c r="DZ80" i="7"/>
  <c r="ED80" i="7"/>
  <c r="EF42" i="7"/>
  <c r="EA79" i="7"/>
  <c r="EE79" i="7"/>
  <c r="ED76" i="7"/>
  <c r="EE96" i="7"/>
  <c r="EA122" i="7"/>
  <c r="EA131" i="7"/>
  <c r="AW183" i="7"/>
  <c r="DV131" i="7"/>
  <c r="DV122" i="7"/>
  <c r="DX131" i="7"/>
  <c r="DX122" i="7"/>
  <c r="DZ122" i="7"/>
  <c r="DZ131" i="7"/>
  <c r="EB131" i="7"/>
  <c r="EB122" i="7"/>
  <c r="AO122" i="7" l="1"/>
  <c r="AO132" i="7" s="1"/>
  <c r="AO128" i="7"/>
  <c r="W118" i="7"/>
  <c r="Z118" i="7"/>
  <c r="X118" i="7"/>
  <c r="Y118" i="7"/>
  <c r="BM125" i="7"/>
  <c r="BM133" i="7"/>
  <c r="EK130" i="7"/>
  <c r="EL130" i="7"/>
  <c r="EN119" i="7"/>
  <c r="EL129" i="7"/>
  <c r="AG129" i="7"/>
  <c r="EM73" i="7"/>
  <c r="EQ73" i="7" s="1"/>
  <c r="EM75" i="7"/>
  <c r="EQ75" i="7" s="1"/>
  <c r="EO140" i="7"/>
  <c r="EM33" i="7"/>
  <c r="EQ33" i="7" s="1"/>
  <c r="ER33" i="7" s="1"/>
  <c r="ES33" i="7" s="1"/>
  <c r="ET33" i="7" s="1"/>
  <c r="FS33" i="7" s="1"/>
  <c r="EM56" i="7"/>
  <c r="EQ56" i="7" s="1"/>
  <c r="FR28" i="7"/>
  <c r="EM31" i="7"/>
  <c r="EQ31" i="7" s="1"/>
  <c r="EM140" i="7"/>
  <c r="BB208" i="7"/>
  <c r="EL137" i="7"/>
  <c r="EH129" i="7"/>
  <c r="EH137" i="7"/>
  <c r="EQ63" i="7"/>
  <c r="ER63" i="7" s="1"/>
  <c r="ES63" i="7" s="1"/>
  <c r="ET63" i="7" s="1"/>
  <c r="BC128" i="7"/>
  <c r="EM57" i="7"/>
  <c r="EM64" i="7"/>
  <c r="EQ64" i="7" s="1"/>
  <c r="ER64" i="7" s="1"/>
  <c r="ES64" i="7" s="1"/>
  <c r="ET64" i="7" s="1"/>
  <c r="EM66" i="7"/>
  <c r="EQ66" i="7" s="1"/>
  <c r="ER66" i="7" s="1"/>
  <c r="ES66" i="7" s="1"/>
  <c r="ET66" i="7" s="1"/>
  <c r="FQ64" i="7"/>
  <c r="EM69" i="7"/>
  <c r="AF129" i="7"/>
  <c r="AE129" i="7"/>
  <c r="FR90" i="7"/>
  <c r="FQ28" i="7"/>
  <c r="AQ118" i="7"/>
  <c r="AQ128" i="7"/>
  <c r="EC125" i="7"/>
  <c r="AG115" i="7"/>
  <c r="AG118" i="7" s="1"/>
  <c r="AG131" i="7" s="1"/>
  <c r="AO137" i="7"/>
  <c r="AK130" i="7"/>
  <c r="AK211" i="7"/>
  <c r="AK129" i="7"/>
  <c r="AK115" i="7"/>
  <c r="AL130" i="7"/>
  <c r="AL211" i="7"/>
  <c r="AL129" i="7"/>
  <c r="AL115" i="7"/>
  <c r="AU130" i="7"/>
  <c r="AU129" i="7"/>
  <c r="AS211" i="7"/>
  <c r="AS130" i="7"/>
  <c r="AS129" i="7"/>
  <c r="AP129" i="7"/>
  <c r="AP211" i="7"/>
  <c r="AP137" i="7"/>
  <c r="AR130" i="7"/>
  <c r="AR211" i="7"/>
  <c r="AR129" i="7"/>
  <c r="AU137" i="7"/>
  <c r="AQ211" i="7"/>
  <c r="AQ137" i="7"/>
  <c r="AR115" i="7"/>
  <c r="AV137" i="7"/>
  <c r="AR137" i="7"/>
  <c r="AS115" i="7"/>
  <c r="AS137" i="7"/>
  <c r="AW137" i="7"/>
  <c r="AT115" i="7"/>
  <c r="AT211" i="7"/>
  <c r="AT137" i="7"/>
  <c r="AY137" i="7"/>
  <c r="AU211" i="7"/>
  <c r="AZ137" i="7"/>
  <c r="AZ129" i="7"/>
  <c r="AZ130" i="7"/>
  <c r="BA129" i="7"/>
  <c r="BA130" i="7"/>
  <c r="AV211" i="7"/>
  <c r="AV130" i="7"/>
  <c r="AV129" i="7"/>
  <c r="AX137" i="7"/>
  <c r="AW129" i="7"/>
  <c r="AW130" i="7"/>
  <c r="EK129" i="7"/>
  <c r="FQ76" i="7"/>
  <c r="FQ43" i="7"/>
  <c r="AE130" i="7"/>
  <c r="AV115" i="7"/>
  <c r="AZ211" i="7"/>
  <c r="FQ65" i="7"/>
  <c r="EQ65" i="7"/>
  <c r="BC207" i="7"/>
  <c r="BC208" i="7"/>
  <c r="FQ73" i="7"/>
  <c r="BA211" i="7"/>
  <c r="BB118" i="7"/>
  <c r="BB131" i="7" s="1"/>
  <c r="FQ110" i="7"/>
  <c r="AY211" i="7"/>
  <c r="AW211" i="7"/>
  <c r="FQ32" i="7"/>
  <c r="FQ56" i="7"/>
  <c r="FQ77" i="7"/>
  <c r="FQ31" i="7"/>
  <c r="FQ81" i="7"/>
  <c r="FQ75" i="7"/>
  <c r="FQ69" i="7"/>
  <c r="FR10" i="7"/>
  <c r="FS112" i="7"/>
  <c r="EH115" i="7"/>
  <c r="EH128" i="7" s="1"/>
  <c r="BA137" i="7"/>
  <c r="BA145" i="7"/>
  <c r="ES203" i="7"/>
  <c r="BC137" i="7"/>
  <c r="EI113" i="7"/>
  <c r="EI130" i="7" s="1"/>
  <c r="EJ113" i="7"/>
  <c r="ED113" i="7"/>
  <c r="ED130" i="7" s="1"/>
  <c r="EC132" i="7"/>
  <c r="BA115" i="7"/>
  <c r="BA128" i="7" s="1"/>
  <c r="AM130" i="7"/>
  <c r="AP130" i="7"/>
  <c r="EG115" i="7"/>
  <c r="EG118" i="7" s="1"/>
  <c r="EG131" i="7" s="1"/>
  <c r="EG129" i="7"/>
  <c r="AH129" i="7"/>
  <c r="AN122" i="7"/>
  <c r="AN124" i="7" s="1"/>
  <c r="AY115" i="7"/>
  <c r="AW145" i="7"/>
  <c r="AZ145" i="7"/>
  <c r="AZ115" i="7"/>
  <c r="AZ128" i="7" s="1"/>
  <c r="AM115" i="7"/>
  <c r="AM118" i="7" s="1"/>
  <c r="AY145" i="7"/>
  <c r="AW115" i="7"/>
  <c r="AW128" i="7" s="1"/>
  <c r="AL137" i="7"/>
  <c r="O13" i="40"/>
  <c r="O5" i="40" s="1"/>
  <c r="O7" i="40" s="1"/>
  <c r="N5" i="40"/>
  <c r="N7" i="40" s="1"/>
  <c r="V13" i="40"/>
  <c r="U15" i="40"/>
  <c r="AG130" i="7"/>
  <c r="EE113" i="7"/>
  <c r="EE130" i="7" s="1"/>
  <c r="AU118" i="7"/>
  <c r="EF113" i="7"/>
  <c r="AH130" i="7"/>
  <c r="AM137" i="7"/>
  <c r="DW131" i="7"/>
  <c r="DW122" i="7"/>
  <c r="AP118" i="7"/>
  <c r="AP128" i="7"/>
  <c r="AX115" i="7"/>
  <c r="AX128" i="7" s="1"/>
  <c r="BB137" i="7"/>
  <c r="DY122" i="7"/>
  <c r="DY131" i="7"/>
  <c r="EK211" i="7"/>
  <c r="EB124" i="7"/>
  <c r="EB132" i="7"/>
  <c r="DX124" i="7"/>
  <c r="DX132" i="7"/>
  <c r="DV132" i="7"/>
  <c r="DV124" i="7"/>
  <c r="DZ124" i="7"/>
  <c r="DZ132" i="7"/>
  <c r="EA132" i="7"/>
  <c r="EA124" i="7"/>
  <c r="AO124" i="7" l="1"/>
  <c r="AO125" i="7" s="1"/>
  <c r="FS10" i="7"/>
  <c r="EK137" i="7"/>
  <c r="EJ130" i="7"/>
  <c r="EG137" i="7"/>
  <c r="EF130" i="7"/>
  <c r="BM144" i="7"/>
  <c r="BN122" i="7"/>
  <c r="BN132" i="7" s="1"/>
  <c r="EQ5" i="7"/>
  <c r="EQ140" i="7" s="1"/>
  <c r="EM23" i="7"/>
  <c r="EM27" i="7"/>
  <c r="EQ27" i="7" s="1"/>
  <c r="FR64" i="7"/>
  <c r="FR66" i="7"/>
  <c r="ED115" i="7"/>
  <c r="ED137" i="7"/>
  <c r="FR63" i="7"/>
  <c r="EE115" i="7"/>
  <c r="EE128" i="7" s="1"/>
  <c r="EE137" i="7"/>
  <c r="EJ211" i="7"/>
  <c r="EJ137" i="7"/>
  <c r="EF115" i="7"/>
  <c r="EF118" i="7" s="1"/>
  <c r="EF137" i="7"/>
  <c r="EI211" i="7"/>
  <c r="EI137" i="7"/>
  <c r="EM76" i="7"/>
  <c r="EQ76" i="7" s="1"/>
  <c r="FR76" i="7" s="1"/>
  <c r="EM42" i="7"/>
  <c r="EQ42" i="7" s="1"/>
  <c r="ER42" i="7" s="1"/>
  <c r="ES42" i="7" s="1"/>
  <c r="ET42" i="7" s="1"/>
  <c r="EM72" i="7"/>
  <c r="EQ72" i="7" s="1"/>
  <c r="ER72" i="7" s="1"/>
  <c r="ES72" i="7" s="1"/>
  <c r="ET72" i="7" s="1"/>
  <c r="EQ69" i="7"/>
  <c r="ER69" i="7" s="1"/>
  <c r="ES69" i="7" s="1"/>
  <c r="ET69" i="7" s="1"/>
  <c r="FS28" i="7"/>
  <c r="BB122" i="7"/>
  <c r="BB132" i="7" s="1"/>
  <c r="EM43" i="7"/>
  <c r="EQ43" i="7" s="1"/>
  <c r="ER43" i="7" s="1"/>
  <c r="ES43" i="7" s="1"/>
  <c r="ET43" i="7" s="1"/>
  <c r="FS43" i="7" s="1"/>
  <c r="O8" i="40"/>
  <c r="P8" i="40" s="1"/>
  <c r="Q8" i="40" s="1"/>
  <c r="R8" i="40" s="1"/>
  <c r="S8" i="40" s="1"/>
  <c r="T8" i="40" s="1"/>
  <c r="U8" i="40" s="1"/>
  <c r="V8" i="40" s="1"/>
  <c r="W8" i="40" s="1"/>
  <c r="X8" i="40" s="1"/>
  <c r="Y8" i="40" s="1"/>
  <c r="Z8" i="40" s="1"/>
  <c r="AA8" i="40" s="1"/>
  <c r="AB8" i="40" s="1"/>
  <c r="AC8" i="40" s="1"/>
  <c r="AD8" i="40" s="1"/>
  <c r="AE8" i="40" s="1"/>
  <c r="AF8" i="40" s="1"/>
  <c r="AG8" i="40" s="1"/>
  <c r="AH8" i="40" s="1"/>
  <c r="AI8" i="40" s="1"/>
  <c r="AJ8" i="40" s="1"/>
  <c r="AK8" i="40" s="1"/>
  <c r="AQ122" i="7"/>
  <c r="AQ131" i="7"/>
  <c r="EH118" i="7"/>
  <c r="EH131" i="7" s="1"/>
  <c r="AK118" i="7"/>
  <c r="AK128" i="7"/>
  <c r="AL118" i="7"/>
  <c r="AL128" i="7"/>
  <c r="AU122" i="7"/>
  <c r="AU132" i="7" s="1"/>
  <c r="AU131" i="7"/>
  <c r="AT118" i="7"/>
  <c r="AT128" i="7"/>
  <c r="AS118" i="7"/>
  <c r="AS128" i="7"/>
  <c r="AR118" i="7"/>
  <c r="AR128" i="7"/>
  <c r="EK115" i="7"/>
  <c r="EK118" i="7" s="1"/>
  <c r="AY128" i="7"/>
  <c r="AV118" i="7"/>
  <c r="AV128" i="7"/>
  <c r="ER73" i="7"/>
  <c r="ES73" i="7" s="1"/>
  <c r="ET73" i="7" s="1"/>
  <c r="FS73" i="7" s="1"/>
  <c r="FR73" i="7"/>
  <c r="FQ70" i="7"/>
  <c r="BA208" i="7"/>
  <c r="FR65" i="7"/>
  <c r="ER65" i="7"/>
  <c r="ES65" i="7" s="1"/>
  <c r="ET65" i="7" s="1"/>
  <c r="FS65" i="7" s="1"/>
  <c r="AW118" i="7"/>
  <c r="AW131" i="7" s="1"/>
  <c r="EJ115" i="7"/>
  <c r="EJ118" i="7" s="1"/>
  <c r="EJ122" i="7" s="1"/>
  <c r="EJ124" i="7" s="1"/>
  <c r="EJ125" i="7" s="1"/>
  <c r="EJ213" i="7" s="1"/>
  <c r="EQ57" i="7"/>
  <c r="FQ57" i="7"/>
  <c r="FR109" i="7"/>
  <c r="FQ42" i="7"/>
  <c r="FQ27" i="7"/>
  <c r="FQ111" i="7"/>
  <c r="ET112" i="7"/>
  <c r="EL205" i="7"/>
  <c r="EL204" i="7"/>
  <c r="ER75" i="7"/>
  <c r="ES75" i="7" s="1"/>
  <c r="ET75" i="7" s="1"/>
  <c r="FR75" i="7"/>
  <c r="FS90" i="7"/>
  <c r="ER31" i="7"/>
  <c r="ES31" i="7" s="1"/>
  <c r="ET31" i="7" s="1"/>
  <c r="FS31" i="7" s="1"/>
  <c r="FR31" i="7"/>
  <c r="ER56" i="7"/>
  <c r="ES56" i="7" s="1"/>
  <c r="ET56" i="7" s="1"/>
  <c r="FR56" i="7"/>
  <c r="EJ129" i="7"/>
  <c r="EI115" i="7"/>
  <c r="EI129" i="7"/>
  <c r="ED129" i="7"/>
  <c r="BA118" i="7"/>
  <c r="BA131" i="7" s="1"/>
  <c r="AZ118" i="7"/>
  <c r="AZ131" i="7" s="1"/>
  <c r="ET203" i="7"/>
  <c r="AY118" i="7"/>
  <c r="AY131" i="7" s="1"/>
  <c r="BC118" i="7"/>
  <c r="BC131" i="7" s="1"/>
  <c r="AN132" i="7"/>
  <c r="EF129" i="7"/>
  <c r="AM128" i="7"/>
  <c r="EG122" i="7"/>
  <c r="EG124" i="7" s="1"/>
  <c r="EG125" i="7" s="1"/>
  <c r="EG128" i="7"/>
  <c r="EE129" i="7"/>
  <c r="V15" i="40"/>
  <c r="W13" i="40"/>
  <c r="DW132" i="7"/>
  <c r="DW124" i="7"/>
  <c r="AX118" i="7"/>
  <c r="AX131" i="7" s="1"/>
  <c r="AP122" i="7"/>
  <c r="AP131" i="7"/>
  <c r="DY124" i="7"/>
  <c r="DY132" i="7"/>
  <c r="AN133" i="7"/>
  <c r="AN125" i="7"/>
  <c r="AM131" i="7"/>
  <c r="AM122" i="7"/>
  <c r="DX125" i="7"/>
  <c r="DX133" i="7"/>
  <c r="EB125" i="7"/>
  <c r="EB133" i="7"/>
  <c r="EA133" i="7"/>
  <c r="EA125" i="7"/>
  <c r="DZ133" i="7"/>
  <c r="DZ125" i="7"/>
  <c r="DV125" i="7"/>
  <c r="DV133" i="7"/>
  <c r="AO133" i="7" l="1"/>
  <c r="FS69" i="7"/>
  <c r="EN128" i="7"/>
  <c r="EN130" i="7"/>
  <c r="ED128" i="7"/>
  <c r="ED118" i="7"/>
  <c r="ED122" i="7" s="1"/>
  <c r="BN124" i="7"/>
  <c r="BN133" i="7" s="1"/>
  <c r="EP140" i="7"/>
  <c r="EH122" i="7"/>
  <c r="EH132" i="7" s="1"/>
  <c r="AU124" i="7"/>
  <c r="AU133" i="7" s="1"/>
  <c r="FR5" i="7"/>
  <c r="EF128" i="7"/>
  <c r="BB124" i="7"/>
  <c r="BB133" i="7" s="1"/>
  <c r="EM70" i="7"/>
  <c r="FR69" i="7"/>
  <c r="FR72" i="7"/>
  <c r="EE118" i="7"/>
  <c r="EE122" i="7" s="1"/>
  <c r="FR43" i="7"/>
  <c r="BK137" i="7"/>
  <c r="ER76" i="7"/>
  <c r="ES76" i="7" s="1"/>
  <c r="ET76" i="7" s="1"/>
  <c r="BA122" i="7"/>
  <c r="BA132" i="7" s="1"/>
  <c r="BE130" i="7"/>
  <c r="BE145" i="7"/>
  <c r="BE137" i="7"/>
  <c r="BE129" i="7"/>
  <c r="BE115" i="7"/>
  <c r="EL115" i="7" s="1"/>
  <c r="AQ132" i="7"/>
  <c r="AI124" i="7"/>
  <c r="AQ124" i="7"/>
  <c r="BE211" i="7"/>
  <c r="BF125" i="7"/>
  <c r="BF211" i="7"/>
  <c r="AK122" i="7"/>
  <c r="AK131" i="7"/>
  <c r="AL122" i="7"/>
  <c r="AL131" i="7"/>
  <c r="AT131" i="7"/>
  <c r="AT122" i="7"/>
  <c r="AS122" i="7"/>
  <c r="AS131" i="7"/>
  <c r="AR122" i="7"/>
  <c r="AR131" i="7"/>
  <c r="AV122" i="7"/>
  <c r="AV131" i="7"/>
  <c r="EK122" i="7"/>
  <c r="EK124" i="7" s="1"/>
  <c r="EK125" i="7" s="1"/>
  <c r="EK114" i="7"/>
  <c r="AZ122" i="7"/>
  <c r="AZ132" i="7" s="1"/>
  <c r="AY122" i="7"/>
  <c r="AY132" i="7" s="1"/>
  <c r="EJ128" i="7"/>
  <c r="EJ131" i="7"/>
  <c r="AW122" i="7"/>
  <c r="AW132" i="7" s="1"/>
  <c r="BC122" i="7"/>
  <c r="BC132" i="7" s="1"/>
  <c r="EM205" i="7"/>
  <c r="EM204" i="7"/>
  <c r="EG132" i="7"/>
  <c r="FQ118" i="7"/>
  <c r="FR111" i="7"/>
  <c r="ER27" i="7"/>
  <c r="ES27" i="7" s="1"/>
  <c r="ET27" i="7" s="1"/>
  <c r="FS27" i="7" s="1"/>
  <c r="FR27" i="7"/>
  <c r="FS109" i="7"/>
  <c r="ER57" i="7"/>
  <c r="ES57" i="7" s="1"/>
  <c r="ET57" i="7" s="1"/>
  <c r="FR57" i="7"/>
  <c r="EI118" i="7"/>
  <c r="EI128" i="7"/>
  <c r="EG133" i="7"/>
  <c r="AX122" i="7"/>
  <c r="AX132" i="7" s="1"/>
  <c r="W15" i="40"/>
  <c r="X13" i="40"/>
  <c r="DW125" i="7"/>
  <c r="DW133" i="7"/>
  <c r="AP123" i="7"/>
  <c r="AP132" i="7" s="1"/>
  <c r="AM132" i="7"/>
  <c r="AM124" i="7"/>
  <c r="DY133" i="7"/>
  <c r="DY125" i="7"/>
  <c r="EJ133" i="7"/>
  <c r="EF131" i="7"/>
  <c r="EF122" i="7"/>
  <c r="AU125" i="7" l="1"/>
  <c r="AU213" i="7" s="1"/>
  <c r="ED131" i="7"/>
  <c r="EL128" i="7"/>
  <c r="EL114" i="7"/>
  <c r="ER140" i="7"/>
  <c r="FR77" i="7"/>
  <c r="EH124" i="7"/>
  <c r="EH133" i="7" s="1"/>
  <c r="BB125" i="7"/>
  <c r="BB213" i="7" s="1"/>
  <c r="BB173" i="7"/>
  <c r="BB201" i="7" s="1"/>
  <c r="BG145" i="7"/>
  <c r="BN125" i="7"/>
  <c r="ES140" i="7"/>
  <c r="AU173" i="7"/>
  <c r="AU201" i="7" s="1"/>
  <c r="ER81" i="7"/>
  <c r="FR81" i="7"/>
  <c r="EE131" i="7"/>
  <c r="BE128" i="7"/>
  <c r="EL118" i="7"/>
  <c r="EL131" i="7" s="1"/>
  <c r="BG137" i="7"/>
  <c r="BG129" i="7"/>
  <c r="BG115" i="7"/>
  <c r="EM115" i="7" s="1"/>
  <c r="BG130" i="7"/>
  <c r="FS32" i="7"/>
  <c r="FR32" i="7"/>
  <c r="BH137" i="7"/>
  <c r="BA124" i="7"/>
  <c r="BA133" i="7" s="1"/>
  <c r="AZ124" i="7"/>
  <c r="AZ133" i="7" s="1"/>
  <c r="BE118" i="7"/>
  <c r="BE131" i="7" s="1"/>
  <c r="AQ133" i="7"/>
  <c r="AQ125" i="7"/>
  <c r="AQ173" i="7"/>
  <c r="EQ104" i="7"/>
  <c r="FR104" i="7" s="1"/>
  <c r="AK124" i="7"/>
  <c r="AK132" i="7"/>
  <c r="AL124" i="7"/>
  <c r="AL132" i="7"/>
  <c r="AT132" i="7"/>
  <c r="AT124" i="7"/>
  <c r="AS132" i="7"/>
  <c r="AS124" i="7"/>
  <c r="AR132" i="7"/>
  <c r="AR124" i="7"/>
  <c r="AV124" i="7"/>
  <c r="AV132" i="7"/>
  <c r="AY124" i="7"/>
  <c r="AY133" i="7" s="1"/>
  <c r="AW124" i="7"/>
  <c r="AW133" i="7" s="1"/>
  <c r="FS111" i="7"/>
  <c r="EN205" i="7"/>
  <c r="EN204" i="7"/>
  <c r="EI131" i="7"/>
  <c r="EI122" i="7"/>
  <c r="EI123" i="7" s="1"/>
  <c r="EI124" i="7" s="1"/>
  <c r="EL206" i="7"/>
  <c r="EL207" i="7" s="1"/>
  <c r="EL211" i="7"/>
  <c r="BC124" i="7"/>
  <c r="AX124" i="7"/>
  <c r="AX133" i="7" s="1"/>
  <c r="X15" i="40"/>
  <c r="Y13" i="40"/>
  <c r="AP124" i="7"/>
  <c r="AM133" i="7"/>
  <c r="AM125" i="7"/>
  <c r="ED132" i="7"/>
  <c r="ED124" i="7"/>
  <c r="EF124" i="7"/>
  <c r="EF132" i="7"/>
  <c r="EE124" i="7"/>
  <c r="EE132" i="7"/>
  <c r="EQ62" i="7" l="1"/>
  <c r="FR62" i="7" s="1"/>
  <c r="EH125" i="7"/>
  <c r="BF143" i="7"/>
  <c r="BN144" i="7"/>
  <c r="BA173" i="7"/>
  <c r="BA201" i="7" s="1"/>
  <c r="ES81" i="7"/>
  <c r="BI137" i="7"/>
  <c r="BI129" i="7"/>
  <c r="BA125" i="7"/>
  <c r="BA213" i="7" s="1"/>
  <c r="BG128" i="7"/>
  <c r="BG118" i="7"/>
  <c r="AZ125" i="7"/>
  <c r="AZ213" i="7" s="1"/>
  <c r="AZ173" i="7"/>
  <c r="AZ201" i="7" s="1"/>
  <c r="BE122" i="7"/>
  <c r="BE124" i="7" s="1"/>
  <c r="BE173" i="7" s="1"/>
  <c r="AY125" i="7"/>
  <c r="AY213" i="7" s="1"/>
  <c r="AY173" i="7"/>
  <c r="AY201" i="7" s="1"/>
  <c r="AK125" i="7"/>
  <c r="AK133" i="7"/>
  <c r="AL125" i="7"/>
  <c r="AL133" i="7"/>
  <c r="BC133" i="7"/>
  <c r="BC173" i="7"/>
  <c r="BC201" i="7" s="1"/>
  <c r="AT133" i="7"/>
  <c r="AT173" i="7"/>
  <c r="AT125" i="7"/>
  <c r="AT213" i="7" s="1"/>
  <c r="AS133" i="7"/>
  <c r="AS173" i="7"/>
  <c r="AS125" i="7"/>
  <c r="AS213" i="7" s="1"/>
  <c r="AR133" i="7"/>
  <c r="AR173" i="7"/>
  <c r="AR125" i="7"/>
  <c r="AR213" i="7" s="1"/>
  <c r="AV133" i="7"/>
  <c r="AV173" i="7"/>
  <c r="AV201" i="7" s="1"/>
  <c r="AV125" i="7"/>
  <c r="AV213" i="7" s="1"/>
  <c r="AW125" i="7"/>
  <c r="AW213" i="7" s="1"/>
  <c r="AW173" i="7"/>
  <c r="AW201" i="7" s="1"/>
  <c r="AX125" i="7"/>
  <c r="AX173" i="7"/>
  <c r="ER104" i="7"/>
  <c r="FS104" i="7" s="1"/>
  <c r="EO205" i="7"/>
  <c r="EO204" i="7"/>
  <c r="FS5" i="7"/>
  <c r="EI133" i="7"/>
  <c r="EI125" i="7"/>
  <c r="EQ68" i="7"/>
  <c r="BC125" i="7"/>
  <c r="Y15" i="40"/>
  <c r="Z13" i="40"/>
  <c r="AP125" i="7"/>
  <c r="AP133" i="7"/>
  <c r="EE125" i="7"/>
  <c r="EE133" i="7"/>
  <c r="EF125" i="7"/>
  <c r="EF133" i="7"/>
  <c r="ED125" i="7"/>
  <c r="ED133" i="7"/>
  <c r="ER62" i="7" l="1"/>
  <c r="ES62" i="7" s="1"/>
  <c r="ET62" i="7" s="1"/>
  <c r="FR68" i="7"/>
  <c r="BO122" i="7"/>
  <c r="BO132" i="7" s="1"/>
  <c r="ET81" i="7"/>
  <c r="BI118" i="7"/>
  <c r="BI128" i="7"/>
  <c r="BE132" i="7"/>
  <c r="BA143" i="7"/>
  <c r="BG122" i="7"/>
  <c r="BG131" i="7"/>
  <c r="EM113" i="7"/>
  <c r="BE125" i="7"/>
  <c r="BE143" i="7" s="1"/>
  <c r="BE133" i="7"/>
  <c r="EL122" i="7"/>
  <c r="AX213" i="7"/>
  <c r="BB143" i="7"/>
  <c r="BC213" i="7"/>
  <c r="BC143" i="7"/>
  <c r="EP205" i="7"/>
  <c r="EP204" i="7"/>
  <c r="ES104" i="7"/>
  <c r="ET104" i="7" s="1"/>
  <c r="ER68" i="7"/>
  <c r="Z15" i="40"/>
  <c r="AA13" i="40"/>
  <c r="EQ70" i="7"/>
  <c r="FR70" i="7" s="1"/>
  <c r="EM128" i="7" l="1"/>
  <c r="EM130" i="7"/>
  <c r="BO124" i="7"/>
  <c r="BJ122" i="7"/>
  <c r="BJ132" i="7" s="1"/>
  <c r="BI131" i="7"/>
  <c r="BI122" i="7"/>
  <c r="BG124" i="7"/>
  <c r="BG173" i="7" s="1"/>
  <c r="BG132" i="7"/>
  <c r="EL124" i="7"/>
  <c r="EL133" i="7" s="1"/>
  <c r="EL132" i="7"/>
  <c r="EM129" i="7"/>
  <c r="EM137" i="7"/>
  <c r="EM211" i="7"/>
  <c r="EM206" i="7"/>
  <c r="EM207" i="7" s="1"/>
  <c r="EQ205" i="7"/>
  <c r="EQ204" i="7"/>
  <c r="ES68" i="7"/>
  <c r="AA15" i="40"/>
  <c r="AB13" i="40"/>
  <c r="ER70" i="7"/>
  <c r="BO133" i="7" l="1"/>
  <c r="BO125" i="7"/>
  <c r="BO144" i="7"/>
  <c r="BI124" i="7"/>
  <c r="BI173" i="7" s="1"/>
  <c r="EL202" i="7"/>
  <c r="EL125" i="7"/>
  <c r="BG133" i="7"/>
  <c r="BG125" i="7"/>
  <c r="EM114" i="7"/>
  <c r="EM118" i="7"/>
  <c r="EM131" i="7" s="1"/>
  <c r="EN129" i="7"/>
  <c r="EN211" i="7"/>
  <c r="EN206" i="7"/>
  <c r="EN207" i="7" s="1"/>
  <c r="EN137" i="7"/>
  <c r="EP113" i="7"/>
  <c r="ER205" i="7"/>
  <c r="ER204" i="7"/>
  <c r="ET68" i="7"/>
  <c r="AB15" i="40"/>
  <c r="AC13" i="40"/>
  <c r="ES70" i="7"/>
  <c r="BO143" i="7" l="1"/>
  <c r="BS143" i="7"/>
  <c r="FS81" i="7"/>
  <c r="BG143" i="7"/>
  <c r="BK143" i="7"/>
  <c r="BI132" i="7"/>
  <c r="BJ124" i="7"/>
  <c r="BJ133" i="7" s="1"/>
  <c r="BI125" i="7"/>
  <c r="BI133" i="7"/>
  <c r="EM122" i="7"/>
  <c r="EM123" i="7" s="1"/>
  <c r="EM124" i="7" s="1"/>
  <c r="EM125" i="7" s="1"/>
  <c r="EM143" i="7" s="1"/>
  <c r="EN131" i="7"/>
  <c r="EO129" i="7"/>
  <c r="EO206" i="7"/>
  <c r="EO207" i="7" s="1"/>
  <c r="EO137" i="7"/>
  <c r="EQ113" i="7"/>
  <c r="ES205" i="7"/>
  <c r="ES204" i="7"/>
  <c r="AC15" i="40"/>
  <c r="AD13" i="40"/>
  <c r="ET70" i="7"/>
  <c r="BJ173" i="7" l="1"/>
  <c r="BI143" i="7"/>
  <c r="BM143" i="7"/>
  <c r="BJ125" i="7"/>
  <c r="BJ143" i="7" s="1"/>
  <c r="EO131" i="7"/>
  <c r="EP131" i="7"/>
  <c r="EM133" i="7"/>
  <c r="EM202" i="7"/>
  <c r="EP206" i="7"/>
  <c r="EP207" i="7" s="1"/>
  <c r="EP129" i="7"/>
  <c r="EP137" i="7"/>
  <c r="ER113" i="7"/>
  <c r="FR118" i="7"/>
  <c r="ET205" i="7"/>
  <c r="ET204" i="7"/>
  <c r="FS62" i="7"/>
  <c r="AD15" i="40"/>
  <c r="AE13" i="40"/>
  <c r="BN143" i="7" l="1"/>
  <c r="EN122" i="7"/>
  <c r="EN123" i="7" s="1"/>
  <c r="ES113" i="7"/>
  <c r="EQ206" i="7"/>
  <c r="EQ207" i="7" s="1"/>
  <c r="EQ129" i="7"/>
  <c r="EQ137" i="7"/>
  <c r="FS68" i="7"/>
  <c r="FS70" i="7"/>
  <c r="AE15" i="40"/>
  <c r="AF13" i="40"/>
  <c r="BP144" i="7" l="1"/>
  <c r="EN124" i="7"/>
  <c r="EQ131" i="7"/>
  <c r="ER206" i="7"/>
  <c r="ER207" i="7" s="1"/>
  <c r="ER129" i="7"/>
  <c r="ER137" i="7"/>
  <c r="ET113" i="7"/>
  <c r="AF15" i="40"/>
  <c r="AG13" i="40"/>
  <c r="BQ122" i="7" l="1"/>
  <c r="EN125" i="7"/>
  <c r="EN143" i="7" s="1"/>
  <c r="EN133" i="7"/>
  <c r="EN202" i="7"/>
  <c r="ER131" i="7"/>
  <c r="ES206" i="7"/>
  <c r="ES207" i="7" s="1"/>
  <c r="ES129" i="7"/>
  <c r="ES137" i="7"/>
  <c r="ES131" i="7"/>
  <c r="EV137" i="7"/>
  <c r="AG15" i="40"/>
  <c r="AH13" i="40"/>
  <c r="BQ132" i="7" l="1"/>
  <c r="ET206" i="7"/>
  <c r="ET207" i="7" s="1"/>
  <c r="ET137" i="7"/>
  <c r="AH15" i="40"/>
  <c r="AI13" i="40"/>
  <c r="BQ124" i="7" l="1"/>
  <c r="EU137" i="7"/>
  <c r="FS118" i="7"/>
  <c r="AI15" i="40"/>
  <c r="AJ13" i="40"/>
  <c r="EO202" i="7"/>
  <c r="EO133" i="7"/>
  <c r="BQ125" i="7" l="1"/>
  <c r="BQ133" i="7"/>
  <c r="AK13" i="40"/>
  <c r="AK15" i="40" s="1"/>
  <c r="AJ15" i="40"/>
  <c r="BQ143" i="7" l="1"/>
  <c r="BU143" i="7"/>
  <c r="BQ144" i="7"/>
  <c r="BR122" i="7" l="1"/>
  <c r="EP133" i="7"/>
  <c r="EP202" i="7"/>
  <c r="BR132" i="7" l="1"/>
  <c r="BR124" i="7" l="1"/>
  <c r="EQ133" i="7"/>
  <c r="EQ202" i="7"/>
  <c r="BR125" i="7" l="1"/>
  <c r="BR133" i="7"/>
  <c r="BR144" i="7"/>
  <c r="BR143" i="7" l="1"/>
  <c r="BV143" i="7"/>
  <c r="ER133" i="7" l="1"/>
  <c r="ER202" i="7"/>
  <c r="ES133" i="7" l="1"/>
  <c r="ES202" i="7"/>
  <c r="ET202" i="7" l="1"/>
  <c r="EK131" i="7" l="1"/>
  <c r="FN124" i="7" l="1"/>
  <c r="FO124" i="7" s="1"/>
  <c r="FP124" i="7" s="1"/>
  <c r="EK132" i="7"/>
  <c r="EK133" i="7" l="1"/>
  <c r="EK202" i="7"/>
  <c r="FQ124" i="7" l="1"/>
  <c r="FR124" i="7" s="1"/>
  <c r="FS124" i="7" s="1"/>
  <c r="FT124" i="7" s="1"/>
  <c r="FU124" i="7" s="1"/>
  <c r="FV124" i="7" s="1"/>
  <c r="FW124" i="7" s="1"/>
  <c r="FX124" i="7" s="1"/>
  <c r="FY124" i="7" s="1"/>
  <c r="FZ124" i="7" s="1"/>
  <c r="GA124" i="7" s="1"/>
  <c r="GB124" i="7" s="1"/>
  <c r="GC124" i="7" s="1"/>
  <c r="GD124" i="7" s="1"/>
  <c r="GE124" i="7" s="1"/>
  <c r="GF124" i="7" s="1"/>
  <c r="GG124" i="7" s="1"/>
  <c r="GH124" i="7" s="1"/>
  <c r="GI124" i="7" s="1"/>
  <c r="GJ124" i="7" s="1"/>
  <c r="GK124" i="7" s="1"/>
  <c r="GL124" i="7" s="1"/>
  <c r="GM124" i="7" s="1"/>
  <c r="GN124" i="7" s="1"/>
  <c r="GO124" i="7" s="1"/>
  <c r="GP124" i="7" s="1"/>
  <c r="GQ124" i="7" s="1"/>
  <c r="GR124" i="7" s="1"/>
  <c r="GS124" i="7" s="1"/>
  <c r="GT124" i="7" s="1"/>
  <c r="GU124" i="7" s="1"/>
  <c r="GV124" i="7" s="1"/>
  <c r="GW124" i="7" s="1"/>
  <c r="GX124" i="7" s="1"/>
  <c r="GY124" i="7" s="1"/>
  <c r="GZ124" i="7" s="1"/>
  <c r="HA124" i="7" s="1"/>
  <c r="HB124" i="7" s="1"/>
  <c r="HC124" i="7" s="1"/>
  <c r="HD124" i="7" s="1"/>
  <c r="HE124" i="7" s="1"/>
  <c r="FR149" i="7" s="1"/>
  <c r="FR150" i="7" s="1"/>
  <c r="EL143" i="7"/>
  <c r="EK213" i="7"/>
  <c r="FR128" i="7" l="1"/>
  <c r="BD206" i="7"/>
  <c r="BD118" i="7"/>
  <c r="BD211" i="7"/>
  <c r="BD122" i="7" l="1"/>
  <c r="BD132" i="7" s="1"/>
  <c r="BD131" i="7"/>
  <c r="BD208" i="7"/>
  <c r="BD207" i="7"/>
  <c r="BD124" i="7" l="1"/>
  <c r="BD133" i="7" l="1"/>
  <c r="BD173" i="7"/>
  <c r="BD125" i="7"/>
  <c r="BD143" i="7" l="1"/>
  <c r="BH143" i="7"/>
  <c r="BP115" i="7" l="1"/>
  <c r="BP118" i="7" l="1"/>
  <c r="BP131" i="7" s="1"/>
  <c r="BP128" i="7"/>
  <c r="EO115" i="7"/>
  <c r="EO128" i="7" s="1"/>
  <c r="BP122" i="7" l="1"/>
  <c r="BP132" i="7" s="1"/>
  <c r="EO114" i="7"/>
  <c r="BP124" i="7" l="1"/>
  <c r="BP133" i="7" s="1"/>
  <c r="BP125" i="7" l="1"/>
  <c r="BP143" i="7" s="1"/>
  <c r="BT143" i="7" l="1"/>
  <c r="CW113" i="7"/>
  <c r="CW137" i="7" l="1"/>
  <c r="CW115" i="7"/>
  <c r="DA137" i="7"/>
  <c r="CW130" i="7"/>
  <c r="CW129" i="7"/>
  <c r="CW118" i="7" l="1"/>
  <c r="CW122" i="7" s="1"/>
  <c r="CW128" i="7"/>
  <c r="CW131" i="7" l="1"/>
  <c r="CW132" i="7"/>
  <c r="CW124" i="7"/>
  <c r="CW125" i="7" s="1"/>
  <c r="CW1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tc={154F75CA-566D-42A1-A813-F79321C3D1E4}</author>
    <author>tc={601D1754-10CA-4089-93FE-DA3F51237801}</author>
  </authors>
  <commentList>
    <comment ref="E3" authorId="0" shapeId="0" xr:uid="{154F75CA-566D-42A1-A813-F79321C3D1E4}">
      <text>
        <t>[Threaded comment]
Your version of Excel allows you to read this threaded comment; however, any edits to it will get removed if the file is opened in a newer version of Excel. Learn more: https://go.microsoft.com/fwlink/?linkid=870924
Comment:
    50% gross profit split</t>
      </text>
    </comment>
    <comment ref="E44" authorId="1" shapeId="0" xr:uid="{601D1754-10CA-4089-93FE-DA3F51237801}">
      <text>
        <t>[Threaded comment]
Your version of Excel allows you to read this threaded comment; however, any edits to it will get removed if the file is opened in a newer version of Excel. Learn more: https://go.microsoft.com/fwlink/?linkid=870924
Comment:
    Launch in 7/2023 as per ABBV agreement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MSMB</author>
    <author>tc={84619DFB-4711-4734-8BDB-59429D2A9D19}</author>
    <author>MSMB - Andre</author>
    <author>tc={45AEFC7D-A021-47F4-9CEF-2FBFFFE1803C}</author>
    <author>mshkreli</author>
    <author>Martin Shkreli</author>
    <author>Bloomberg</author>
    <author>tc={92701E07-5169-41B3-B74F-F4AFE676C3F6}</author>
    <author>Marek Biestek</author>
    <author>tc={8C26E110-6481-4D73-BF8E-53E4485CB950}</author>
    <author>tc={F114C7E8-BDF8-4C17-9587-85359FA5F189}</author>
    <author>Lane Nussbaum</author>
    <author>tc={625364AC-DBD4-4C9B-A808-FD7855062013}</author>
    <author>tc={381C40E4-2BA2-4890-8F4C-5FB1390BA157}</author>
    <author>tc={D95F06EC-887E-48F9-A281-9FF35471D707}</author>
    <author>tc={3B9681AC-1CA5-48AA-AE92-0C898D9A6BBD}</author>
    <author>tc={0A40F869-B59E-4E7D-9978-4ACEFA94CC99}</author>
    <author>tc={2E73EF3E-B155-4CB0-B1B8-64827B17AE45}</author>
    <author>tc={5B977ABB-05DC-46E5-A0DD-1422ADEB185D}</author>
    <author>tc={04F6E407-DF3F-4005-BE84-D6EDBFAFD027}</author>
    <author>tc={5FB45385-89C7-4BE5-ADD1-E22B80F29A50}</author>
    <author>tc={9EF3741A-AD26-4402-9213-20DBFB37A1FD}</author>
    <author>tc={ADD4F94A-0E76-4AB0-909B-364AC463E9C6}</author>
    <author>tc={683B9782-E7EA-4C42-9B71-E1DDCE9C7C9C}</author>
    <author>tc={20FF6B80-522A-44AC-BB2D-CF6072448AA8}</author>
    <author>tc={AF36EEB3-AD93-43FB-8166-0D23195CDA8B}</author>
    <author>tc={969812BA-06E1-416F-B0AC-89AE4AAFFFF7}</author>
    <author>Authorized User</author>
    <author>tc={822253A5-163B-40A6-9913-D31DD8980881}</author>
    <author>tc={9F40A5AC-9928-48A5-9E23-B4A80250E7FF}</author>
    <author>tc={46AB17C8-C512-4F83-8DD5-5EAEF0B5D575}</author>
    <author>tc={93230A79-7458-4246-8AC9-E1155292A69B}</author>
    <author>tc={38FB92C4-0C09-430D-BE45-40E02FCCBC59}</author>
    <author>tc={7018CE06-4564-4CAD-88ED-A0333810FE65}</author>
    <author>tc={67784DD6-0C5D-42FA-B372-2E2835E5D2EE}</author>
    <author>tc={4CCFFF11-76ED-4A92-B203-F80F8F84CD8F}</author>
    <author>tc={4B315500-6997-4A05-A1D1-EDD2C3592B09}</author>
    <author>tc={4720E812-008D-402E-B4B6-D6BD80C8F06D}</author>
    <author>tc={C71154CD-B193-48F5-98B8-CBB12861830C}</author>
    <author>tc={C8AA044E-FA5E-4CC5-8D6A-64602A7EBFF5}</author>
    <author>tc={02C69F6A-87D0-4343-A820-E516E23F0AA9}</author>
    <author>tc={6BC32560-7662-4B3C-8E98-0AA8576B4B3D}</author>
    <author>tc={8E0BD8B7-C3CF-4B39-90AB-693BF63011AF}</author>
    <author>tc={6B079B41-3EE7-4D38-B0F0-E4FA7F0A7D53}</author>
    <author>tc={2FB486A7-B6E4-40F0-A4B2-CC7F5B3BC176}</author>
    <author>tc={02FB5D7C-5EC6-47C8-9D46-15A2174DAF41}</author>
    <author>tc={500ED52D-07B6-4964-A0B2-D1384FE70B9D}</author>
    <author>tc={9DFCE4AC-161F-43AA-A5AB-C8983ABAFBA3}</author>
    <author>tc={6DFAC4C1-483E-4590-8089-9E06BB38D01F}</author>
    <author>tc={5A7E375B-6B0C-465E-8DCE-F0D8D2D9FB85}</author>
    <author>tc={7E12C946-D1C8-4A58-9389-97116F73151B}</author>
    <author>tc={736AD51E-31A5-45A4-9277-9389BB8FD1C6}</author>
    <author>tc={F1A75182-2AD9-4C39-A2E8-2FB6BD2B738D}</author>
    <author>tc={1A06BA9C-FB50-4468-A663-D7931EBDA294}</author>
    <author>tc={2F9D2393-8AEA-4796-A6DA-5AFFCA0EF366}</author>
    <author>tc={658EE746-4F28-4C60-B8C3-3A30A6E66FA3}</author>
    <author>tc={8F79B299-B54A-4806-8985-467AD571F338}</author>
    <author>tc={B24CBC24-6DCB-4417-9096-2FB81F15C1A3}</author>
    <author>tc={7CB0AF66-05C0-4684-A6E1-72A5FC4846D9}</author>
    <author>tc={B148E439-FDE1-4124-8004-0292797A56CD}</author>
    <author>tc={05DE658F-B4BD-4BDE-A3A5-1A693980BEA7}</author>
    <author>tc={D39B9572-0A26-460A-B42B-E9D8BFEDA417}</author>
    <author>tc={55A6C5B1-AEE7-4F4D-9994-CF51133E5C48}</author>
    <author>tc={7CF40854-9B4F-46C3-A4C7-AF8958B1AEBE}</author>
    <author>tc={AF75AD33-DCB9-440E-A0F0-2EE7BB39C3AF}</author>
    <author>tc={8F724064-5364-484A-8426-B15ACC4FE5C0}</author>
    <author>tc={C627D00D-EDA3-4474-A055-13323D4F203C}</author>
    <author>tc={C587F16D-80B0-468A-95C1-4CD8861AEDCB}</author>
    <author>tc={1F116209-3EE9-4C63-87AE-EE843ECBE2D6}</author>
    <author>tc={121341D8-EA0B-4ABB-AA64-EFD11C1B846D}</author>
  </authors>
  <commentList>
    <comment ref="AI2" authorId="0" shapeId="0" xr:uid="{00000000-0006-0000-0400-000001000000}">
      <text>
        <r>
          <rPr>
            <sz val="9"/>
            <color indexed="81"/>
            <rFont val="Tahoma"/>
            <family val="2"/>
          </rPr>
          <t>SOURCE DOCUMENT
http://sec.gov/Archives/edgar/data/78003/000007800305000126/q1-05pfe1.htm</t>
        </r>
      </text>
    </comment>
    <comment ref="BB2" authorId="1" shapeId="0" xr:uid="{00000000-0006-0000-0400-000002000000}">
      <text>
        <r>
          <rPr>
            <b/>
            <sz val="9"/>
            <color indexed="81"/>
            <rFont val="Tahoma"/>
            <family val="2"/>
          </rPr>
          <t>MSMB:</t>
        </r>
        <r>
          <rPr>
            <sz val="9"/>
            <color indexed="81"/>
            <rFont val="Tahoma"/>
            <family val="2"/>
          </rPr>
          <t xml:space="preserve">
Oct 15 - Wyeth deal closes</t>
        </r>
      </text>
    </comment>
    <comment ref="BL2" authorId="0" shapeId="0" xr:uid="{00000000-0006-0000-0400-000003000000}">
      <text>
        <r>
          <rPr>
            <sz val="9"/>
            <color indexed="81"/>
            <rFont val="Tahoma"/>
            <family val="2"/>
          </rPr>
          <t xml:space="preserve">Source document 10-Q http://sec.gov/Archives/edgar/data/78003/000115752312004450/a50368790.htm
</t>
        </r>
      </text>
    </comment>
    <comment ref="EX3" authorId="2" shapeId="0" xr:uid="{84619DFB-4711-4734-8BDB-59429D2A9D19}">
      <text>
        <t>[Threaded comment]
Your version of Excel allows you to read this threaded comment; however, any edits to it will get removed if the file is opened in a newer version of Excel. Learn more: https://go.microsoft.com/fwlink/?linkid=870924
Comment:
    Q222: guidance 32B
Q122: guidance 32B
Q421: raised guidance to 32B</t>
      </text>
    </comment>
    <comment ref="BB5" authorId="0" shapeId="0" xr:uid="{00000000-0006-0000-0400-000009000000}">
      <text>
        <r>
          <rPr>
            <b/>
            <sz val="9"/>
            <color indexed="81"/>
            <rFont val="Tahoma"/>
            <family val="2"/>
          </rPr>
          <t>Martin:</t>
        </r>
        <r>
          <rPr>
            <sz val="9"/>
            <color indexed="81"/>
            <rFont val="Tahoma"/>
            <family val="2"/>
          </rPr>
          <t xml:space="preserve">
PFE 10-K, press release</t>
        </r>
      </text>
    </comment>
    <comment ref="BK5" authorId="0" shapeId="0" xr:uid="{00000000-0006-0000-0400-00000A000000}">
      <text>
        <r>
          <rPr>
            <b/>
            <sz val="9"/>
            <color indexed="81"/>
            <rFont val="Tahoma"/>
            <family val="2"/>
          </rPr>
          <t>Martin:</t>
        </r>
        <r>
          <rPr>
            <sz val="9"/>
            <color indexed="81"/>
            <rFont val="Tahoma"/>
            <family val="2"/>
          </rPr>
          <t xml:space="preserve">
$121/dose according to CDC website
US -15% to 554m means 4.6m patients received Prevnar in the quarter, more than the entire birth cohort for a year.</t>
        </r>
      </text>
    </comment>
    <comment ref="BL5" authorId="0" shapeId="0" xr:uid="{00000000-0006-0000-0400-00000B000000}">
      <text>
        <r>
          <rPr>
            <b/>
            <sz val="9"/>
            <color indexed="81"/>
            <rFont val="Tahoma"/>
            <family val="2"/>
          </rPr>
          <t>Martin:</t>
        </r>
        <r>
          <rPr>
            <sz val="9"/>
            <color indexed="81"/>
            <rFont val="Tahoma"/>
            <family val="2"/>
          </rPr>
          <t xml:space="preserve">
Prevnar 13  - 916
Prevnar 7 - 84</t>
        </r>
      </text>
    </comment>
    <comment ref="EK5" authorId="3" shapeId="0" xr:uid="{00000000-0006-0000-0400-00000C000000}">
      <text>
        <r>
          <rPr>
            <b/>
            <sz val="9"/>
            <color indexed="81"/>
            <rFont val="Tahoma"/>
            <family val="2"/>
          </rPr>
          <t>MSMB - Andre:</t>
        </r>
        <r>
          <rPr>
            <sz val="9"/>
            <color indexed="81"/>
            <rFont val="Tahoma"/>
            <family val="2"/>
          </rPr>
          <t xml:space="preserve">
2888 FY?</t>
        </r>
      </text>
    </comment>
    <comment ref="EX6" authorId="4" shapeId="0" xr:uid="{45AEFC7D-A021-47F4-9CEF-2FBFFFE1803C}">
      <text>
        <t>[Threaded comment]
Your version of Excel allows you to read this threaded comment; however, any edits to it will get removed if the file is opened in a newer version of Excel. Learn more: https://go.microsoft.com/fwlink/?linkid=870924
Comment:
    Q222 guidance: 22B
Q122 guidance: 22B
Q421: provides 22B guidance for 2022</t>
      </text>
    </comment>
    <comment ref="BC10" authorId="1" shapeId="0" xr:uid="{00000000-0006-0000-0400-00000D000000}">
      <text>
        <r>
          <rPr>
            <b/>
            <sz val="9"/>
            <color indexed="81"/>
            <rFont val="Tahoma"/>
            <family val="2"/>
          </rPr>
          <t>MSMB:</t>
        </r>
        <r>
          <rPr>
            <sz val="9"/>
            <color indexed="81"/>
            <rFont val="Tahoma"/>
            <family val="2"/>
          </rPr>
          <t xml:space="preserve">
16% growth in developed Europe. Close to peak market share.</t>
        </r>
      </text>
    </comment>
    <comment ref="BH10" authorId="0" shapeId="0" xr:uid="{00000000-0006-0000-0400-00000E000000}">
      <text>
        <r>
          <rPr>
            <b/>
            <sz val="9"/>
            <color indexed="81"/>
            <rFont val="Tahoma"/>
            <family val="2"/>
          </rPr>
          <t>Martin:</t>
        </r>
        <r>
          <rPr>
            <sz val="9"/>
            <color indexed="81"/>
            <rFont val="Tahoma"/>
            <family val="2"/>
          </rPr>
          <t xml:space="preserve">
4% operational growth</t>
        </r>
      </text>
    </comment>
    <comment ref="EK10" authorId="3" shapeId="0" xr:uid="{00000000-0006-0000-0400-00000F000000}">
      <text>
        <r>
          <rPr>
            <b/>
            <sz val="9"/>
            <color indexed="81"/>
            <rFont val="Tahoma"/>
            <family val="2"/>
          </rPr>
          <t>MSMB - Andre:</t>
        </r>
        <r>
          <rPr>
            <sz val="9"/>
            <color indexed="81"/>
            <rFont val="Tahoma"/>
            <family val="2"/>
          </rPr>
          <t xml:space="preserve">
3717 FY?</t>
        </r>
      </text>
    </comment>
    <comment ref="DV16" authorId="0" shapeId="0" xr:uid="{00000000-0006-0000-0400-000087000000}">
      <text>
        <r>
          <rPr>
            <b/>
            <sz val="9"/>
            <color indexed="81"/>
            <rFont val="Tahoma"/>
            <family val="2"/>
          </rPr>
          <t>Martin:</t>
        </r>
        <r>
          <rPr>
            <sz val="9"/>
            <color indexed="81"/>
            <rFont val="Tahoma"/>
            <family val="2"/>
          </rPr>
          <t xml:space="preserve">
http://www.sec.gov/Archives/edgar/data/78003/0000950116-97-000605.txt</t>
        </r>
      </text>
    </comment>
    <comment ref="DW16" authorId="0" shapeId="0" xr:uid="{00000000-0006-0000-0400-000088000000}">
      <text>
        <r>
          <rPr>
            <b/>
            <sz val="9"/>
            <color indexed="81"/>
            <rFont val="Tahoma"/>
            <family val="2"/>
          </rPr>
          <t>Martin:</t>
        </r>
        <r>
          <rPr>
            <sz val="9"/>
            <color indexed="81"/>
            <rFont val="Tahoma"/>
            <family val="2"/>
          </rPr>
          <t xml:space="preserve">
http://www.sec.gov/Archives/edgar/data/78003/0000950116-97-000605.txt</t>
        </r>
      </text>
    </comment>
    <comment ref="DX16" authorId="0" shapeId="0" xr:uid="{00000000-0006-0000-0400-000089000000}">
      <text>
        <r>
          <rPr>
            <b/>
            <sz val="9"/>
            <color indexed="81"/>
            <rFont val="Tahoma"/>
            <family val="2"/>
          </rPr>
          <t>Martin:</t>
        </r>
        <r>
          <rPr>
            <sz val="9"/>
            <color indexed="81"/>
            <rFont val="Tahoma"/>
            <family val="2"/>
          </rPr>
          <t xml:space="preserve">
http://www.sec.gov/Archives/edgar/data/78003/0000950116-97-000605.txt</t>
        </r>
      </text>
    </comment>
    <comment ref="D23" authorId="0" shapeId="0" xr:uid="{00000000-0006-0000-0400-00005E000000}">
      <text>
        <r>
          <rPr>
            <b/>
            <sz val="9"/>
            <color indexed="81"/>
            <rFont val="Tahoma"/>
            <family val="2"/>
          </rPr>
          <t>Martin:</t>
        </r>
        <r>
          <rPr>
            <sz val="9"/>
            <color indexed="81"/>
            <rFont val="Tahoma"/>
            <family val="2"/>
          </rPr>
          <t xml:space="preserve">
10-Q
http://www.sec.gov/Archives/edgar/data/78003/0000078003-97-000005.txt</t>
        </r>
      </text>
    </comment>
    <comment ref="E23" authorId="0" shapeId="0" xr:uid="{00000000-0006-0000-0400-00005F000000}">
      <text>
        <r>
          <rPr>
            <b/>
            <sz val="9"/>
            <color indexed="81"/>
            <rFont val="Tahoma"/>
            <family val="2"/>
          </rPr>
          <t>Martin:</t>
        </r>
        <r>
          <rPr>
            <sz val="9"/>
            <color indexed="81"/>
            <rFont val="Tahoma"/>
            <family val="2"/>
          </rPr>
          <t xml:space="preserve">
http://www.sec.gov/Archives/edgar/data/78003/0000078003-97-000015.txt</t>
        </r>
      </text>
    </comment>
    <comment ref="G23" authorId="0" shapeId="0" xr:uid="{00000000-0006-0000-0400-000060000000}">
      <text>
        <r>
          <rPr>
            <b/>
            <sz val="9"/>
            <color indexed="81"/>
            <rFont val="Tahoma"/>
            <family val="2"/>
          </rPr>
          <t>Martin:</t>
        </r>
        <r>
          <rPr>
            <sz val="9"/>
            <color indexed="81"/>
            <rFont val="Tahoma"/>
            <family val="2"/>
          </rPr>
          <t xml:space="preserve">
306m
http://www.sec.gov/Archives/edgar/data/78003/0000078003-98-000009.txt</t>
        </r>
      </text>
    </comment>
    <comment ref="DV23" authorId="0" shapeId="0" xr:uid="{00000000-0006-0000-0400-000061000000}">
      <text>
        <r>
          <rPr>
            <b/>
            <sz val="9"/>
            <color indexed="81"/>
            <rFont val="Tahoma"/>
            <family val="2"/>
          </rPr>
          <t>Martin:</t>
        </r>
        <r>
          <rPr>
            <sz val="9"/>
            <color indexed="81"/>
            <rFont val="Tahoma"/>
            <family val="2"/>
          </rPr>
          <t xml:space="preserve">
http://www.sec.gov/Archives/edgar/data/78003/0000950116-97-000605.txt</t>
        </r>
      </text>
    </comment>
    <comment ref="DW23" authorId="0" shapeId="0" xr:uid="{00000000-0006-0000-0400-000062000000}">
      <text>
        <r>
          <rPr>
            <b/>
            <sz val="9"/>
            <color indexed="81"/>
            <rFont val="Tahoma"/>
            <family val="2"/>
          </rPr>
          <t>Martin:</t>
        </r>
        <r>
          <rPr>
            <sz val="9"/>
            <color indexed="81"/>
            <rFont val="Tahoma"/>
            <family val="2"/>
          </rPr>
          <t xml:space="preserve">
http://www.sec.gov/Archives/edgar/data/78003/0000950116-97-000605.txt</t>
        </r>
      </text>
    </comment>
    <comment ref="DX23" authorId="0" shapeId="0" xr:uid="{00000000-0006-0000-0400-000063000000}">
      <text>
        <r>
          <rPr>
            <b/>
            <sz val="9"/>
            <color indexed="81"/>
            <rFont val="Tahoma"/>
            <family val="2"/>
          </rPr>
          <t>Martin:</t>
        </r>
        <r>
          <rPr>
            <sz val="9"/>
            <color indexed="81"/>
            <rFont val="Tahoma"/>
            <family val="2"/>
          </rPr>
          <t xml:space="preserve">
http://www.sec.gov/Archives/edgar/data/78003/0000950116-97-000605.txt</t>
        </r>
      </text>
    </comment>
    <comment ref="DY23" authorId="0" shapeId="0" xr:uid="{00000000-0006-0000-0400-000064000000}">
      <text>
        <r>
          <rPr>
            <b/>
            <sz val="9"/>
            <color indexed="81"/>
            <rFont val="Tahoma"/>
            <family val="2"/>
          </rPr>
          <t>Martin:</t>
        </r>
        <r>
          <rPr>
            <sz val="9"/>
            <color indexed="81"/>
            <rFont val="Tahoma"/>
            <family val="2"/>
          </rPr>
          <t xml:space="preserve">
http://www.sec.gov/Archives/edgar/data/78003/0000940180-98-000332.txt</t>
        </r>
      </text>
    </comment>
    <comment ref="EG23" authorId="5" shapeId="0" xr:uid="{00000000-0006-0000-0400-000065000000}">
      <text>
        <r>
          <rPr>
            <sz val="8"/>
            <color indexed="81"/>
            <rFont val="Tahoma"/>
            <family val="2"/>
          </rPr>
          <t>Teva generic 11/05
zmax approval 6/2005</t>
        </r>
      </text>
    </comment>
    <comment ref="AS27" authorId="6" shapeId="0" xr:uid="{00000000-0006-0000-0400-000046000000}">
      <text>
        <r>
          <rPr>
            <b/>
            <sz val="8"/>
            <color indexed="81"/>
            <rFont val="Tahoma"/>
            <family val="2"/>
          </rPr>
          <t>Martin Shkreli:</t>
        </r>
        <r>
          <rPr>
            <sz val="8"/>
            <color indexed="81"/>
            <rFont val="Tahoma"/>
            <family val="2"/>
          </rPr>
          <t xml:space="preserve">
5% px increase on 7/14</t>
        </r>
      </text>
    </comment>
    <comment ref="AT27" authorId="7" shapeId="0" xr:uid="{00000000-0006-0000-0400-000047000000}">
      <text>
        <r>
          <rPr>
            <b/>
            <sz val="8"/>
            <color indexed="81"/>
            <rFont val="Tahoma"/>
            <family val="2"/>
          </rPr>
          <t>Bloomberg:</t>
        </r>
        <r>
          <rPr>
            <sz val="8"/>
            <color indexed="81"/>
            <rFont val="Tahoma"/>
            <family val="2"/>
          </rPr>
          <t xml:space="preserve">
5% 1/1/08 PX INC</t>
        </r>
      </text>
    </comment>
    <comment ref="BL28" authorId="0" shapeId="0" xr:uid="{00000000-0006-0000-0400-000044000000}">
      <text>
        <r>
          <rPr>
            <sz val="9"/>
            <color indexed="81"/>
            <rFont val="Tahoma"/>
            <family val="2"/>
          </rPr>
          <t xml:space="preserve">BeneFix 193
ReFacto 138
</t>
        </r>
      </text>
    </comment>
    <comment ref="EK28" authorId="1" shapeId="0" xr:uid="{00000000-0006-0000-0400-000045000000}">
      <text>
        <r>
          <rPr>
            <b/>
            <sz val="9"/>
            <color indexed="81"/>
            <rFont val="Tahoma"/>
            <family val="2"/>
          </rPr>
          <t>MSMB:</t>
        </r>
        <r>
          <rPr>
            <sz val="9"/>
            <color indexed="81"/>
            <rFont val="Tahoma"/>
            <family val="2"/>
          </rPr>
          <t xml:space="preserve">
980 non-gaap?</t>
        </r>
      </text>
    </comment>
    <comment ref="EK31" authorId="3" shapeId="0" xr:uid="{00000000-0006-0000-0400-00004B000000}">
      <text>
        <r>
          <rPr>
            <b/>
            <sz val="9"/>
            <color indexed="81"/>
            <rFont val="Tahoma"/>
            <family val="2"/>
          </rPr>
          <t>MSMB - Andre:</t>
        </r>
        <r>
          <rPr>
            <sz val="9"/>
            <color indexed="81"/>
            <rFont val="Tahoma"/>
            <family val="2"/>
          </rPr>
          <t xml:space="preserve">
1017 FY?</t>
        </r>
      </text>
    </comment>
    <comment ref="AV42" authorId="6" shapeId="0" xr:uid="{00000000-0006-0000-0400-00004C000000}">
      <text>
        <r>
          <rPr>
            <b/>
            <sz val="8"/>
            <color indexed="81"/>
            <rFont val="Tahoma"/>
            <family val="2"/>
          </rPr>
          <t>Martin Shkreli:</t>
        </r>
        <r>
          <rPr>
            <sz val="8"/>
            <color indexed="81"/>
            <rFont val="Tahoma"/>
            <family val="2"/>
          </rPr>
          <t xml:space="preserve">
6% px increase 5/08</t>
        </r>
      </text>
    </comment>
    <comment ref="BK42" authorId="0" shapeId="0" xr:uid="{00000000-0006-0000-0400-00004D000000}">
      <text>
        <r>
          <rPr>
            <b/>
            <sz val="9"/>
            <color indexed="81"/>
            <rFont val="Tahoma"/>
            <family val="2"/>
          </rPr>
          <t>Martin:</t>
        </r>
        <r>
          <rPr>
            <sz val="9"/>
            <color indexed="81"/>
            <rFont val="Tahoma"/>
            <family val="2"/>
          </rPr>
          <t xml:space="preserve">
US expiry</t>
        </r>
      </text>
    </comment>
    <comment ref="AU43" authorId="6" shapeId="0" xr:uid="{00000000-0006-0000-0400-000071000000}">
      <text>
        <r>
          <rPr>
            <b/>
            <sz val="8"/>
            <color indexed="81"/>
            <rFont val="Tahoma"/>
            <family val="2"/>
          </rPr>
          <t>Martin Shkreli:</t>
        </r>
        <r>
          <rPr>
            <sz val="8"/>
            <color indexed="81"/>
            <rFont val="Tahoma"/>
            <family val="2"/>
          </rPr>
          <t xml:space="preserve">
5% increase 1/1/08</t>
        </r>
      </text>
    </comment>
    <comment ref="AV43" authorId="6" shapeId="0" xr:uid="{00000000-0006-0000-0400-000072000000}">
      <text>
        <r>
          <rPr>
            <b/>
            <sz val="8"/>
            <color indexed="81"/>
            <rFont val="Tahoma"/>
            <family val="2"/>
          </rPr>
          <t>Martin Shkreli:</t>
        </r>
        <r>
          <rPr>
            <sz val="8"/>
            <color indexed="81"/>
            <rFont val="Tahoma"/>
            <family val="2"/>
          </rPr>
          <t xml:space="preserve">
+7% price increase 5/08</t>
        </r>
      </text>
    </comment>
    <comment ref="EM43" authorId="1" shapeId="0" xr:uid="{00000000-0006-0000-0400-000073000000}">
      <text>
        <r>
          <rPr>
            <b/>
            <sz val="9"/>
            <color indexed="81"/>
            <rFont val="Tahoma"/>
            <family val="2"/>
          </rPr>
          <t>MSMB:</t>
        </r>
        <r>
          <rPr>
            <sz val="9"/>
            <color indexed="81"/>
            <rFont val="Tahoma"/>
            <family val="2"/>
          </rPr>
          <t xml:space="preserve">
4/11 expiry</t>
        </r>
      </text>
    </comment>
    <comment ref="EJ46" authorId="6" shapeId="0" xr:uid="{00000000-0006-0000-0400-00008A000000}">
      <text>
        <r>
          <rPr>
            <b/>
            <sz val="8"/>
            <color indexed="81"/>
            <rFont val="Tahoma"/>
            <family val="2"/>
          </rPr>
          <t>Martin Shkreli:</t>
        </r>
        <r>
          <rPr>
            <sz val="8"/>
            <color indexed="81"/>
            <rFont val="Tahoma"/>
            <family val="2"/>
          </rPr>
          <t xml:space="preserve">
Approved 10/31/08</t>
        </r>
      </text>
    </comment>
    <comment ref="CW47" authorId="8" shapeId="0" xr:uid="{92701E07-5169-41B3-B74F-F4AFE676C3F6}">
      <text>
        <t>[Threaded comment]
Your version of Excel allows you to read this threaded comment; however, any edits to it will get removed if the file is opened in a newer version of Excel. Learn more: https://go.microsoft.com/fwlink/?linkid=870924
Comment:
    45</t>
      </text>
    </comment>
    <comment ref="AS56" authorId="6" shapeId="0" xr:uid="{00000000-0006-0000-0400-000052000000}">
      <text>
        <r>
          <rPr>
            <b/>
            <sz val="8"/>
            <color indexed="81"/>
            <rFont val="Tahoma"/>
            <family val="2"/>
          </rPr>
          <t>Martin Shkreli:</t>
        </r>
        <r>
          <rPr>
            <sz val="8"/>
            <color indexed="81"/>
            <rFont val="Tahoma"/>
            <family val="2"/>
          </rPr>
          <t xml:space="preserve">
7/14/07 price increase</t>
        </r>
      </text>
    </comment>
    <comment ref="AT56" authorId="7" shapeId="0" xr:uid="{00000000-0006-0000-0400-000053000000}">
      <text>
        <r>
          <rPr>
            <b/>
            <sz val="8"/>
            <color indexed="81"/>
            <rFont val="Tahoma"/>
            <family val="2"/>
          </rPr>
          <t>Bloomberg:</t>
        </r>
        <r>
          <rPr>
            <sz val="8"/>
            <color indexed="81"/>
            <rFont val="Tahoma"/>
            <family val="2"/>
          </rPr>
          <t xml:space="preserve">
7% px inc 1/1/08</t>
        </r>
      </text>
    </comment>
    <comment ref="EL56" authorId="6" shapeId="0" xr:uid="{00000000-0006-0000-0400-000054000000}">
      <text>
        <r>
          <rPr>
            <b/>
            <sz val="8"/>
            <color indexed="81"/>
            <rFont val="Tahoma"/>
            <family val="2"/>
          </rPr>
          <t>Martin Shkreli:</t>
        </r>
        <r>
          <rPr>
            <sz val="8"/>
            <color indexed="81"/>
            <rFont val="Tahoma"/>
            <family val="2"/>
          </rPr>
          <t xml:space="preserve">
Bear: 698 post chantix news.</t>
        </r>
      </text>
    </comment>
    <comment ref="AV57" authorId="6" shapeId="0" xr:uid="{00000000-0006-0000-0400-000042000000}">
      <text>
        <r>
          <rPr>
            <b/>
            <sz val="8"/>
            <color indexed="81"/>
            <rFont val="Tahoma"/>
            <family val="2"/>
          </rPr>
          <t>Martin Shkreli:</t>
        </r>
        <r>
          <rPr>
            <sz val="8"/>
            <color indexed="81"/>
            <rFont val="Tahoma"/>
            <family val="2"/>
          </rPr>
          <t xml:space="preserve">
6% price increase 5/08</t>
        </r>
      </text>
    </comment>
    <comment ref="EO57" authorId="0" shapeId="0" xr:uid="{00000000-0006-0000-0400-000043000000}">
      <text>
        <r>
          <rPr>
            <b/>
            <sz val="9"/>
            <color indexed="81"/>
            <rFont val="Tahoma"/>
            <family val="2"/>
          </rPr>
          <t>Martin:</t>
        </r>
        <r>
          <rPr>
            <sz val="9"/>
            <color indexed="81"/>
            <rFont val="Tahoma"/>
            <family val="2"/>
          </rPr>
          <t xml:space="preserve">
1353 actual</t>
        </r>
      </text>
    </comment>
    <comment ref="BE58" authorId="1" shapeId="0" xr:uid="{00000000-0006-0000-0400-000048000000}">
      <text>
        <r>
          <rPr>
            <b/>
            <sz val="9"/>
            <color indexed="81"/>
            <rFont val="Tahoma"/>
            <family val="2"/>
          </rPr>
          <t>MSMB:</t>
        </r>
        <r>
          <rPr>
            <sz val="9"/>
            <color indexed="81"/>
            <rFont val="Tahoma"/>
            <family val="2"/>
          </rPr>
          <t xml:space="preserve">
TEVA launches generic Effexor XR 7/1/10</t>
        </r>
      </text>
    </comment>
    <comment ref="BL58" authorId="0" shapeId="0" xr:uid="{00000000-0006-0000-0400-000049000000}">
      <text>
        <r>
          <rPr>
            <sz val="9"/>
            <color indexed="81"/>
            <rFont val="Tahoma"/>
            <family val="2"/>
          </rPr>
          <t>Pristiq 158
Effexor 106</t>
        </r>
      </text>
    </comment>
    <comment ref="EK58" authorId="3" shapeId="0" xr:uid="{00000000-0006-0000-0400-00004A000000}">
      <text>
        <r>
          <rPr>
            <b/>
            <sz val="9"/>
            <color indexed="81"/>
            <rFont val="Tahoma"/>
            <family val="2"/>
          </rPr>
          <t>MSMB - Andre:</t>
        </r>
        <r>
          <rPr>
            <sz val="9"/>
            <color indexed="81"/>
            <rFont val="Tahoma"/>
            <family val="2"/>
          </rPr>
          <t xml:space="preserve">
3,065 full year?</t>
        </r>
      </text>
    </comment>
    <comment ref="AA62" authorId="9" shapeId="0" xr:uid="{00000000-0006-0000-0400-000010000000}">
      <text>
        <r>
          <rPr>
            <b/>
            <sz val="8"/>
            <color indexed="81"/>
            <rFont val="Tahoma"/>
            <family val="2"/>
          </rPr>
          <t>Marek Biestek:</t>
        </r>
        <r>
          <rPr>
            <sz val="8"/>
            <color indexed="81"/>
            <rFont val="Tahoma"/>
            <family val="2"/>
          </rPr>
          <t xml:space="preserve">
REPORTED 28M</t>
        </r>
      </text>
    </comment>
    <comment ref="AI62" authorId="0" shapeId="0" xr:uid="{00000000-0006-0000-0400-000011000000}">
      <text>
        <r>
          <rPr>
            <b/>
            <sz val="9"/>
            <color indexed="81"/>
            <rFont val="Tahoma"/>
            <family val="2"/>
          </rPr>
          <t>Martin:</t>
        </r>
        <r>
          <rPr>
            <sz val="9"/>
            <color indexed="81"/>
            <rFont val="Tahoma"/>
            <family val="2"/>
          </rPr>
          <t xml:space="preserve">
Bextra 56</t>
        </r>
      </text>
    </comment>
    <comment ref="AS62" authorId="6" shapeId="0" xr:uid="{00000000-0006-0000-0400-000012000000}">
      <text>
        <r>
          <rPr>
            <b/>
            <sz val="8"/>
            <color indexed="81"/>
            <rFont val="Tahoma"/>
            <family val="2"/>
          </rPr>
          <t>Martin Shkreli:</t>
        </r>
        <r>
          <rPr>
            <sz val="8"/>
            <color indexed="81"/>
            <rFont val="Tahoma"/>
            <family val="2"/>
          </rPr>
          <t xml:space="preserve">
7% price increase on 7/14</t>
        </r>
      </text>
    </comment>
    <comment ref="AT62" authorId="7" shapeId="0" xr:uid="{00000000-0006-0000-0400-000013000000}">
      <text>
        <r>
          <rPr>
            <b/>
            <sz val="8"/>
            <color indexed="81"/>
            <rFont val="Tahoma"/>
            <family val="2"/>
          </rPr>
          <t>Bloomberg:</t>
        </r>
        <r>
          <rPr>
            <sz val="8"/>
            <color indexed="81"/>
            <rFont val="Tahoma"/>
            <family val="2"/>
          </rPr>
          <t xml:space="preserve">
7% price increase 1/1/08</t>
        </r>
      </text>
    </comment>
    <comment ref="BD62" authorId="1" shapeId="0" xr:uid="{00000000-0006-0000-0400-000014000000}">
      <text>
        <r>
          <rPr>
            <b/>
            <sz val="9"/>
            <color indexed="81"/>
            <rFont val="Tahoma"/>
            <family val="2"/>
          </rPr>
          <t>MSMB:</t>
        </r>
        <r>
          <rPr>
            <sz val="9"/>
            <color indexed="81"/>
            <rFont val="Tahoma"/>
            <family val="2"/>
          </rPr>
          <t xml:space="preserve">
551 consensus</t>
        </r>
      </text>
    </comment>
    <comment ref="EE62" authorId="6" shapeId="0" xr:uid="{00000000-0006-0000-0400-000015000000}">
      <text>
        <r>
          <rPr>
            <b/>
            <sz val="8"/>
            <color indexed="81"/>
            <rFont val="Tahoma"/>
            <family val="2"/>
          </rPr>
          <t>Martin Shkreli:</t>
        </r>
        <r>
          <rPr>
            <sz val="8"/>
            <color indexed="81"/>
            <rFont val="Tahoma"/>
            <family val="2"/>
          </rPr>
          <t xml:space="preserve">
1883 from PHA</t>
        </r>
      </text>
    </comment>
    <comment ref="EH62" authorId="6" shapeId="0" xr:uid="{00000000-0006-0000-0400-000016000000}">
      <text>
        <r>
          <rPr>
            <b/>
            <sz val="8"/>
            <color indexed="81"/>
            <rFont val="Tahoma"/>
            <family val="2"/>
          </rPr>
          <t>Martin Shkreli:</t>
        </r>
        <r>
          <rPr>
            <sz val="8"/>
            <color indexed="81"/>
            <rFont val="Tahoma"/>
            <family val="2"/>
          </rPr>
          <t xml:space="preserve">
2B guidance is noted to be 'ambitious'</t>
        </r>
      </text>
    </comment>
    <comment ref="EP62" authorId="0" shapeId="0" xr:uid="{00000000-0006-0000-0400-000017000000}">
      <text>
        <r>
          <rPr>
            <b/>
            <sz val="9"/>
            <color indexed="81"/>
            <rFont val="Tahoma"/>
            <family val="2"/>
          </rPr>
          <t>Martin:</t>
        </r>
        <r>
          <rPr>
            <sz val="9"/>
            <color indexed="81"/>
            <rFont val="Tahoma"/>
            <family val="2"/>
          </rPr>
          <t xml:space="preserve">
5/30/14
possible use patent extends to 12/2/15</t>
        </r>
      </text>
    </comment>
    <comment ref="BK63" authorId="0" shapeId="0" xr:uid="{00000000-0006-0000-0400-00004E000000}">
      <text>
        <r>
          <rPr>
            <b/>
            <sz val="9"/>
            <color indexed="81"/>
            <rFont val="Tahoma"/>
            <family val="2"/>
          </rPr>
          <t>Martin:</t>
        </r>
        <r>
          <rPr>
            <sz val="9"/>
            <color indexed="81"/>
            <rFont val="Tahoma"/>
            <family val="2"/>
          </rPr>
          <t xml:space="preserve">
US expiry</t>
        </r>
      </text>
    </comment>
    <comment ref="ED63" authorId="6" shapeId="0" xr:uid="{00000000-0006-0000-0400-00004F000000}">
      <text>
        <r>
          <rPr>
            <b/>
            <sz val="8"/>
            <color indexed="81"/>
            <rFont val="Tahoma"/>
            <family val="2"/>
          </rPr>
          <t>Martin Shkreli:</t>
        </r>
        <r>
          <rPr>
            <sz val="8"/>
            <color indexed="81"/>
            <rFont val="Tahoma"/>
            <family val="2"/>
          </rPr>
          <t xml:space="preserve">
PHA drug.
PFE 0</t>
        </r>
      </text>
    </comment>
    <comment ref="EE63" authorId="6" shapeId="0" xr:uid="{00000000-0006-0000-0400-000050000000}">
      <text>
        <r>
          <rPr>
            <b/>
            <sz val="8"/>
            <color indexed="81"/>
            <rFont val="Tahoma"/>
            <family val="2"/>
          </rPr>
          <t>Martin Shkreli:</t>
        </r>
        <r>
          <rPr>
            <sz val="8"/>
            <color indexed="81"/>
            <rFont val="Tahoma"/>
            <family val="2"/>
          </rPr>
          <t xml:space="preserve">
668 PHA?</t>
        </r>
      </text>
    </comment>
    <comment ref="EM63" authorId="5" shapeId="0" xr:uid="{00000000-0006-0000-0400-000051000000}">
      <text>
        <r>
          <rPr>
            <b/>
            <sz val="8"/>
            <color indexed="81"/>
            <rFont val="Tahoma"/>
            <family val="2"/>
          </rPr>
          <t>mshkreli:</t>
        </r>
        <r>
          <rPr>
            <sz val="8"/>
            <color indexed="81"/>
            <rFont val="Tahoma"/>
            <family val="2"/>
          </rPr>
          <t xml:space="preserve">
March 2011</t>
        </r>
      </text>
    </comment>
    <comment ref="D65" authorId="0" shapeId="0" xr:uid="{00000000-0006-0000-0400-000055000000}">
      <text>
        <r>
          <rPr>
            <b/>
            <sz val="9"/>
            <color indexed="81"/>
            <rFont val="Tahoma"/>
            <family val="2"/>
          </rPr>
          <t>Martin:</t>
        </r>
        <r>
          <rPr>
            <sz val="9"/>
            <color indexed="81"/>
            <rFont val="Tahoma"/>
            <family val="2"/>
          </rPr>
          <t xml:space="preserve">
10-Q
http://www.sec.gov/Archives/edgar/data/78003/0000078003-97-000005.txt</t>
        </r>
      </text>
    </comment>
    <comment ref="E65" authorId="0" shapeId="0" xr:uid="{00000000-0006-0000-0400-000056000000}">
      <text>
        <r>
          <rPr>
            <b/>
            <sz val="9"/>
            <color indexed="81"/>
            <rFont val="Tahoma"/>
            <family val="2"/>
          </rPr>
          <t>Martin:</t>
        </r>
        <r>
          <rPr>
            <sz val="9"/>
            <color indexed="81"/>
            <rFont val="Tahoma"/>
            <family val="2"/>
          </rPr>
          <t xml:space="preserve">
http://www.sec.gov/Archives/edgar/data/78003/0000078003-97-000015.txt</t>
        </r>
      </text>
    </comment>
    <comment ref="G65" authorId="0" shapeId="0" xr:uid="{00000000-0006-0000-0400-000057000000}">
      <text>
        <r>
          <rPr>
            <b/>
            <sz val="9"/>
            <color indexed="81"/>
            <rFont val="Tahoma"/>
            <family val="2"/>
          </rPr>
          <t>Martin:</t>
        </r>
        <r>
          <rPr>
            <sz val="9"/>
            <color indexed="81"/>
            <rFont val="Tahoma"/>
            <family val="2"/>
          </rPr>
          <t xml:space="preserve">
460m
http://www.sec.gov/Archives/edgar/data/78003/0000078003-98-000009.txt</t>
        </r>
      </text>
    </comment>
    <comment ref="DV65" authorId="0" shapeId="0" xr:uid="{00000000-0006-0000-0400-000058000000}">
      <text>
        <r>
          <rPr>
            <b/>
            <sz val="9"/>
            <color indexed="81"/>
            <rFont val="Tahoma"/>
            <family val="2"/>
          </rPr>
          <t>Martin:</t>
        </r>
        <r>
          <rPr>
            <sz val="9"/>
            <color indexed="81"/>
            <rFont val="Tahoma"/>
            <family val="2"/>
          </rPr>
          <t xml:space="preserve">
http://www.sec.gov/Archives/edgar/data/78003/0000950116-97-000605.txt</t>
        </r>
      </text>
    </comment>
    <comment ref="DW65" authorId="0" shapeId="0" xr:uid="{00000000-0006-0000-0400-000059000000}">
      <text>
        <r>
          <rPr>
            <b/>
            <sz val="9"/>
            <color indexed="81"/>
            <rFont val="Tahoma"/>
            <family val="2"/>
          </rPr>
          <t>Martin:</t>
        </r>
        <r>
          <rPr>
            <sz val="9"/>
            <color indexed="81"/>
            <rFont val="Tahoma"/>
            <family val="2"/>
          </rPr>
          <t xml:space="preserve">
http://www.sec.gov/Archives/edgar/data/78003/0000950116-97-000605.txt</t>
        </r>
      </text>
    </comment>
    <comment ref="DX65" authorId="0" shapeId="0" xr:uid="{00000000-0006-0000-0400-00005A000000}">
      <text>
        <r>
          <rPr>
            <b/>
            <sz val="9"/>
            <color indexed="81"/>
            <rFont val="Tahoma"/>
            <family val="2"/>
          </rPr>
          <t>Martin:</t>
        </r>
        <r>
          <rPr>
            <sz val="9"/>
            <color indexed="81"/>
            <rFont val="Tahoma"/>
            <family val="2"/>
          </rPr>
          <t xml:space="preserve">
http://www.sec.gov/Archives/edgar/data/78003/0000950116-97-000605.txt</t>
        </r>
      </text>
    </comment>
    <comment ref="DY65" authorId="0" shapeId="0" xr:uid="{00000000-0006-0000-0400-00005B000000}">
      <text>
        <r>
          <rPr>
            <b/>
            <sz val="9"/>
            <color indexed="81"/>
            <rFont val="Tahoma"/>
            <family val="2"/>
          </rPr>
          <t>Martin:</t>
        </r>
        <r>
          <rPr>
            <sz val="9"/>
            <color indexed="81"/>
            <rFont val="Tahoma"/>
            <family val="2"/>
          </rPr>
          <t xml:space="preserve">
http://www.sec.gov/Archives/edgar/data/78003/0000940180-98-000332.txt</t>
        </r>
      </text>
    </comment>
    <comment ref="EH65" authorId="5" shapeId="0" xr:uid="{00000000-0006-0000-0400-00005C000000}">
      <text>
        <r>
          <rPr>
            <b/>
            <sz val="8"/>
            <color indexed="81"/>
            <rFont val="Tahoma"/>
            <family val="2"/>
          </rPr>
          <t>mshkreli:</t>
        </r>
        <r>
          <rPr>
            <sz val="8"/>
            <color indexed="81"/>
            <rFont val="Tahoma"/>
            <family val="2"/>
          </rPr>
          <t xml:space="preserve">
Patent expires 6/06 (including P-ext)</t>
        </r>
      </text>
    </comment>
    <comment ref="EK66" authorId="3" shapeId="0" xr:uid="{00000000-0006-0000-0400-00005D000000}">
      <text>
        <r>
          <rPr>
            <b/>
            <sz val="9"/>
            <color indexed="81"/>
            <rFont val="Tahoma"/>
            <family val="2"/>
          </rPr>
          <t>MSMB - Andre:</t>
        </r>
        <r>
          <rPr>
            <sz val="9"/>
            <color indexed="81"/>
            <rFont val="Tahoma"/>
            <family val="2"/>
          </rPr>
          <t xml:space="preserve">
1214 FY?</t>
        </r>
      </text>
    </comment>
    <comment ref="C68" authorId="0" shapeId="0" xr:uid="{00000000-0006-0000-0400-000018000000}">
      <text>
        <r>
          <rPr>
            <sz val="9"/>
            <color indexed="81"/>
            <rFont val="Tahoma"/>
            <family val="2"/>
          </rPr>
          <t>Source document: WLA quarterly press release</t>
        </r>
      </text>
    </comment>
    <comment ref="D68" authorId="0" shapeId="0" xr:uid="{00000000-0006-0000-0400-000019000000}">
      <text>
        <r>
          <rPr>
            <b/>
            <sz val="9"/>
            <color indexed="81"/>
            <rFont val="Tahoma"/>
            <family val="2"/>
          </rPr>
          <t>Martin:</t>
        </r>
        <r>
          <rPr>
            <sz val="9"/>
            <color indexed="81"/>
            <rFont val="Tahoma"/>
            <family val="2"/>
          </rPr>
          <t xml:space="preserve">
Source document: WLA quarterly press release</t>
        </r>
      </text>
    </comment>
    <comment ref="E68" authorId="0" shapeId="0" xr:uid="{00000000-0006-0000-0400-00001A000000}">
      <text>
        <r>
          <rPr>
            <b/>
            <sz val="9"/>
            <color indexed="81"/>
            <rFont val="Tahoma"/>
            <family val="2"/>
          </rPr>
          <t>Martin:</t>
        </r>
        <r>
          <rPr>
            <sz val="9"/>
            <color indexed="81"/>
            <rFont val="Tahoma"/>
            <family val="2"/>
          </rPr>
          <t xml:space="preserve">
Source document: WLA quarterly press release</t>
        </r>
      </text>
    </comment>
    <comment ref="F68" authorId="0" shapeId="0" xr:uid="{00000000-0006-0000-0400-00001B000000}">
      <text>
        <r>
          <rPr>
            <b/>
            <sz val="9"/>
            <color indexed="81"/>
            <rFont val="Tahoma"/>
            <family val="2"/>
          </rPr>
          <t>Martin:</t>
        </r>
        <r>
          <rPr>
            <sz val="9"/>
            <color indexed="81"/>
            <rFont val="Tahoma"/>
            <family val="2"/>
          </rPr>
          <t xml:space="preserve">
Source document: WLA quarterly press release</t>
        </r>
      </text>
    </comment>
    <comment ref="AP68" authorId="6" shapeId="0" xr:uid="{00000000-0006-0000-0400-00001C000000}">
      <text>
        <r>
          <rPr>
            <b/>
            <sz val="8"/>
            <color indexed="81"/>
            <rFont val="Tahoma"/>
            <family val="2"/>
          </rPr>
          <t>Martin Shkreli:</t>
        </r>
        <r>
          <rPr>
            <sz val="8"/>
            <color indexed="81"/>
            <rFont val="Tahoma"/>
            <family val="2"/>
          </rPr>
          <t xml:space="preserve">
Trx -6% QTD in Q4, was down 5% In Q3 and 2% in Q2</t>
        </r>
      </text>
    </comment>
    <comment ref="AQ68" authorId="6" shapeId="0" xr:uid="{00000000-0006-0000-0400-00001D000000}">
      <text>
        <r>
          <rPr>
            <b/>
            <sz val="8"/>
            <color indexed="81"/>
            <rFont val="Tahoma"/>
            <family val="2"/>
          </rPr>
          <t>Martin Shkreli:</t>
        </r>
        <r>
          <rPr>
            <sz val="8"/>
            <color indexed="81"/>
            <rFont val="Tahoma"/>
            <family val="2"/>
          </rPr>
          <t xml:space="preserve">
3% inventory benefit
lower rebating helped 1-2%, which is 1x effect</t>
        </r>
      </text>
    </comment>
    <comment ref="AR68" authorId="6" shapeId="0" xr:uid="{00000000-0006-0000-0400-00001E000000}">
      <text>
        <r>
          <rPr>
            <b/>
            <sz val="8"/>
            <color indexed="81"/>
            <rFont val="Tahoma"/>
            <family val="2"/>
          </rPr>
          <t>Martin Shkreli:</t>
        </r>
        <r>
          <rPr>
            <sz val="8"/>
            <color indexed="81"/>
            <rFont val="Tahoma"/>
            <family val="2"/>
          </rPr>
          <t xml:space="preserve">
lipitor blows up on inventory correction (3.8 to 1.8wks) and share losses.
</t>
        </r>
        <r>
          <rPr>
            <i/>
            <sz val="8"/>
            <color indexed="81"/>
            <rFont val="Tahoma"/>
            <family val="2"/>
          </rPr>
          <t>"some early evidence of stabilization" was the previous commentary.</t>
        </r>
      </text>
    </comment>
    <comment ref="AT68" authorId="7" shapeId="0" xr:uid="{00000000-0006-0000-0400-00001F000000}">
      <text>
        <r>
          <rPr>
            <b/>
            <sz val="8"/>
            <color indexed="81"/>
            <rFont val="Tahoma"/>
            <family val="2"/>
          </rPr>
          <t>Bloomberg:</t>
        </r>
        <r>
          <rPr>
            <sz val="8"/>
            <color indexed="81"/>
            <rFont val="Tahoma"/>
            <family val="2"/>
          </rPr>
          <t xml:space="preserve">
US -4%, Intl +13%</t>
        </r>
      </text>
    </comment>
    <comment ref="BB68" authorId="1" shapeId="0" xr:uid="{00000000-0006-0000-0400-000020000000}">
      <text>
        <r>
          <rPr>
            <b/>
            <sz val="9"/>
            <color indexed="81"/>
            <rFont val="Tahoma"/>
            <family val="2"/>
          </rPr>
          <t>MSMB:</t>
        </r>
        <r>
          <rPr>
            <sz val="9"/>
            <color indexed="81"/>
            <rFont val="Tahoma"/>
            <family val="2"/>
          </rPr>
          <t xml:space="preserve">
237m in EM, up 7% operationally</t>
        </r>
      </text>
    </comment>
    <comment ref="BD68" authorId="1" shapeId="0" xr:uid="{00000000-0006-0000-0400-000021000000}">
      <text>
        <r>
          <rPr>
            <b/>
            <sz val="9"/>
            <color indexed="81"/>
            <rFont val="Tahoma"/>
            <family val="2"/>
          </rPr>
          <t>MSMB:</t>
        </r>
        <r>
          <rPr>
            <sz val="9"/>
            <color indexed="81"/>
            <rFont val="Tahoma"/>
            <family val="2"/>
          </rPr>
          <t xml:space="preserve">
2610 consensus
Lost exclusivity in Canada</t>
        </r>
      </text>
    </comment>
    <comment ref="BE68" authorId="0" shapeId="0" xr:uid="{00000000-0006-0000-0400-000022000000}">
      <text>
        <r>
          <rPr>
            <b/>
            <sz val="9"/>
            <color indexed="81"/>
            <rFont val="Tahoma"/>
            <family val="2"/>
          </rPr>
          <t>Martin:</t>
        </r>
        <r>
          <rPr>
            <sz val="9"/>
            <color indexed="81"/>
            <rFont val="Tahoma"/>
            <family val="2"/>
          </rPr>
          <t xml:space="preserve">
Lost exclusivity in Spain
LOE in Brazil</t>
        </r>
      </text>
    </comment>
    <comment ref="BJ68" authorId="0" shapeId="0" xr:uid="{00000000-0006-0000-0400-000023000000}">
      <text>
        <r>
          <rPr>
            <b/>
            <sz val="9"/>
            <color indexed="81"/>
            <rFont val="Tahoma"/>
            <family val="2"/>
          </rPr>
          <t>Martin:</t>
        </r>
        <r>
          <rPr>
            <sz val="9"/>
            <color indexed="81"/>
            <rFont val="Tahoma"/>
            <family val="2"/>
          </rPr>
          <t xml:space="preserve">
LOE</t>
        </r>
      </text>
    </comment>
    <comment ref="EG68" authorId="6" shapeId="0" xr:uid="{00000000-0006-0000-0400-000024000000}">
      <text>
        <r>
          <rPr>
            <b/>
            <sz val="8"/>
            <color indexed="81"/>
            <rFont val="Tahoma"/>
            <family val="2"/>
          </rPr>
          <t>Martin Shkreli:</t>
        </r>
        <r>
          <rPr>
            <sz val="8"/>
            <color indexed="81"/>
            <rFont val="Tahoma"/>
            <family val="2"/>
          </rPr>
          <t xml:space="preserve">
Zocor generic ex-US?</t>
        </r>
      </text>
    </comment>
    <comment ref="EH68" authorId="6" shapeId="0" xr:uid="{00000000-0006-0000-0400-000025000000}">
      <text>
        <r>
          <rPr>
            <sz val="8"/>
            <color indexed="81"/>
            <rFont val="Tahoma"/>
            <family val="2"/>
          </rPr>
          <t>Zocor generic US 6/2006
13B guidance now noted to be ambitious</t>
        </r>
      </text>
    </comment>
    <comment ref="EI68" authorId="6" shapeId="0" xr:uid="{00000000-0006-0000-0400-000026000000}">
      <text>
        <r>
          <rPr>
            <sz val="8"/>
            <color indexed="81"/>
            <rFont val="Tahoma"/>
            <family val="2"/>
          </rPr>
          <t xml:space="preserve">9/10/07: tracking to low-end
guidance: flat to down 5%
was modest growth to modest decline.
</t>
        </r>
        <r>
          <rPr>
            <b/>
            <sz val="8"/>
            <color indexed="81"/>
            <rFont val="Tahoma"/>
            <family val="2"/>
          </rPr>
          <t xml:space="preserve">
</t>
        </r>
        <r>
          <rPr>
            <sz val="8"/>
            <color indexed="81"/>
            <rFont val="Tahoma"/>
            <family val="2"/>
          </rPr>
          <t>was growth in 2007</t>
        </r>
      </text>
    </comment>
    <comment ref="EM68" authorId="0" shapeId="0" xr:uid="{00000000-0006-0000-0400-000027000000}">
      <text>
        <r>
          <rPr>
            <b/>
            <sz val="9"/>
            <color indexed="81"/>
            <rFont val="Tahoma"/>
            <family val="2"/>
          </rPr>
          <t>Martin:</t>
        </r>
        <r>
          <rPr>
            <sz val="9"/>
            <color indexed="81"/>
            <rFont val="Tahoma"/>
            <family val="2"/>
          </rPr>
          <t xml:space="preserve">
11/30/11 Ranbaxy launches generic under settlement.</t>
        </r>
      </text>
    </comment>
    <comment ref="EN68" authorId="0" shapeId="0" xr:uid="{00000000-0006-0000-0400-000028000000}">
      <text>
        <r>
          <rPr>
            <b/>
            <sz val="9"/>
            <color indexed="81"/>
            <rFont val="Tahoma"/>
            <family val="2"/>
          </rPr>
          <t>Martin:</t>
        </r>
        <r>
          <rPr>
            <sz val="9"/>
            <color indexed="81"/>
            <rFont val="Tahoma"/>
            <family val="2"/>
          </rPr>
          <t xml:space="preserve">
5/30/12 6-month exclusivity expires, fiurther generics launch.
EU pediatric extends some markets to 5/2012 but Ranbaxy can launch in some markets in 3/2012.
7/10: citi at 5.574bn</t>
        </r>
      </text>
    </comment>
    <comment ref="ET68" authorId="1" shapeId="0" xr:uid="{00000000-0006-0000-0400-000029000000}">
      <text>
        <r>
          <rPr>
            <b/>
            <sz val="9"/>
            <color indexed="81"/>
            <rFont val="Tahoma"/>
            <family val="2"/>
          </rPr>
          <t>MSMB:</t>
        </r>
        <r>
          <rPr>
            <sz val="9"/>
            <color indexed="81"/>
            <rFont val="Tahoma"/>
            <family val="2"/>
          </rPr>
          <t xml:space="preserve">
1307 if only counting emerging markets with 5% growth pa from annualized q1 2010.</t>
        </r>
      </text>
    </comment>
    <comment ref="G69" authorId="0" shapeId="0" xr:uid="{00000000-0006-0000-0400-00002A000000}">
      <text>
        <r>
          <rPr>
            <b/>
            <sz val="9"/>
            <color indexed="81"/>
            <rFont val="Tahoma"/>
            <family val="2"/>
          </rPr>
          <t>Martin:</t>
        </r>
        <r>
          <rPr>
            <sz val="9"/>
            <color indexed="81"/>
            <rFont val="Tahoma"/>
            <family val="2"/>
          </rPr>
          <t xml:space="preserve">
10-Q
http://www.sec.gov/Archives/edgar/data/78003/0000078003-98-000009.txt</t>
        </r>
      </text>
    </comment>
    <comment ref="H69" authorId="0" shapeId="0" xr:uid="{00000000-0006-0000-0400-00002B000000}">
      <text>
        <r>
          <rPr>
            <b/>
            <sz val="9"/>
            <color indexed="81"/>
            <rFont val="Tahoma"/>
            <family val="2"/>
          </rPr>
          <t>Martin:</t>
        </r>
        <r>
          <rPr>
            <sz val="9"/>
            <color indexed="81"/>
            <rFont val="Tahoma"/>
            <family val="2"/>
          </rPr>
          <t xml:space="preserve">
411m
http://www.sec.gov/Archives/edgar/data/78003/0000078003-98-000009.txt</t>
        </r>
      </text>
    </comment>
    <comment ref="AS69" authorId="6" shapeId="0" xr:uid="{00000000-0006-0000-0400-00002C000000}">
      <text>
        <r>
          <rPr>
            <b/>
            <sz val="8"/>
            <color indexed="81"/>
            <rFont val="Tahoma"/>
            <family val="2"/>
          </rPr>
          <t>Martin Shkreli:</t>
        </r>
        <r>
          <rPr>
            <sz val="8"/>
            <color indexed="81"/>
            <rFont val="Tahoma"/>
            <family val="2"/>
          </rPr>
          <t xml:space="preserve">
5% px increase as of 7/14</t>
        </r>
      </text>
    </comment>
    <comment ref="AT69" authorId="7" shapeId="0" xr:uid="{00000000-0006-0000-0400-00002D000000}">
      <text>
        <r>
          <rPr>
            <b/>
            <sz val="8"/>
            <color indexed="81"/>
            <rFont val="Tahoma"/>
            <family val="2"/>
          </rPr>
          <t>Bloomberg:</t>
        </r>
        <r>
          <rPr>
            <sz val="8"/>
            <color indexed="81"/>
            <rFont val="Tahoma"/>
            <family val="2"/>
          </rPr>
          <t xml:space="preserve">
9% price increase 1/1/08</t>
        </r>
      </text>
    </comment>
    <comment ref="AV69" authorId="6" shapeId="0" xr:uid="{00000000-0006-0000-0400-00002E000000}">
      <text>
        <r>
          <rPr>
            <b/>
            <sz val="8"/>
            <color indexed="81"/>
            <rFont val="Tahoma"/>
            <family val="2"/>
          </rPr>
          <t>Martin Shkreli:</t>
        </r>
        <r>
          <rPr>
            <sz val="8"/>
            <color indexed="81"/>
            <rFont val="Tahoma"/>
            <family val="2"/>
          </rPr>
          <t xml:space="preserve">
9% 5/2008 increase</t>
        </r>
      </text>
    </comment>
    <comment ref="BD69" authorId="0" shapeId="0" xr:uid="{00000000-0006-0000-0400-00002F000000}">
      <text>
        <r>
          <rPr>
            <b/>
            <sz val="9"/>
            <color indexed="81"/>
            <rFont val="Tahoma"/>
            <family val="2"/>
          </rPr>
          <t>Martin:</t>
        </r>
        <r>
          <rPr>
            <sz val="9"/>
            <color indexed="81"/>
            <rFont val="Tahoma"/>
            <family val="2"/>
          </rPr>
          <t xml:space="preserve">
June: LOE in Brazil</t>
        </r>
      </text>
    </comment>
    <comment ref="EO69" authorId="0" shapeId="0" xr:uid="{00000000-0006-0000-0400-000030000000}">
      <text>
        <r>
          <rPr>
            <b/>
            <sz val="9"/>
            <color indexed="81"/>
            <rFont val="Tahoma"/>
            <family val="2"/>
          </rPr>
          <t>Martin:</t>
        </r>
        <r>
          <rPr>
            <sz val="9"/>
            <color indexed="81"/>
            <rFont val="Tahoma"/>
            <family val="2"/>
          </rPr>
          <t xml:space="preserve">
1881 actual</t>
        </r>
      </text>
    </comment>
    <comment ref="EU69" authorId="0" shapeId="0" xr:uid="{00000000-0006-0000-0400-000031000000}">
      <text>
        <r>
          <rPr>
            <b/>
            <sz val="9"/>
            <color indexed="81"/>
            <rFont val="Tahoma"/>
            <family val="2"/>
          </rPr>
          <t>Martin:</t>
        </r>
        <r>
          <rPr>
            <sz val="9"/>
            <color indexed="81"/>
            <rFont val="Tahoma"/>
            <family val="2"/>
          </rPr>
          <t xml:space="preserve">
Expiry after case won 8/15/11</t>
        </r>
      </text>
    </comment>
    <comment ref="C70" authorId="0" shapeId="0" xr:uid="{00000000-0006-0000-0400-000032000000}">
      <text>
        <r>
          <rPr>
            <b/>
            <sz val="9"/>
            <color indexed="81"/>
            <rFont val="Tahoma"/>
            <family val="2"/>
          </rPr>
          <t>Martin:</t>
        </r>
        <r>
          <rPr>
            <sz val="9"/>
            <color indexed="81"/>
            <rFont val="Tahoma"/>
            <family val="2"/>
          </rPr>
          <t xml:space="preserve">
http://www.sec.gov/Archives/edgar/data/78003/0000078003-97-000002.txt</t>
        </r>
      </text>
    </comment>
    <comment ref="D70" authorId="0" shapeId="0" xr:uid="{00000000-0006-0000-0400-000033000000}">
      <text>
        <r>
          <rPr>
            <b/>
            <sz val="9"/>
            <color indexed="81"/>
            <rFont val="Tahoma"/>
            <family val="2"/>
          </rPr>
          <t>Martin:</t>
        </r>
        <r>
          <rPr>
            <sz val="9"/>
            <color indexed="81"/>
            <rFont val="Tahoma"/>
            <family val="2"/>
          </rPr>
          <t xml:space="preserve">
10-Q
http://www.sec.gov/Archives/edgar/data/78003/0000078003-97-000005.txt</t>
        </r>
      </text>
    </comment>
    <comment ref="E70" authorId="0" shapeId="0" xr:uid="{00000000-0006-0000-0400-000034000000}">
      <text>
        <r>
          <rPr>
            <b/>
            <sz val="9"/>
            <color indexed="81"/>
            <rFont val="Tahoma"/>
            <family val="2"/>
          </rPr>
          <t>Martin:</t>
        </r>
        <r>
          <rPr>
            <sz val="9"/>
            <color indexed="81"/>
            <rFont val="Tahoma"/>
            <family val="2"/>
          </rPr>
          <t xml:space="preserve">
10Q
http://www.sec.gov/Archives/edgar/data/78003/0000078003-97-000015.txt</t>
        </r>
      </text>
    </comment>
    <comment ref="G70" authorId="0" shapeId="0" xr:uid="{00000000-0006-0000-0400-000035000000}">
      <text>
        <r>
          <rPr>
            <b/>
            <sz val="9"/>
            <color indexed="81"/>
            <rFont val="Tahoma"/>
            <family val="2"/>
          </rPr>
          <t>Martin:</t>
        </r>
        <r>
          <rPr>
            <sz val="9"/>
            <color indexed="81"/>
            <rFont val="Tahoma"/>
            <family val="2"/>
          </rPr>
          <t xml:space="preserve">
10-Q has 567</t>
        </r>
      </text>
    </comment>
    <comment ref="H70" authorId="0" shapeId="0" xr:uid="{00000000-0006-0000-0400-000036000000}">
      <text>
        <r>
          <rPr>
            <b/>
            <sz val="9"/>
            <color indexed="81"/>
            <rFont val="Tahoma"/>
            <family val="2"/>
          </rPr>
          <t>Martin:</t>
        </r>
        <r>
          <rPr>
            <sz val="9"/>
            <color indexed="81"/>
            <rFont val="Tahoma"/>
            <family val="2"/>
          </rPr>
          <t xml:space="preserve">
618m
http://www.sec.gov/Archives/edgar/data/78003/0000078003-98-000009.txt</t>
        </r>
      </text>
    </comment>
    <comment ref="AR70" authorId="6" shapeId="0" xr:uid="{00000000-0006-0000-0400-000037000000}">
      <text>
        <r>
          <rPr>
            <b/>
            <sz val="8"/>
            <color indexed="81"/>
            <rFont val="Tahoma"/>
            <family val="2"/>
          </rPr>
          <t>Martin Shkreli:</t>
        </r>
        <r>
          <rPr>
            <sz val="8"/>
            <color indexed="81"/>
            <rFont val="Tahoma"/>
            <family val="2"/>
          </rPr>
          <t xml:space="preserve">
only one generic?</t>
        </r>
      </text>
    </comment>
    <comment ref="AU70" authorId="7" shapeId="0" xr:uid="{00000000-0006-0000-0400-000038000000}">
      <text>
        <r>
          <rPr>
            <b/>
            <sz val="8"/>
            <color indexed="81"/>
            <rFont val="Tahoma"/>
            <family val="2"/>
          </rPr>
          <t>Bloomberg:</t>
        </r>
        <r>
          <rPr>
            <sz val="8"/>
            <color indexed="81"/>
            <rFont val="Tahoma"/>
            <family val="2"/>
          </rPr>
          <t xml:space="preserve">
italy loses exclusivity</t>
        </r>
      </text>
    </comment>
    <comment ref="AW70" authorId="7" shapeId="0" xr:uid="{00000000-0006-0000-0400-000039000000}">
      <text>
        <r>
          <rPr>
            <b/>
            <sz val="8"/>
            <color indexed="81"/>
            <rFont val="Tahoma"/>
            <family val="2"/>
          </rPr>
          <t>Bloomberg:</t>
        </r>
        <r>
          <rPr>
            <sz val="8"/>
            <color indexed="81"/>
            <rFont val="Tahoma"/>
            <family val="2"/>
          </rPr>
          <t xml:space="preserve">
Japan loses exclusivity</t>
        </r>
      </text>
    </comment>
    <comment ref="DS70" authorId="0" shapeId="0" xr:uid="{00000000-0006-0000-0400-00003A000000}">
      <text>
        <r>
          <rPr>
            <b/>
            <sz val="9"/>
            <color indexed="81"/>
            <rFont val="Tahoma"/>
            <family val="2"/>
          </rPr>
          <t>Martin:</t>
        </r>
        <r>
          <rPr>
            <sz val="9"/>
            <color indexed="81"/>
            <rFont val="Tahoma"/>
            <family val="2"/>
          </rPr>
          <t xml:space="preserve">
http://www.sec.gov/Archives/edgar/data/78003/0000891554-94-000029.txt</t>
        </r>
      </text>
    </comment>
    <comment ref="DT70" authorId="0" shapeId="0" xr:uid="{00000000-0006-0000-0400-00003B000000}">
      <text>
        <r>
          <rPr>
            <b/>
            <sz val="9"/>
            <color indexed="81"/>
            <rFont val="Tahoma"/>
            <family val="2"/>
          </rPr>
          <t>Martin:</t>
        </r>
        <r>
          <rPr>
            <sz val="9"/>
            <color indexed="81"/>
            <rFont val="Tahoma"/>
            <family val="2"/>
          </rPr>
          <t xml:space="preserve">
http://www.sec.gov/Archives/edgar/data/78003/0000912057-95-001635.txt</t>
        </r>
      </text>
    </comment>
    <comment ref="DU70" authorId="0" shapeId="0" xr:uid="{00000000-0006-0000-0400-00003C000000}">
      <text>
        <r>
          <rPr>
            <b/>
            <sz val="9"/>
            <color indexed="81"/>
            <rFont val="Tahoma"/>
            <family val="2"/>
          </rPr>
          <t>Martin:</t>
        </r>
        <r>
          <rPr>
            <sz val="9"/>
            <color indexed="81"/>
            <rFont val="Tahoma"/>
            <family val="2"/>
          </rPr>
          <t xml:space="preserve">
http://www.sec.gov/Archives/edgar/data/78003/0000912057-95-001635.txt</t>
        </r>
      </text>
    </comment>
    <comment ref="DV70" authorId="0" shapeId="0" xr:uid="{00000000-0006-0000-0400-00003D000000}">
      <text>
        <r>
          <rPr>
            <b/>
            <sz val="9"/>
            <color indexed="81"/>
            <rFont val="Tahoma"/>
            <family val="2"/>
          </rPr>
          <t>Martin:</t>
        </r>
        <r>
          <rPr>
            <sz val="9"/>
            <color indexed="81"/>
            <rFont val="Tahoma"/>
            <family val="2"/>
          </rPr>
          <t xml:space="preserve">
10-K
http://www.sec.gov/Archives/edgar/data/78003/0000950116-97-000605.txt</t>
        </r>
      </text>
    </comment>
    <comment ref="DW70" authorId="0" shapeId="0" xr:uid="{00000000-0006-0000-0400-00003E000000}">
      <text>
        <r>
          <rPr>
            <b/>
            <sz val="9"/>
            <color indexed="81"/>
            <rFont val="Tahoma"/>
            <family val="2"/>
          </rPr>
          <t>Martin:</t>
        </r>
        <r>
          <rPr>
            <sz val="9"/>
            <color indexed="81"/>
            <rFont val="Tahoma"/>
            <family val="2"/>
          </rPr>
          <t xml:space="preserve">
10-K
http://www.sec.gov/Archives/edgar/data/78003/0000950116-97-000605.txt</t>
        </r>
      </text>
    </comment>
    <comment ref="DX70" authorId="0" shapeId="0" xr:uid="{00000000-0006-0000-0400-00003F000000}">
      <text>
        <r>
          <rPr>
            <b/>
            <sz val="9"/>
            <color indexed="81"/>
            <rFont val="Tahoma"/>
            <family val="2"/>
          </rPr>
          <t>Martin:</t>
        </r>
        <r>
          <rPr>
            <sz val="9"/>
            <color indexed="81"/>
            <rFont val="Tahoma"/>
            <family val="2"/>
          </rPr>
          <t xml:space="preserve">
10-K
http://www.sec.gov/Archives/edgar/data/78003/0000950116-97-000605.txt</t>
        </r>
      </text>
    </comment>
    <comment ref="DY70" authorId="9" shapeId="0" xr:uid="{00000000-0006-0000-0400-000040000000}">
      <text>
        <r>
          <rPr>
            <b/>
            <sz val="8"/>
            <color indexed="81"/>
            <rFont val="Tahoma"/>
            <family val="2"/>
          </rPr>
          <t>Marek Biestek:</t>
        </r>
        <r>
          <rPr>
            <sz val="8"/>
            <color indexed="81"/>
            <rFont val="Tahoma"/>
            <family val="2"/>
          </rPr>
          <t xml:space="preserve">
993/1224 US/EXUS
http://www.sec.gov/Archives/edgar/data/78003/0000940180-98-000332.txt</t>
        </r>
      </text>
    </comment>
    <comment ref="EH70" authorId="6" shapeId="0" xr:uid="{00000000-0006-0000-0400-000041000000}">
      <text>
        <r>
          <rPr>
            <b/>
            <sz val="8"/>
            <color indexed="81"/>
            <rFont val="Tahoma"/>
            <family val="2"/>
          </rPr>
          <t>Martin Shkreli:</t>
        </r>
        <r>
          <rPr>
            <sz val="8"/>
            <color indexed="81"/>
            <rFont val="Tahoma"/>
            <family val="2"/>
          </rPr>
          <t xml:space="preserve">
2006: ex-US patents expire
1/07: COM patent expires
9/07: besylate salt patent expires
</t>
        </r>
      </text>
    </comment>
    <comment ref="EG72" authorId="5" shapeId="0" xr:uid="{00000000-0006-0000-0400-000066000000}">
      <text>
        <r>
          <rPr>
            <b/>
            <sz val="8"/>
            <color indexed="81"/>
            <rFont val="Tahoma"/>
            <family val="2"/>
          </rPr>
          <t>mshkreli:</t>
        </r>
        <r>
          <rPr>
            <sz val="8"/>
            <color indexed="81"/>
            <rFont val="Tahoma"/>
            <family val="2"/>
          </rPr>
          <t xml:space="preserve">
launched 8/05</t>
        </r>
      </text>
    </comment>
    <comment ref="C73" authorId="0" shapeId="0" xr:uid="{00000000-0006-0000-0400-000067000000}">
      <text>
        <r>
          <rPr>
            <b/>
            <sz val="9"/>
            <color indexed="81"/>
            <rFont val="Tahoma"/>
            <family val="2"/>
          </rPr>
          <t>Martin:</t>
        </r>
        <r>
          <rPr>
            <sz val="9"/>
            <color indexed="81"/>
            <rFont val="Tahoma"/>
            <family val="2"/>
          </rPr>
          <t xml:space="preserve">
10-Q
http://www.sec.gov/Archives/edgar/data/78003/0000078003-97-000002.txt</t>
        </r>
      </text>
    </comment>
    <comment ref="D73" authorId="0" shapeId="0" xr:uid="{00000000-0006-0000-0400-000068000000}">
      <text>
        <r>
          <rPr>
            <b/>
            <sz val="9"/>
            <color indexed="81"/>
            <rFont val="Tahoma"/>
            <family val="2"/>
          </rPr>
          <t>Martin:</t>
        </r>
        <r>
          <rPr>
            <sz val="9"/>
            <color indexed="81"/>
            <rFont val="Tahoma"/>
            <family val="2"/>
          </rPr>
          <t xml:space="preserve">
10-Q
http://www.sec.gov/Archives/edgar/data/78003/0000078003-97-000005.txt</t>
        </r>
      </text>
    </comment>
    <comment ref="E73" authorId="0" shapeId="0" xr:uid="{00000000-0006-0000-0400-000069000000}">
      <text>
        <r>
          <rPr>
            <b/>
            <sz val="9"/>
            <color indexed="81"/>
            <rFont val="Tahoma"/>
            <family val="2"/>
          </rPr>
          <t>Martin:</t>
        </r>
        <r>
          <rPr>
            <sz val="9"/>
            <color indexed="81"/>
            <rFont val="Tahoma"/>
            <family val="2"/>
          </rPr>
          <t xml:space="preserve">
http://www.sec.gov/Archives/edgar/data/78003/0000078003-97-000015.txt</t>
        </r>
      </text>
    </comment>
    <comment ref="G73" authorId="0" shapeId="0" xr:uid="{00000000-0006-0000-0400-00006A000000}">
      <text>
        <r>
          <rPr>
            <b/>
            <sz val="9"/>
            <color indexed="81"/>
            <rFont val="Tahoma"/>
            <family val="2"/>
          </rPr>
          <t>Martin:</t>
        </r>
        <r>
          <rPr>
            <sz val="9"/>
            <color indexed="81"/>
            <rFont val="Tahoma"/>
            <family val="2"/>
          </rPr>
          <t xml:space="preserve">
169m
http://www.sec.gov/Archives/edgar/data/78003/0000078003-98-000009.txt</t>
        </r>
      </text>
    </comment>
    <comment ref="H73" authorId="0" shapeId="0" xr:uid="{00000000-0006-0000-0400-00006B000000}">
      <text>
        <r>
          <rPr>
            <b/>
            <sz val="9"/>
            <color indexed="81"/>
            <rFont val="Tahoma"/>
            <family val="2"/>
          </rPr>
          <t>Martin:</t>
        </r>
        <r>
          <rPr>
            <sz val="9"/>
            <color indexed="81"/>
            <rFont val="Tahoma"/>
            <family val="2"/>
          </rPr>
          <t xml:space="preserve">
159m
http://www.sec.gov/Archives/edgar/data/78003/0000078003-98-000009.txt</t>
        </r>
      </text>
    </comment>
    <comment ref="DV73" authorId="0" shapeId="0" xr:uid="{00000000-0006-0000-0400-00006C000000}">
      <text>
        <r>
          <rPr>
            <b/>
            <sz val="9"/>
            <color indexed="81"/>
            <rFont val="Tahoma"/>
            <family val="2"/>
          </rPr>
          <t>Martin:</t>
        </r>
        <r>
          <rPr>
            <sz val="9"/>
            <color indexed="81"/>
            <rFont val="Tahoma"/>
            <family val="2"/>
          </rPr>
          <t xml:space="preserve">
10-K
http://www.sec.gov/Archives/edgar/data/78003/0000950116-97-000605.txt</t>
        </r>
      </text>
    </comment>
    <comment ref="DW73" authorId="0" shapeId="0" xr:uid="{00000000-0006-0000-0400-00006D000000}">
      <text>
        <r>
          <rPr>
            <b/>
            <sz val="9"/>
            <color indexed="81"/>
            <rFont val="Tahoma"/>
            <family val="2"/>
          </rPr>
          <t>Martin:</t>
        </r>
        <r>
          <rPr>
            <sz val="9"/>
            <color indexed="81"/>
            <rFont val="Tahoma"/>
            <family val="2"/>
          </rPr>
          <t xml:space="preserve">
10-K
http://www.sec.gov/Archives/edgar/data/78003/0000950116-97-000605.txt</t>
        </r>
      </text>
    </comment>
    <comment ref="DX73" authorId="0" shapeId="0" xr:uid="{00000000-0006-0000-0400-00006E000000}">
      <text>
        <r>
          <rPr>
            <b/>
            <sz val="9"/>
            <color indexed="81"/>
            <rFont val="Tahoma"/>
            <family val="2"/>
          </rPr>
          <t>Martin:</t>
        </r>
        <r>
          <rPr>
            <sz val="9"/>
            <color indexed="81"/>
            <rFont val="Tahoma"/>
            <family val="2"/>
          </rPr>
          <t xml:space="preserve">
10-K
http://www.sec.gov/Archives/edgar/data/78003/0000950116-97-000605.txt</t>
        </r>
      </text>
    </comment>
    <comment ref="DY73" authorId="0" shapeId="0" xr:uid="{00000000-0006-0000-0400-00006F000000}">
      <text>
        <r>
          <rPr>
            <b/>
            <sz val="9"/>
            <color indexed="81"/>
            <rFont val="Tahoma"/>
            <family val="2"/>
          </rPr>
          <t>Martin:</t>
        </r>
        <r>
          <rPr>
            <sz val="9"/>
            <color indexed="81"/>
            <rFont val="Tahoma"/>
            <family val="2"/>
          </rPr>
          <t xml:space="preserve">
http://www.sec.gov/Archives/edgar/data/78003/0000940180-98-000332.txt</t>
        </r>
      </text>
    </comment>
    <comment ref="EG73" authorId="5" shapeId="0" xr:uid="{00000000-0006-0000-0400-000070000000}">
      <text>
        <r>
          <rPr>
            <b/>
            <sz val="8"/>
            <color indexed="81"/>
            <rFont val="Tahoma"/>
            <family val="2"/>
          </rPr>
          <t>mshkreli:</t>
        </r>
        <r>
          <rPr>
            <sz val="8"/>
            <color indexed="81"/>
            <rFont val="Tahoma"/>
            <family val="2"/>
          </rPr>
          <t xml:space="preserve">
foreign patents???</t>
        </r>
      </text>
    </comment>
    <comment ref="BF75" authorId="0" shapeId="0" xr:uid="{00000000-0006-0000-0400-000074000000}">
      <text>
        <r>
          <rPr>
            <b/>
            <sz val="9"/>
            <color indexed="81"/>
            <rFont val="Tahoma"/>
            <family val="2"/>
          </rPr>
          <t>Martin:</t>
        </r>
        <r>
          <rPr>
            <sz val="9"/>
            <color indexed="81"/>
            <rFont val="Tahoma"/>
            <family val="2"/>
          </rPr>
          <t xml:space="preserve">
November 2010 US expiry</t>
        </r>
      </text>
    </comment>
    <comment ref="AS76" authorId="6" shapeId="0" xr:uid="{00000000-0006-0000-0400-000075000000}">
      <text>
        <r>
          <rPr>
            <b/>
            <sz val="8"/>
            <color indexed="81"/>
            <rFont val="Tahoma"/>
            <family val="2"/>
          </rPr>
          <t>Martin Shkreli:</t>
        </r>
        <r>
          <rPr>
            <sz val="8"/>
            <color indexed="81"/>
            <rFont val="Tahoma"/>
            <family val="2"/>
          </rPr>
          <t xml:space="preserve">
5-10% px increase 7/14</t>
        </r>
      </text>
    </comment>
    <comment ref="AT76" authorId="7" shapeId="0" xr:uid="{00000000-0006-0000-0400-000076000000}">
      <text>
        <r>
          <rPr>
            <b/>
            <sz val="8"/>
            <color indexed="81"/>
            <rFont val="Tahoma"/>
            <family val="2"/>
          </rPr>
          <t>Bloomberg:</t>
        </r>
        <r>
          <rPr>
            <sz val="8"/>
            <color indexed="81"/>
            <rFont val="Tahoma"/>
            <family val="2"/>
          </rPr>
          <t xml:space="preserve">
9% price increase 1/1/08</t>
        </r>
      </text>
    </comment>
    <comment ref="BK76" authorId="0" shapeId="0" xr:uid="{00000000-0006-0000-0400-000077000000}">
      <text>
        <r>
          <rPr>
            <b/>
            <sz val="9"/>
            <color indexed="81"/>
            <rFont val="Tahoma"/>
            <family val="2"/>
          </rPr>
          <t>Martin:</t>
        </r>
        <r>
          <rPr>
            <sz val="9"/>
            <color indexed="81"/>
            <rFont val="Tahoma"/>
            <family val="2"/>
          </rPr>
          <t xml:space="preserve">
US expiry</t>
        </r>
      </text>
    </comment>
    <comment ref="C80" authorId="0" shapeId="0" xr:uid="{00000000-0006-0000-0400-000078000000}">
      <text>
        <r>
          <rPr>
            <b/>
            <sz val="9"/>
            <color indexed="81"/>
            <rFont val="Tahoma"/>
            <family val="2"/>
          </rPr>
          <t>Martin:</t>
        </r>
        <r>
          <rPr>
            <sz val="9"/>
            <color indexed="81"/>
            <rFont val="Tahoma"/>
            <family val="2"/>
          </rPr>
          <t xml:space="preserve">
10-Q
http://www.sec.gov/Archives/edgar/data/78003/0000078003-97-000002.txt</t>
        </r>
      </text>
    </comment>
    <comment ref="D80" authorId="0" shapeId="0" xr:uid="{00000000-0006-0000-0400-000079000000}">
      <text>
        <r>
          <rPr>
            <b/>
            <sz val="9"/>
            <color indexed="81"/>
            <rFont val="Tahoma"/>
            <family val="2"/>
          </rPr>
          <t>Martin:</t>
        </r>
        <r>
          <rPr>
            <sz val="9"/>
            <color indexed="81"/>
            <rFont val="Tahoma"/>
            <family val="2"/>
          </rPr>
          <t xml:space="preserve">
10-Q
http://www.sec.gov/Archives/edgar/data/78003/0000078003-97-000005.txt</t>
        </r>
      </text>
    </comment>
    <comment ref="E80" authorId="0" shapeId="0" xr:uid="{00000000-0006-0000-0400-00007A000000}">
      <text>
        <r>
          <rPr>
            <b/>
            <sz val="9"/>
            <color indexed="81"/>
            <rFont val="Tahoma"/>
            <family val="2"/>
          </rPr>
          <t>Martin:</t>
        </r>
        <r>
          <rPr>
            <sz val="9"/>
            <color indexed="81"/>
            <rFont val="Tahoma"/>
            <family val="2"/>
          </rPr>
          <t xml:space="preserve">
http://www.sec.gov/Archives/edgar/data/78003/0000078003-97-000015.txt</t>
        </r>
      </text>
    </comment>
    <comment ref="G80" authorId="0" shapeId="0" xr:uid="{00000000-0006-0000-0400-00007B000000}">
      <text>
        <r>
          <rPr>
            <b/>
            <sz val="9"/>
            <color indexed="81"/>
            <rFont val="Tahoma"/>
            <family val="2"/>
          </rPr>
          <t>Martin:</t>
        </r>
        <r>
          <rPr>
            <sz val="9"/>
            <color indexed="81"/>
            <rFont val="Tahoma"/>
            <family val="2"/>
          </rPr>
          <t xml:space="preserve">
229m
http://www.sec.gov/Archives/edgar/data/78003/0000078003-98-000009.txt</t>
        </r>
      </text>
    </comment>
    <comment ref="H80" authorId="0" shapeId="0" xr:uid="{00000000-0006-0000-0400-00007C000000}">
      <text>
        <r>
          <rPr>
            <b/>
            <sz val="9"/>
            <color indexed="81"/>
            <rFont val="Tahoma"/>
            <family val="2"/>
          </rPr>
          <t>Martin:</t>
        </r>
        <r>
          <rPr>
            <sz val="9"/>
            <color indexed="81"/>
            <rFont val="Tahoma"/>
            <family val="2"/>
          </rPr>
          <t xml:space="preserve">
211m
http://www.sec.gov/Archives/edgar/data/78003/0000078003-98-000009.txt</t>
        </r>
      </text>
    </comment>
    <comment ref="DV80" authorId="0" shapeId="0" xr:uid="{00000000-0006-0000-0400-00007D000000}">
      <text>
        <r>
          <rPr>
            <b/>
            <sz val="9"/>
            <color indexed="81"/>
            <rFont val="Tahoma"/>
            <family val="2"/>
          </rPr>
          <t>Martin:</t>
        </r>
        <r>
          <rPr>
            <sz val="9"/>
            <color indexed="81"/>
            <rFont val="Tahoma"/>
            <family val="2"/>
          </rPr>
          <t xml:space="preserve">
10-K
http://www.sec.gov/Archives/edgar/data/78003/0000950116-97-000605.txt</t>
        </r>
      </text>
    </comment>
    <comment ref="DW80" authorId="0" shapeId="0" xr:uid="{00000000-0006-0000-0400-00007E000000}">
      <text>
        <r>
          <rPr>
            <b/>
            <sz val="9"/>
            <color indexed="81"/>
            <rFont val="Tahoma"/>
            <family val="2"/>
          </rPr>
          <t>Martin:</t>
        </r>
        <r>
          <rPr>
            <sz val="9"/>
            <color indexed="81"/>
            <rFont val="Tahoma"/>
            <family val="2"/>
          </rPr>
          <t xml:space="preserve">
10-K
http://www.sec.gov/Archives/edgar/data/78003/0000950116-97-000605.txt</t>
        </r>
      </text>
    </comment>
    <comment ref="DX80" authorId="0" shapeId="0" xr:uid="{00000000-0006-0000-0400-00007F000000}">
      <text>
        <r>
          <rPr>
            <b/>
            <sz val="9"/>
            <color indexed="81"/>
            <rFont val="Tahoma"/>
            <family val="2"/>
          </rPr>
          <t>Martin:</t>
        </r>
        <r>
          <rPr>
            <sz val="9"/>
            <color indexed="81"/>
            <rFont val="Tahoma"/>
            <family val="2"/>
          </rPr>
          <t xml:space="preserve">
10-K
http://www.sec.gov/Archives/edgar/data/78003/0000950116-97-000605.txt</t>
        </r>
      </text>
    </comment>
    <comment ref="DY80" authorId="0" shapeId="0" xr:uid="{00000000-0006-0000-0400-000080000000}">
      <text>
        <r>
          <rPr>
            <b/>
            <sz val="9"/>
            <color indexed="81"/>
            <rFont val="Tahoma"/>
            <family val="2"/>
          </rPr>
          <t>Martin:</t>
        </r>
        <r>
          <rPr>
            <sz val="9"/>
            <color indexed="81"/>
            <rFont val="Tahoma"/>
            <family val="2"/>
          </rPr>
          <t xml:space="preserve">
http://www.sec.gov/Archives/edgar/data/78003/0000940180-98-000332.txt</t>
        </r>
      </text>
    </comment>
    <comment ref="AT81" authorId="7" shapeId="0" xr:uid="{00000000-0006-0000-0400-000004000000}">
      <text>
        <r>
          <rPr>
            <b/>
            <sz val="8"/>
            <color indexed="81"/>
            <rFont val="Tahoma"/>
            <family val="2"/>
          </rPr>
          <t>Bloomberg:</t>
        </r>
        <r>
          <rPr>
            <sz val="8"/>
            <color indexed="81"/>
            <rFont val="Tahoma"/>
            <family val="2"/>
          </rPr>
          <t xml:space="preserve">
7% price increase on 1/1/08</t>
        </r>
      </text>
    </comment>
    <comment ref="AV81" authorId="6" shapeId="0" xr:uid="{00000000-0006-0000-0400-000005000000}">
      <text>
        <r>
          <rPr>
            <b/>
            <sz val="8"/>
            <color indexed="81"/>
            <rFont val="Tahoma"/>
            <family val="2"/>
          </rPr>
          <t>Martin Shkreli:</t>
        </r>
        <r>
          <rPr>
            <sz val="8"/>
            <color indexed="81"/>
            <rFont val="Tahoma"/>
            <family val="2"/>
          </rPr>
          <t xml:space="preserve">
5% px in on 5/2/08</t>
        </r>
      </text>
    </comment>
    <comment ref="BC81" authorId="1" shapeId="0" xr:uid="{00000000-0006-0000-0400-000006000000}">
      <text>
        <r>
          <rPr>
            <b/>
            <sz val="9"/>
            <color indexed="81"/>
            <rFont val="Tahoma"/>
            <family val="2"/>
          </rPr>
          <t>MSMB:</t>
        </r>
        <r>
          <rPr>
            <sz val="9"/>
            <color indexed="81"/>
            <rFont val="Tahoma"/>
            <family val="2"/>
          </rPr>
          <t xml:space="preserve">
US down 16%?!</t>
        </r>
      </text>
    </comment>
    <comment ref="BD81" authorId="1" shapeId="0" xr:uid="{00000000-0006-0000-0400-000007000000}">
      <text>
        <r>
          <rPr>
            <b/>
            <sz val="9"/>
            <color indexed="81"/>
            <rFont val="Tahoma"/>
            <family val="2"/>
          </rPr>
          <t>MSMB:</t>
        </r>
        <r>
          <rPr>
            <sz val="9"/>
            <color indexed="81"/>
            <rFont val="Tahoma"/>
            <family val="2"/>
          </rPr>
          <t xml:space="preserve">
706 consensus</t>
        </r>
      </text>
    </comment>
    <comment ref="EH81" authorId="6" shapeId="0" xr:uid="{00000000-0006-0000-0400-000008000000}">
      <text>
        <r>
          <rPr>
            <sz val="8"/>
            <color indexed="81"/>
            <rFont val="Tahoma"/>
            <family val="2"/>
          </rPr>
          <t>&gt;1B guidace, was over 900m</t>
        </r>
      </text>
    </comment>
    <comment ref="ED82" authorId="6" shapeId="0" xr:uid="{00000000-0006-0000-0400-000081000000}">
      <text>
        <r>
          <rPr>
            <b/>
            <sz val="8"/>
            <color indexed="81"/>
            <rFont val="Tahoma"/>
            <family val="2"/>
          </rPr>
          <t>Martin Shkreli:</t>
        </r>
        <r>
          <rPr>
            <sz val="8"/>
            <color indexed="81"/>
            <rFont val="Tahoma"/>
            <family val="2"/>
          </rPr>
          <t xml:space="preserve">
PHA drug. PFE 0.</t>
        </r>
      </text>
    </comment>
    <comment ref="EE82" authorId="6" shapeId="0" xr:uid="{00000000-0006-0000-0400-000082000000}">
      <text>
        <r>
          <rPr>
            <b/>
            <sz val="8"/>
            <color indexed="81"/>
            <rFont val="Tahoma"/>
            <family val="2"/>
          </rPr>
          <t>Martin Shkreli:</t>
        </r>
        <r>
          <rPr>
            <sz val="8"/>
            <color indexed="81"/>
            <rFont val="Tahoma"/>
            <family val="2"/>
          </rPr>
          <t xml:space="preserve">
319 with PHA</t>
        </r>
      </text>
    </comment>
    <comment ref="EH82" authorId="6" shapeId="0" xr:uid="{00000000-0006-0000-0400-000083000000}">
      <text>
        <r>
          <rPr>
            <b/>
            <sz val="8"/>
            <color indexed="81"/>
            <rFont val="Tahoma"/>
            <family val="2"/>
          </rPr>
          <t>Martin Shkreli:</t>
        </r>
        <r>
          <rPr>
            <sz val="8"/>
            <color indexed="81"/>
            <rFont val="Tahoma"/>
            <family val="2"/>
          </rPr>
          <t xml:space="preserve">
MYL and NVS have received generic approval?</t>
        </r>
      </text>
    </comment>
    <comment ref="DV83" authorId="0" shapeId="0" xr:uid="{00000000-0006-0000-0400-000084000000}">
      <text>
        <r>
          <rPr>
            <b/>
            <sz val="9"/>
            <color indexed="81"/>
            <rFont val="Tahoma"/>
            <family val="2"/>
          </rPr>
          <t>Martin:</t>
        </r>
        <r>
          <rPr>
            <sz val="9"/>
            <color indexed="81"/>
            <rFont val="Tahoma"/>
            <family val="2"/>
          </rPr>
          <t xml:space="preserve">
http://www.sec.gov/Archives/edgar/data/78003/0000950116-97-000605.txt</t>
        </r>
      </text>
    </comment>
    <comment ref="DW83" authorId="0" shapeId="0" xr:uid="{00000000-0006-0000-0400-000085000000}">
      <text>
        <r>
          <rPr>
            <b/>
            <sz val="9"/>
            <color indexed="81"/>
            <rFont val="Tahoma"/>
            <family val="2"/>
          </rPr>
          <t>Martin:</t>
        </r>
        <r>
          <rPr>
            <sz val="9"/>
            <color indexed="81"/>
            <rFont val="Tahoma"/>
            <family val="2"/>
          </rPr>
          <t xml:space="preserve">
http://www.sec.gov/Archives/edgar/data/78003/0000950116-97-000605.txt</t>
        </r>
      </text>
    </comment>
    <comment ref="DX83" authorId="0" shapeId="0" xr:uid="{00000000-0006-0000-0400-000086000000}">
      <text>
        <r>
          <rPr>
            <b/>
            <sz val="9"/>
            <color indexed="81"/>
            <rFont val="Tahoma"/>
            <family val="2"/>
          </rPr>
          <t>Martin:</t>
        </r>
        <r>
          <rPr>
            <sz val="9"/>
            <color indexed="81"/>
            <rFont val="Tahoma"/>
            <family val="2"/>
          </rPr>
          <t xml:space="preserve">
http://www.sec.gov/Archives/edgar/data/78003/0000950116-97-000605.txt</t>
        </r>
      </text>
    </comment>
    <comment ref="EF91" authorId="5" shapeId="0" xr:uid="{00000000-0006-0000-0400-00008B000000}">
      <text>
        <r>
          <rPr>
            <sz val="8"/>
            <color indexed="81"/>
            <rFont val="Tahoma"/>
            <family val="2"/>
          </rPr>
          <t>12/04 TEVA/RBXY agree to launch.
2/05 PFE granted injunction.
PRX/MYL have launched generics however</t>
        </r>
      </text>
    </comment>
    <comment ref="D92" authorId="0" shapeId="0" xr:uid="{00000000-0006-0000-0400-00008C000000}">
      <text>
        <r>
          <rPr>
            <b/>
            <sz val="9"/>
            <color indexed="81"/>
            <rFont val="Tahoma"/>
            <family val="2"/>
          </rPr>
          <t>Martin:</t>
        </r>
        <r>
          <rPr>
            <sz val="9"/>
            <color indexed="81"/>
            <rFont val="Tahoma"/>
            <family val="2"/>
          </rPr>
          <t xml:space="preserve">
10-Q
http://www.sec.gov/Archives/edgar/data/78003/0000078003-97-000005.txt</t>
        </r>
      </text>
    </comment>
    <comment ref="E92" authorId="0" shapeId="0" xr:uid="{00000000-0006-0000-0400-00008D000000}">
      <text>
        <r>
          <rPr>
            <b/>
            <sz val="9"/>
            <color indexed="81"/>
            <rFont val="Tahoma"/>
            <family val="2"/>
          </rPr>
          <t>Martin:</t>
        </r>
        <r>
          <rPr>
            <sz val="9"/>
            <color indexed="81"/>
            <rFont val="Tahoma"/>
            <family val="2"/>
          </rPr>
          <t xml:space="preserve">
http://www.sec.gov/Archives/edgar/data/78003/0000078003-97-000015.txt</t>
        </r>
      </text>
    </comment>
    <comment ref="G92" authorId="0" shapeId="0" xr:uid="{00000000-0006-0000-0400-00008E000000}">
      <text>
        <r>
          <rPr>
            <b/>
            <sz val="9"/>
            <color indexed="81"/>
            <rFont val="Tahoma"/>
            <family val="2"/>
          </rPr>
          <t>Martin:</t>
        </r>
        <r>
          <rPr>
            <sz val="9"/>
            <color indexed="81"/>
            <rFont val="Tahoma"/>
            <family val="2"/>
          </rPr>
          <t xml:space="preserve">
http://www.sec.gov/Archives/edgar/data/78003/0000078003-98-000009.txt</t>
        </r>
      </text>
    </comment>
    <comment ref="DV92" authorId="0" shapeId="0" xr:uid="{00000000-0006-0000-0400-00008F000000}">
      <text>
        <r>
          <rPr>
            <b/>
            <sz val="9"/>
            <color indexed="81"/>
            <rFont val="Tahoma"/>
            <family val="2"/>
          </rPr>
          <t>Martin:</t>
        </r>
        <r>
          <rPr>
            <sz val="9"/>
            <color indexed="81"/>
            <rFont val="Tahoma"/>
            <family val="2"/>
          </rPr>
          <t xml:space="preserve">
10-K
http://www.sec.gov/Archives/edgar/data/78003/0000950116-97-000605.txt</t>
        </r>
      </text>
    </comment>
    <comment ref="DW92" authorId="0" shapeId="0" xr:uid="{00000000-0006-0000-0400-000090000000}">
      <text>
        <r>
          <rPr>
            <b/>
            <sz val="9"/>
            <color indexed="81"/>
            <rFont val="Tahoma"/>
            <family val="2"/>
          </rPr>
          <t>Martin:</t>
        </r>
        <r>
          <rPr>
            <sz val="9"/>
            <color indexed="81"/>
            <rFont val="Tahoma"/>
            <family val="2"/>
          </rPr>
          <t xml:space="preserve">
10-K
http://www.sec.gov/Archives/edgar/data/78003/0000950116-97-000605.txt</t>
        </r>
      </text>
    </comment>
    <comment ref="DX92" authorId="0" shapeId="0" xr:uid="{00000000-0006-0000-0400-000091000000}">
      <text>
        <r>
          <rPr>
            <b/>
            <sz val="9"/>
            <color indexed="81"/>
            <rFont val="Tahoma"/>
            <family val="2"/>
          </rPr>
          <t>Martin:</t>
        </r>
        <r>
          <rPr>
            <sz val="9"/>
            <color indexed="81"/>
            <rFont val="Tahoma"/>
            <family val="2"/>
          </rPr>
          <t xml:space="preserve">
10-K
http://www.sec.gov/Archives/edgar/data/78003/0000950116-97-000605.txt</t>
        </r>
      </text>
    </comment>
    <comment ref="DY92" authorId="0" shapeId="0" xr:uid="{00000000-0006-0000-0400-000092000000}">
      <text>
        <r>
          <rPr>
            <b/>
            <sz val="9"/>
            <color indexed="81"/>
            <rFont val="Tahoma"/>
            <family val="2"/>
          </rPr>
          <t>Martin:</t>
        </r>
        <r>
          <rPr>
            <sz val="9"/>
            <color indexed="81"/>
            <rFont val="Tahoma"/>
            <family val="2"/>
          </rPr>
          <t xml:space="preserve">
http://www.sec.gov/Archives/edgar/data/78003/0000940180-98-000332.txt</t>
        </r>
      </text>
    </comment>
    <comment ref="G93" authorId="0" shapeId="0" xr:uid="{00000000-0006-0000-0400-000093000000}">
      <text>
        <r>
          <rPr>
            <b/>
            <sz val="9"/>
            <color indexed="81"/>
            <rFont val="Tahoma"/>
            <family val="2"/>
          </rPr>
          <t>Martin:</t>
        </r>
        <r>
          <rPr>
            <sz val="9"/>
            <color indexed="81"/>
            <rFont val="Tahoma"/>
            <family val="2"/>
          </rPr>
          <t xml:space="preserve">
http://www.sec.gov/Archives/edgar/data/78003/0000078003-98-000009.txt</t>
        </r>
      </text>
    </comment>
    <comment ref="AU94" authorId="7" shapeId="0" xr:uid="{00000000-0006-0000-0400-000094000000}">
      <text>
        <r>
          <rPr>
            <b/>
            <sz val="8"/>
            <color indexed="81"/>
            <rFont val="Tahoma"/>
            <family val="2"/>
          </rPr>
          <t>Bloomberg:</t>
        </r>
        <r>
          <rPr>
            <sz val="8"/>
            <color indexed="81"/>
            <rFont val="Tahoma"/>
            <family val="2"/>
          </rPr>
          <t xml:space="preserve">
Feb 08 expiry</t>
        </r>
      </text>
    </comment>
    <comment ref="EE94" authorId="6" shapeId="0" xr:uid="{00000000-0006-0000-0400-000095000000}">
      <text>
        <r>
          <rPr>
            <b/>
            <sz val="8"/>
            <color indexed="81"/>
            <rFont val="Tahoma"/>
            <family val="2"/>
          </rPr>
          <t>Martin Shkreli:</t>
        </r>
        <r>
          <rPr>
            <sz val="8"/>
            <color indexed="81"/>
            <rFont val="Tahoma"/>
            <family val="2"/>
          </rPr>
          <t xml:space="preserve">
416 with PHA</t>
        </r>
      </text>
    </comment>
    <comment ref="EI94" authorId="5" shapeId="0" xr:uid="{00000000-0006-0000-0400-000096000000}">
      <text>
        <r>
          <rPr>
            <b/>
            <sz val="8"/>
            <color indexed="81"/>
            <rFont val="Tahoma"/>
            <family val="2"/>
          </rPr>
          <t>mshkreli:</t>
        </r>
        <r>
          <rPr>
            <sz val="8"/>
            <color indexed="81"/>
            <rFont val="Tahoma"/>
            <family val="2"/>
          </rPr>
          <t xml:space="preserve">
August 2007 expiry</t>
        </r>
      </text>
    </comment>
    <comment ref="G95" authorId="0" shapeId="0" xr:uid="{00000000-0006-0000-0400-000097000000}">
      <text>
        <r>
          <rPr>
            <b/>
            <sz val="9"/>
            <color indexed="81"/>
            <rFont val="Tahoma"/>
            <family val="2"/>
          </rPr>
          <t>Martin:</t>
        </r>
        <r>
          <rPr>
            <sz val="9"/>
            <color indexed="81"/>
            <rFont val="Tahoma"/>
            <family val="2"/>
          </rPr>
          <t xml:space="preserve">
http://www.sec.gov/Archives/edgar/data/78003/0000078003-98-000009.txt</t>
        </r>
      </text>
    </comment>
    <comment ref="DV95" authorId="0" shapeId="0" xr:uid="{00000000-0006-0000-0400-000098000000}">
      <text>
        <r>
          <rPr>
            <b/>
            <sz val="9"/>
            <color indexed="81"/>
            <rFont val="Tahoma"/>
            <family val="2"/>
          </rPr>
          <t>Martin:</t>
        </r>
        <r>
          <rPr>
            <sz val="9"/>
            <color indexed="81"/>
            <rFont val="Tahoma"/>
            <family val="2"/>
          </rPr>
          <t xml:space="preserve">
10-K
http://www.sec.gov/Archives/edgar/data/78003/0000950116-97-000605.txt</t>
        </r>
      </text>
    </comment>
    <comment ref="DW95" authorId="0" shapeId="0" xr:uid="{00000000-0006-0000-0400-000099000000}">
      <text>
        <r>
          <rPr>
            <b/>
            <sz val="9"/>
            <color indexed="81"/>
            <rFont val="Tahoma"/>
            <family val="2"/>
          </rPr>
          <t>Martin:</t>
        </r>
        <r>
          <rPr>
            <sz val="9"/>
            <color indexed="81"/>
            <rFont val="Tahoma"/>
            <family val="2"/>
          </rPr>
          <t xml:space="preserve">
10-K
http://www.sec.gov/Archives/edgar/data/78003/0000950116-97-000605.txt</t>
        </r>
      </text>
    </comment>
    <comment ref="DX95" authorId="0" shapeId="0" xr:uid="{00000000-0006-0000-0400-00009A000000}">
      <text>
        <r>
          <rPr>
            <b/>
            <sz val="9"/>
            <color indexed="81"/>
            <rFont val="Tahoma"/>
            <family val="2"/>
          </rPr>
          <t>Martin:</t>
        </r>
        <r>
          <rPr>
            <sz val="9"/>
            <color indexed="81"/>
            <rFont val="Tahoma"/>
            <family val="2"/>
          </rPr>
          <t xml:space="preserve">
10-K
http://www.sec.gov/Archives/edgar/data/78003/0000950116-97-000605.txt</t>
        </r>
      </text>
    </comment>
    <comment ref="DY95" authorId="0" shapeId="0" xr:uid="{00000000-0006-0000-0400-00009B000000}">
      <text>
        <r>
          <rPr>
            <b/>
            <sz val="9"/>
            <color indexed="81"/>
            <rFont val="Tahoma"/>
            <family val="2"/>
          </rPr>
          <t>Martin:</t>
        </r>
        <r>
          <rPr>
            <sz val="9"/>
            <color indexed="81"/>
            <rFont val="Tahoma"/>
            <family val="2"/>
          </rPr>
          <t xml:space="preserve">
http://www.sec.gov/Archives/edgar/data/78003/0000940180-98-000332.txt</t>
        </r>
      </text>
    </comment>
    <comment ref="B103" authorId="6" shapeId="0" xr:uid="{00000000-0006-0000-0400-00009C000000}">
      <text>
        <r>
          <rPr>
            <b/>
            <sz val="8"/>
            <color indexed="81"/>
            <rFont val="Tahoma"/>
            <family val="2"/>
          </rPr>
          <t>Martin Shkreli:</t>
        </r>
        <r>
          <rPr>
            <sz val="8"/>
            <color indexed="81"/>
            <rFont val="Tahoma"/>
            <family val="2"/>
          </rPr>
          <t xml:space="preserve">
Unasyn, Sulperazon</t>
        </r>
      </text>
    </comment>
    <comment ref="AU104" authorId="1" shapeId="0" xr:uid="{00000000-0006-0000-0400-0000A1000000}">
      <text>
        <r>
          <rPr>
            <b/>
            <sz val="9"/>
            <color indexed="81"/>
            <rFont val="Tahoma"/>
            <family val="2"/>
          </rPr>
          <t>MSMB:</t>
        </r>
        <r>
          <rPr>
            <sz val="9"/>
            <color indexed="81"/>
            <rFont val="Tahoma"/>
            <family val="2"/>
          </rPr>
          <t xml:space="preserve">
299 other cardio
299 other infectious
144 other arthritis
85 other CNS
11 other urology
151 other oncology</t>
        </r>
      </text>
    </comment>
    <comment ref="AV104" authorId="1" shapeId="0" xr:uid="{00000000-0006-0000-0400-0000A2000000}">
      <text>
        <r>
          <rPr>
            <b/>
            <sz val="9"/>
            <color indexed="81"/>
            <rFont val="Tahoma"/>
            <family val="2"/>
          </rPr>
          <t>MSMB:</t>
        </r>
        <r>
          <rPr>
            <sz val="9"/>
            <color indexed="81"/>
            <rFont val="Tahoma"/>
            <family val="2"/>
          </rPr>
          <t xml:space="preserve">
361 other other
619 all other
-54 non-gaap adjustment
306 other cardio
92 other cns
167 other arthritis
314 other infectious
12 other urology
185 other oncology
305-238 other endocrine
444-436 other oph</t>
        </r>
      </text>
    </comment>
    <comment ref="AW104" authorId="1" shapeId="0" xr:uid="{00000000-0006-0000-0400-0000A3000000}">
      <text>
        <r>
          <rPr>
            <b/>
            <sz val="9"/>
            <color indexed="81"/>
            <rFont val="Tahoma"/>
            <family val="2"/>
          </rPr>
          <t>MSMB:</t>
        </r>
        <r>
          <rPr>
            <sz val="9"/>
            <color indexed="81"/>
            <rFont val="Tahoma"/>
            <family val="2"/>
          </rPr>
          <t xml:space="preserve">
283 other cardio
335 other infectious
143 other arthritis
81 other cns
13 other urology
176 other oncology</t>
        </r>
      </text>
    </comment>
    <comment ref="AY104" authorId="1" shapeId="0" xr:uid="{00000000-0006-0000-0400-0000A4000000}">
      <text>
        <r>
          <rPr>
            <b/>
            <sz val="9"/>
            <color indexed="81"/>
            <rFont val="Tahoma"/>
            <family val="2"/>
          </rPr>
          <t>MSMB:</t>
        </r>
        <r>
          <rPr>
            <sz val="9"/>
            <color indexed="81"/>
            <rFont val="Tahoma"/>
            <family val="2"/>
          </rPr>
          <t xml:space="preserve">
252-197 other endocrine
531 all other
413-407 other opthamalogy
228 other
333 other cardio
279 other infectiouw
124 other arthritis
75 other cns
24 other urology
131 other oncology
22 adjustment</t>
        </r>
      </text>
    </comment>
    <comment ref="AZ104" authorId="1" shapeId="0" xr:uid="{00000000-0006-0000-0400-0000A5000000}">
      <text>
        <r>
          <rPr>
            <b/>
            <sz val="9"/>
            <color indexed="81"/>
            <rFont val="Tahoma"/>
            <family val="2"/>
          </rPr>
          <t>MSMB:</t>
        </r>
        <r>
          <rPr>
            <sz val="9"/>
            <color indexed="81"/>
            <rFont val="Tahoma"/>
            <family val="2"/>
          </rPr>
          <t xml:space="preserve">
171 other cardio
230 other infectious
75 other arthritis
64 other cns
18 other urology
136 other oncology</t>
        </r>
      </text>
    </comment>
    <comment ref="BA104" authorId="1" shapeId="0" xr:uid="{00000000-0006-0000-0400-0000A6000000}">
      <text>
        <r>
          <rPr>
            <b/>
            <sz val="9"/>
            <color indexed="81"/>
            <rFont val="Tahoma"/>
            <family val="2"/>
          </rPr>
          <t>MSMB:</t>
        </r>
        <r>
          <rPr>
            <sz val="9"/>
            <color indexed="81"/>
            <rFont val="Tahoma"/>
            <family val="2"/>
          </rPr>
          <t xml:space="preserve">
178 Other cardio
232 other infectious
82 other arthritis
64 other cns
24 other urology
124 other oncology</t>
        </r>
      </text>
    </comment>
    <comment ref="CN104" authorId="10" shapeId="0" xr:uid="{8C26E110-6481-4D73-BF8E-53E4485CB950}">
      <text>
        <t>[Threaded comment]
Your version of Excel allows you to read this threaded comment; however, any edits to it will get removed if the file is opened in a newer version of Excel. Learn more: https://go.microsoft.com/fwlink/?linkid=870924
Comment:
    587m Upjohn, 544m IM</t>
      </text>
    </comment>
    <comment ref="CR104" authorId="11" shapeId="0" xr:uid="{F114C7E8-BDF8-4C17-9587-85359FA5F189}">
      <text>
        <t>[Threaded comment]
Your version of Excel allows you to read this threaded comment; however, any edits to it will get removed if the file is opened in a newer version of Excel. Learn more: https://go.microsoft.com/fwlink/?linkid=870924
Comment:
    476 Upjohn, 498 IM</t>
      </text>
    </comment>
    <comment ref="EF104" authorId="6" shapeId="0" xr:uid="{00000000-0006-0000-0400-0000A7000000}">
      <text>
        <r>
          <rPr>
            <b/>
            <sz val="8"/>
            <color indexed="81"/>
            <rFont val="Tahoma"/>
            <family val="2"/>
          </rPr>
          <t>Martin Shkreli:</t>
        </r>
        <r>
          <rPr>
            <sz val="8"/>
            <color indexed="81"/>
            <rFont val="Tahoma"/>
            <family val="2"/>
          </rPr>
          <t xml:space="preserve">
189m endocrine</t>
        </r>
      </text>
    </comment>
    <comment ref="EG104" authorId="6" shapeId="0" xr:uid="{00000000-0006-0000-0400-0000A8000000}">
      <text>
        <r>
          <rPr>
            <b/>
            <sz val="8"/>
            <color indexed="81"/>
            <rFont val="Tahoma"/>
            <family val="2"/>
          </rPr>
          <t>Martin Shkreli:</t>
        </r>
        <r>
          <rPr>
            <sz val="8"/>
            <color indexed="81"/>
            <rFont val="Tahoma"/>
            <family val="2"/>
          </rPr>
          <t xml:space="preserve">
1m ophthamology
241m endocrine</t>
        </r>
      </text>
    </comment>
    <comment ref="EH104" authorId="6" shapeId="0" xr:uid="{00000000-0006-0000-0400-0000A9000000}">
      <text>
        <r>
          <rPr>
            <b/>
            <sz val="8"/>
            <color indexed="81"/>
            <rFont val="Tahoma"/>
            <family val="2"/>
          </rPr>
          <t>Martin Shkreli:</t>
        </r>
        <r>
          <rPr>
            <sz val="8"/>
            <color indexed="81"/>
            <rFont val="Tahoma"/>
            <family val="2"/>
          </rPr>
          <t xml:space="preserve">
8m ophthamology
190m endocrine</t>
        </r>
      </text>
    </comment>
    <comment ref="B106" authorId="12" shapeId="0" xr:uid="{00000000-0006-0000-0400-00009D000000}">
      <text>
        <r>
          <rPr>
            <sz val="8"/>
            <color indexed="81"/>
            <rFont val="Tahoma"/>
            <family val="2"/>
          </rPr>
          <t>Dynastat</t>
        </r>
      </text>
    </comment>
    <comment ref="EF106" authorId="6" shapeId="0" xr:uid="{00000000-0006-0000-0400-00009E000000}">
      <text>
        <r>
          <rPr>
            <b/>
            <sz val="8"/>
            <color indexed="81"/>
            <rFont val="Tahoma"/>
            <family val="2"/>
          </rPr>
          <t>Martin Shkreli:</t>
        </r>
        <r>
          <rPr>
            <sz val="8"/>
            <color indexed="81"/>
            <rFont val="Tahoma"/>
            <family val="2"/>
          </rPr>
          <t xml:space="preserve">
MWD: 615</t>
        </r>
      </text>
    </comment>
    <comment ref="B107" authorId="6" shapeId="0" xr:uid="{00000000-0006-0000-0400-00009F000000}">
      <text>
        <r>
          <rPr>
            <b/>
            <sz val="8"/>
            <color indexed="81"/>
            <rFont val="Tahoma"/>
            <family val="2"/>
          </rPr>
          <t>Martin Shkreli:</t>
        </r>
        <r>
          <rPr>
            <sz val="8"/>
            <color indexed="81"/>
            <rFont val="Tahoma"/>
            <family val="2"/>
          </rPr>
          <t xml:space="preserve">
MS est, includes Aricept, Navane, Sinequan, Atarax/Vistaril</t>
        </r>
      </text>
    </comment>
    <comment ref="ED108" authorId="6" shapeId="0" xr:uid="{00000000-0006-0000-0400-0000A0000000}">
      <text>
        <r>
          <rPr>
            <b/>
            <sz val="8"/>
            <color indexed="81"/>
            <rFont val="Tahoma"/>
            <family val="2"/>
          </rPr>
          <t>Martin Shkreli:</t>
        </r>
        <r>
          <rPr>
            <sz val="8"/>
            <color indexed="81"/>
            <rFont val="Tahoma"/>
            <family val="2"/>
          </rPr>
          <t xml:space="preserve">
MS</t>
        </r>
      </text>
    </comment>
    <comment ref="EK109" authorId="3" shapeId="0" xr:uid="{00000000-0006-0000-0400-0000AA000000}">
      <text>
        <r>
          <rPr>
            <b/>
            <sz val="9"/>
            <color indexed="81"/>
            <rFont val="Tahoma"/>
            <family val="2"/>
          </rPr>
          <t>MSMB - Andre:</t>
        </r>
        <r>
          <rPr>
            <sz val="9"/>
            <color indexed="81"/>
            <rFont val="Tahoma"/>
            <family val="2"/>
          </rPr>
          <t xml:space="preserve">
3800 FY?</t>
        </r>
      </text>
    </comment>
    <comment ref="BK110" authorId="0" shapeId="0" xr:uid="{00000000-0006-0000-0400-0000AB000000}">
      <text>
        <r>
          <rPr>
            <b/>
            <sz val="9"/>
            <color indexed="81"/>
            <rFont val="Tahoma"/>
            <family val="2"/>
          </rPr>
          <t>Martin:</t>
        </r>
        <r>
          <rPr>
            <sz val="9"/>
            <color indexed="81"/>
            <rFont val="Tahoma"/>
            <family val="2"/>
          </rPr>
          <t xml:space="preserve">
Divested to Nestle for 12bn</t>
        </r>
      </text>
    </comment>
    <comment ref="EK110" authorId="3" shapeId="0" xr:uid="{00000000-0006-0000-0400-0000AC000000}">
      <text>
        <r>
          <rPr>
            <b/>
            <sz val="9"/>
            <color indexed="81"/>
            <rFont val="Tahoma"/>
            <family val="2"/>
          </rPr>
          <t>MSMB - Andre:</t>
        </r>
        <r>
          <rPr>
            <sz val="9"/>
            <color indexed="81"/>
            <rFont val="Tahoma"/>
            <family val="2"/>
          </rPr>
          <t xml:space="preserve">
1723 FY?</t>
        </r>
      </text>
    </comment>
    <comment ref="EN110" authorId="0" shapeId="0" xr:uid="{00000000-0006-0000-0400-0000AD000000}">
      <text>
        <r>
          <rPr>
            <b/>
            <sz val="9"/>
            <color indexed="81"/>
            <rFont val="Tahoma"/>
            <family val="2"/>
          </rPr>
          <t>Martin:</t>
        </r>
        <r>
          <rPr>
            <sz val="9"/>
            <color indexed="81"/>
            <rFont val="Tahoma"/>
            <family val="2"/>
          </rPr>
          <t xml:space="preserve">
Divested to Nestle for 12bn</t>
        </r>
      </text>
    </comment>
    <comment ref="AW112" authorId="6" shapeId="0" xr:uid="{00000000-0006-0000-0400-0000AE000000}">
      <text>
        <r>
          <rPr>
            <b/>
            <sz val="8"/>
            <color indexed="81"/>
            <rFont val="Tahoma"/>
            <family val="2"/>
          </rPr>
          <t>Martin Shkreli:</t>
        </r>
        <r>
          <rPr>
            <sz val="8"/>
            <color indexed="81"/>
            <rFont val="Tahoma"/>
            <family val="2"/>
          </rPr>
          <t xml:space="preserve">
186m reversal from last several quarters</t>
        </r>
      </text>
    </comment>
    <comment ref="AQ113" authorId="1" shapeId="0" xr:uid="{00000000-0006-0000-0400-0000AF000000}">
      <text>
        <r>
          <rPr>
            <b/>
            <sz val="9"/>
            <color indexed="81"/>
            <rFont val="Tahoma"/>
            <family val="2"/>
          </rPr>
          <t>MSMB:</t>
        </r>
        <r>
          <rPr>
            <sz val="9"/>
            <color indexed="81"/>
            <rFont val="Tahoma"/>
            <family val="2"/>
          </rPr>
          <t xml:space="preserve">
5369 WYE</t>
        </r>
      </text>
    </comment>
    <comment ref="AR113" authorId="1" shapeId="0" xr:uid="{00000000-0006-0000-0400-0000B0000000}">
      <text>
        <r>
          <rPr>
            <b/>
            <sz val="9"/>
            <color indexed="81"/>
            <rFont val="Tahoma"/>
            <family val="2"/>
          </rPr>
          <t>MSMB:</t>
        </r>
        <r>
          <rPr>
            <sz val="9"/>
            <color indexed="81"/>
            <rFont val="Tahoma"/>
            <family val="2"/>
          </rPr>
          <t xml:space="preserve">
5648 WYE</t>
        </r>
      </text>
    </comment>
    <comment ref="AS113" authorId="6" shapeId="0" xr:uid="{00000000-0006-0000-0400-0000B1000000}">
      <text>
        <r>
          <rPr>
            <b/>
            <sz val="8"/>
            <color indexed="81"/>
            <rFont val="Tahoma"/>
            <family val="2"/>
          </rPr>
          <t>Martin Shkreli:</t>
        </r>
        <r>
          <rPr>
            <sz val="8"/>
            <color indexed="81"/>
            <rFont val="Tahoma"/>
            <family val="2"/>
          </rPr>
          <t xml:space="preserve">
12012 bear
5620 WYE</t>
        </r>
      </text>
    </comment>
    <comment ref="AT113" authorId="6" shapeId="0" xr:uid="{00000000-0006-0000-0400-0000B2000000}">
      <text>
        <r>
          <rPr>
            <b/>
            <sz val="8"/>
            <color indexed="81"/>
            <rFont val="Tahoma"/>
            <family val="2"/>
          </rPr>
          <t>Martin Shkreli:</t>
        </r>
        <r>
          <rPr>
            <sz val="8"/>
            <color indexed="81"/>
            <rFont val="Tahoma"/>
            <family val="2"/>
          </rPr>
          <t xml:space="preserve">
12492 bear, 5% fx bene.
5763 WYE</t>
        </r>
      </text>
    </comment>
    <comment ref="AU113" authorId="7" shapeId="0" xr:uid="{00000000-0006-0000-0400-0000B3000000}">
      <text>
        <r>
          <rPr>
            <b/>
            <sz val="8"/>
            <color indexed="81"/>
            <rFont val="Tahoma"/>
            <family val="2"/>
          </rPr>
          <t>Bloomberg:</t>
        </r>
        <r>
          <rPr>
            <sz val="8"/>
            <color indexed="81"/>
            <rFont val="Tahoma"/>
            <family val="2"/>
          </rPr>
          <t xml:space="preserve">
may decline y/y
5710 WYE</t>
        </r>
      </text>
    </comment>
    <comment ref="AV113" authorId="1" shapeId="0" xr:uid="{00000000-0006-0000-0400-0000B4000000}">
      <text>
        <r>
          <rPr>
            <b/>
            <sz val="9"/>
            <color indexed="81"/>
            <rFont val="Tahoma"/>
            <family val="2"/>
          </rPr>
          <t>MSMB:</t>
        </r>
        <r>
          <rPr>
            <sz val="9"/>
            <color indexed="81"/>
            <rFont val="Tahoma"/>
            <family val="2"/>
          </rPr>
          <t xml:space="preserve">
5945 WYE period</t>
        </r>
      </text>
    </comment>
    <comment ref="AW113" authorId="6" shapeId="0" xr:uid="{00000000-0006-0000-0400-0000B5000000}">
      <text>
        <r>
          <rPr>
            <b/>
            <sz val="8"/>
            <color indexed="81"/>
            <rFont val="Tahoma"/>
            <family val="2"/>
          </rPr>
          <t>Martin Shkreli:</t>
        </r>
        <r>
          <rPr>
            <sz val="8"/>
            <color indexed="81"/>
            <rFont val="Tahoma"/>
            <family val="2"/>
          </rPr>
          <t xml:space="preserve">
620m FX improvement
5830 WYE revenue</t>
        </r>
      </text>
    </comment>
    <comment ref="AX113" authorId="1" shapeId="0" xr:uid="{00000000-0006-0000-0400-0000B6000000}">
      <text>
        <r>
          <rPr>
            <b/>
            <sz val="9"/>
            <color indexed="81"/>
            <rFont val="Tahoma"/>
            <family val="2"/>
          </rPr>
          <t>MSMB:</t>
        </r>
        <r>
          <rPr>
            <sz val="9"/>
            <color indexed="81"/>
            <rFont val="Tahoma"/>
            <family val="2"/>
          </rPr>
          <t xml:space="preserve">
5349 WYE</t>
        </r>
      </text>
    </comment>
    <comment ref="AY113" authorId="1" shapeId="0" xr:uid="{00000000-0006-0000-0400-0000B7000000}">
      <text>
        <r>
          <rPr>
            <b/>
            <sz val="9"/>
            <color indexed="81"/>
            <rFont val="Tahoma"/>
            <family val="2"/>
          </rPr>
          <t>MSMB:</t>
        </r>
        <r>
          <rPr>
            <sz val="9"/>
            <color indexed="81"/>
            <rFont val="Tahoma"/>
            <family val="2"/>
          </rPr>
          <t xml:space="preserve">
5377 WYE</t>
        </r>
      </text>
    </comment>
    <comment ref="AZ113" authorId="6" shapeId="0" xr:uid="{00000000-0006-0000-0400-0000B8000000}">
      <text>
        <r>
          <rPr>
            <b/>
            <sz val="8"/>
            <color indexed="81"/>
            <rFont val="Tahoma"/>
            <family val="2"/>
          </rPr>
          <t>Martin Shkreli:</t>
        </r>
        <r>
          <rPr>
            <sz val="8"/>
            <color indexed="81"/>
            <rFont val="Tahoma"/>
            <family val="2"/>
          </rPr>
          <t xml:space="preserve">
9% negative FX impact
5695 WYE period</t>
        </r>
      </text>
    </comment>
    <comment ref="BA113" authorId="1" shapeId="0" xr:uid="{00000000-0006-0000-0400-0000B9000000}">
      <text>
        <r>
          <rPr>
            <b/>
            <sz val="9"/>
            <color indexed="81"/>
            <rFont val="Tahoma"/>
            <family val="2"/>
          </rPr>
          <t>MSMB:</t>
        </r>
        <r>
          <rPr>
            <sz val="9"/>
            <color indexed="81"/>
            <rFont val="Tahoma"/>
            <family val="2"/>
          </rPr>
          <t xml:space="preserve">
Wyeth same-period revenue of 5695</t>
        </r>
      </text>
    </comment>
    <comment ref="BB113" authorId="0" shapeId="0" xr:uid="{00000000-0006-0000-0400-0000BA000000}">
      <text>
        <r>
          <rPr>
            <b/>
            <sz val="9"/>
            <color indexed="81"/>
            <rFont val="Tahoma"/>
            <family val="2"/>
          </rPr>
          <t>Martin:</t>
        </r>
        <r>
          <rPr>
            <sz val="9"/>
            <color indexed="81"/>
            <rFont val="Tahoma"/>
            <family val="2"/>
          </rPr>
          <t xml:space="preserve">
16537 actual
15829 B of A</t>
        </r>
      </text>
    </comment>
    <comment ref="BC113" authorId="1" shapeId="0" xr:uid="{00000000-0006-0000-0400-0000BB000000}">
      <text>
        <r>
          <rPr>
            <b/>
            <sz val="9"/>
            <color indexed="81"/>
            <rFont val="Tahoma"/>
            <family val="2"/>
          </rPr>
          <t>MSMB:</t>
        </r>
        <r>
          <rPr>
            <sz val="9"/>
            <color indexed="81"/>
            <rFont val="Tahoma"/>
            <family val="2"/>
          </rPr>
          <t xml:space="preserve">
Reform impact of 56m</t>
        </r>
      </text>
    </comment>
    <comment ref="BD113" authorId="1" shapeId="0" xr:uid="{00000000-0006-0000-0400-0000BC000000}">
      <text>
        <r>
          <rPr>
            <b/>
            <sz val="9"/>
            <color indexed="81"/>
            <rFont val="Tahoma"/>
            <family val="2"/>
          </rPr>
          <t>MSMB:</t>
        </r>
        <r>
          <rPr>
            <sz val="9"/>
            <color indexed="81"/>
            <rFont val="Tahoma"/>
            <family val="2"/>
          </rPr>
          <t xml:space="preserve">
revenue benefitted from 308m reversal - hurt the prior quarter by that much as well</t>
        </r>
      </text>
    </comment>
    <comment ref="BF113" authorId="0" shapeId="0" xr:uid="{00000000-0006-0000-0400-0000BD000000}">
      <text>
        <r>
          <rPr>
            <b/>
            <sz val="9"/>
            <color indexed="81"/>
            <rFont val="Tahoma"/>
            <family val="2"/>
          </rPr>
          <t>Martin:</t>
        </r>
        <r>
          <rPr>
            <sz val="9"/>
            <color indexed="81"/>
            <rFont val="Tahoma"/>
            <family val="2"/>
          </rPr>
          <t xml:space="preserve">
17561 actual</t>
        </r>
      </text>
    </comment>
    <comment ref="BO113" authorId="0" shapeId="0" xr:uid="{00000000-0006-0000-0400-0000BE000000}">
      <text>
        <r>
          <rPr>
            <b/>
            <sz val="9"/>
            <color indexed="81"/>
            <rFont val="Tahoma"/>
            <family val="2"/>
          </rPr>
          <t>Martin:</t>
        </r>
        <r>
          <rPr>
            <sz val="9"/>
            <color indexed="81"/>
            <rFont val="Tahoma"/>
            <family val="2"/>
          </rPr>
          <t xml:space="preserve">
13500 Actual</t>
        </r>
      </text>
    </comment>
    <comment ref="BP113" authorId="0" shapeId="0" xr:uid="{00000000-0006-0000-0400-0000BF000000}">
      <text>
        <r>
          <rPr>
            <b/>
            <sz val="9"/>
            <color indexed="81"/>
            <rFont val="Tahoma"/>
            <family val="2"/>
          </rPr>
          <t>Martin:</t>
        </r>
        <r>
          <rPr>
            <sz val="9"/>
            <color indexed="81"/>
            <rFont val="Tahoma"/>
            <family val="2"/>
          </rPr>
          <t xml:space="preserve">
12973 actual</t>
        </r>
      </text>
    </comment>
    <comment ref="BQ113" authorId="0" shapeId="0" xr:uid="{00000000-0006-0000-0400-0000C0000000}">
      <text>
        <r>
          <rPr>
            <b/>
            <sz val="9"/>
            <color indexed="81"/>
            <rFont val="Tahoma"/>
            <family val="2"/>
          </rPr>
          <t>Martin:</t>
        </r>
        <r>
          <rPr>
            <sz val="9"/>
            <color indexed="81"/>
            <rFont val="Tahoma"/>
            <family val="2"/>
          </rPr>
          <t xml:space="preserve">
GAAP 12643
Non-GAAP 12576</t>
        </r>
      </text>
    </comment>
    <comment ref="BR113" authorId="0" shapeId="0" xr:uid="{00000000-0006-0000-0400-0000C1000000}">
      <text>
        <r>
          <rPr>
            <b/>
            <sz val="9"/>
            <color indexed="81"/>
            <rFont val="Tahoma"/>
            <family val="2"/>
          </rPr>
          <t>Martin:</t>
        </r>
        <r>
          <rPr>
            <sz val="9"/>
            <color indexed="81"/>
            <rFont val="Tahoma"/>
            <family val="2"/>
          </rPr>
          <t xml:space="preserve">
GAAP 13558
Non-GAAP 13493</t>
        </r>
      </text>
    </comment>
    <comment ref="CL113" authorId="13" shapeId="0" xr:uid="{625364AC-DBD4-4C9B-A808-FD7855062013}">
      <text>
        <t>[Threaded comment]
Your version of Excel allows you to read this threaded comment; however, any edits to it will get removed if the file is opened in a newer version of Excel. Learn more: https://go.microsoft.com/fwlink/?linkid=870924
Comment:
    13976m reported in Q419</t>
      </text>
    </comment>
    <comment ref="CM113" authorId="14" shapeId="0" xr:uid="{381C40E4-2BA2-4890-8F4C-5FB1390BA157}">
      <text>
        <t>[Threaded comment]
Your version of Excel allows you to read this threaded comment; however, any edits to it will get removed if the file is opened in a newer version of Excel. Learn more: https://go.microsoft.com/fwlink/?linkid=870924
Comment:
    13118 reported in Q120</t>
      </text>
    </comment>
    <comment ref="CN113" authorId="15" shapeId="0" xr:uid="{D95F06EC-887E-48F9-A281-9FF35471D707}">
      <text>
        <t>[Threaded comment]
Your version of Excel allows you to read this threaded comment; however, any edits to it will get removed if the file is opened in a newer version of Excel. Learn more: https://go.microsoft.com/fwlink/?linkid=870924
Comment:
    13624m reported in Q220</t>
      </text>
    </comment>
    <comment ref="CP113" authorId="16" shapeId="0" xr:uid="{3B9681AC-1CA5-48AA-AE92-0C898D9A6BBD}">
      <text>
        <t>[Threaded comment]
Your version of Excel allows you to read this threaded comment; however, any edits to it will get removed if the file is opened in a newer version of Excel. Learn more: https://go.microsoft.com/fwlink/?linkid=870924
Comment:
    12688 reported Q419</t>
      </text>
    </comment>
    <comment ref="CQ113" authorId="17" shapeId="0" xr:uid="{0A40F869-B59E-4E7D-9978-4ACEFA94CC99}">
      <text>
        <t>[Threaded comment]
Your version of Excel allows you to read this threaded comment; however, any edits to it will get removed if the file is opened in a newer version of Excel. Learn more: https://go.microsoft.com/fwlink/?linkid=870924
Comment:
    12028 reported in Q120</t>
      </text>
    </comment>
    <comment ref="CT113" authorId="18" shapeId="0" xr:uid="{2E73EF3E-B155-4CB0-B1B8-64827B17AE45}">
      <text>
        <t>[Threaded comment]
Your version of Excel allows you to read this threaded comment; however, any edits to it will get removed if the file is opened in a newer version of Excel. Learn more: https://go.microsoft.com/fwlink/?linkid=870924
Comment:
    11634 actual</t>
      </text>
    </comment>
    <comment ref="CU113" authorId="19" shapeId="0" xr:uid="{5B977ABB-05DC-46E5-A0DD-1422ADEB185D}">
      <text>
        <t>[Threaded comment]
Your version of Excel allows you to read this threaded comment; however, any edits to it will get removed if the file is opened in a newer version of Excel. Learn more: https://go.microsoft.com/fwlink/?linkid=870924
Comment:
    14,516m actual</t>
      </text>
    </comment>
    <comment ref="CV113" authorId="20" shapeId="0" xr:uid="{04F6E407-DF3F-4005-BE84-D6EDBFAFD027}">
      <text>
        <t>[Threaded comment]
Your version of Excel allows you to read this threaded comment; however, any edits to it will get removed if the file is opened in a newer version of Excel. Learn more: https://go.microsoft.com/fwlink/?linkid=870924
Comment:
    18,899 actual</t>
      </text>
    </comment>
    <comment ref="CW113" authorId="21" shapeId="0" xr:uid="{5FB45385-89C7-4BE5-ADD1-E22B80F29A50}">
      <text>
        <t>[Threaded comment]
Your version of Excel allows you to read this threaded comment; however, any edits to it will get removed if the file is opened in a newer version of Excel. Learn more: https://go.microsoft.com/fwlink/?linkid=870924
Comment:
    24035 reported</t>
      </text>
    </comment>
    <comment ref="CX113" authorId="22" shapeId="0" xr:uid="{9EF3741A-AD26-4402-9213-20DBFB37A1FD}">
      <text>
        <t>[Threaded comment]
Your version of Excel allows you to read this threaded comment; however, any edits to it will get removed if the file is opened in a newer version of Excel. Learn more: https://go.microsoft.com/fwlink/?linkid=870924
Comment:
    23838 actual</t>
      </text>
    </comment>
    <comment ref="CY113" authorId="6" shapeId="0" xr:uid="{DB3F395E-B211-4899-9C88-191EDE29F220}">
      <text>
        <r>
          <rPr>
            <b/>
            <sz val="9"/>
            <color indexed="81"/>
            <rFont val="Tahoma"/>
            <family val="2"/>
          </rPr>
          <t>Martin Shkreli:</t>
        </r>
        <r>
          <rPr>
            <sz val="9"/>
            <color indexed="81"/>
            <rFont val="Tahoma"/>
            <family val="2"/>
          </rPr>
          <t xml:space="preserve">
25,661m actual</t>
        </r>
      </text>
    </comment>
    <comment ref="CZ113" authorId="23" shapeId="0" xr:uid="{ADD4F94A-0E76-4AB0-909B-364AC463E9C6}">
      <text>
        <t>[Threaded comment]
Your version of Excel allows you to read this threaded comment; however, any edits to it will get removed if the file is opened in a newer version of Excel. Learn more: https://go.microsoft.com/fwlink/?linkid=870924
Comment:
    27742 actual</t>
      </text>
    </comment>
    <comment ref="EC113" authorId="6" shapeId="0" xr:uid="{00000000-0006-0000-0400-0000C2000000}">
      <text>
        <r>
          <rPr>
            <b/>
            <sz val="8"/>
            <color indexed="81"/>
            <rFont val="Tahoma"/>
            <family val="2"/>
          </rPr>
          <t>Martin Shkreli:</t>
        </r>
        <r>
          <rPr>
            <sz val="8"/>
            <color indexed="81"/>
            <rFont val="Tahoma"/>
            <family val="2"/>
          </rPr>
          <t xml:space="preserve">
26593 actual</t>
        </r>
      </text>
    </comment>
    <comment ref="ED113" authorId="6" shapeId="0" xr:uid="{00000000-0006-0000-0400-0000C3000000}">
      <text>
        <r>
          <rPr>
            <b/>
            <sz val="8"/>
            <color indexed="81"/>
            <rFont val="Tahoma"/>
            <family val="2"/>
          </rPr>
          <t>Martin Shkreli:</t>
        </r>
        <r>
          <rPr>
            <sz val="8"/>
            <color indexed="81"/>
            <rFont val="Tahoma"/>
            <family val="2"/>
          </rPr>
          <t xml:space="preserve">
29758 actual</t>
        </r>
      </text>
    </comment>
    <comment ref="EE113" authorId="6" shapeId="0" xr:uid="{00000000-0006-0000-0400-0000C4000000}">
      <text>
        <r>
          <rPr>
            <b/>
            <sz val="8"/>
            <color indexed="81"/>
            <rFont val="Tahoma"/>
            <family val="2"/>
          </rPr>
          <t>Martin Shkreli:</t>
        </r>
        <r>
          <rPr>
            <sz val="8"/>
            <color indexed="81"/>
            <rFont val="Tahoma"/>
            <family val="2"/>
          </rPr>
          <t xml:space="preserve">
41787 actual
44736 incl consumer
 2949 consumer</t>
        </r>
      </text>
    </comment>
    <comment ref="EF113" authorId="6" shapeId="0" xr:uid="{00000000-0006-0000-0400-0000C5000000}">
      <text>
        <r>
          <rPr>
            <b/>
            <sz val="8"/>
            <color indexed="81"/>
            <rFont val="Tahoma"/>
            <family val="2"/>
          </rPr>
          <t>Martin Shkreli:</t>
        </r>
        <r>
          <rPr>
            <sz val="8"/>
            <color indexed="81"/>
            <rFont val="Tahoma"/>
            <family val="2"/>
          </rPr>
          <t xml:space="preserve">
48988 actual</t>
        </r>
      </text>
    </comment>
    <comment ref="EG113" authorId="5" shapeId="0" xr:uid="{00000000-0006-0000-0400-0000C6000000}">
      <text>
        <r>
          <rPr>
            <b/>
            <sz val="8"/>
            <color indexed="81"/>
            <rFont val="Tahoma"/>
            <family val="2"/>
          </rPr>
          <t>mshkreli:</t>
        </r>
        <r>
          <rPr>
            <sz val="8"/>
            <color indexed="81"/>
            <rFont val="Tahoma"/>
            <family val="2"/>
          </rPr>
          <t xml:space="preserve">
47405 actual</t>
        </r>
      </text>
    </comment>
    <comment ref="EH113" authorId="6" shapeId="0" xr:uid="{00000000-0006-0000-0400-0000C7000000}">
      <text>
        <r>
          <rPr>
            <b/>
            <sz val="8"/>
            <color indexed="81"/>
            <rFont val="Tahoma"/>
            <family val="2"/>
          </rPr>
          <t>Martin Shkreli:</t>
        </r>
        <r>
          <rPr>
            <sz val="8"/>
            <color indexed="81"/>
            <rFont val="Tahoma"/>
            <family val="2"/>
          </rPr>
          <t xml:space="preserve">
comparable to 2005
48371 actual
20351 WYE</t>
        </r>
      </text>
    </comment>
    <comment ref="EI113" authorId="6" shapeId="0" xr:uid="{00000000-0006-0000-0400-0000C8000000}">
      <text>
        <r>
          <rPr>
            <b/>
            <sz val="8"/>
            <color indexed="81"/>
            <rFont val="Tahoma"/>
            <family val="2"/>
          </rPr>
          <t>Martin Shkreli:</t>
        </r>
        <r>
          <rPr>
            <sz val="8"/>
            <color indexed="81"/>
            <rFont val="Tahoma"/>
            <family val="2"/>
          </rPr>
          <t xml:space="preserve">
47-48b. 
flat y/y (down from modest growth)
22400 WYE</t>
        </r>
      </text>
    </comment>
    <comment ref="EJ113" authorId="6" shapeId="0" xr:uid="{00000000-0006-0000-0400-0000C9000000}">
      <text>
        <r>
          <rPr>
            <sz val="8"/>
            <color indexed="81"/>
            <rFont val="Tahoma"/>
            <family val="2"/>
          </rPr>
          <t>Q308: raised to 48-49</t>
        </r>
        <r>
          <rPr>
            <b/>
            <sz val="8"/>
            <color indexed="81"/>
            <rFont val="Tahoma"/>
            <family val="2"/>
          </rPr>
          <t xml:space="preserve">
</t>
        </r>
        <r>
          <rPr>
            <sz val="8"/>
            <color indexed="81"/>
            <rFont val="Tahoma"/>
            <family val="2"/>
          </rPr>
          <t>47.0-49.0bn
46.5-48.5bn from
flat y/y (down from modest growth)
22834 WYE</t>
        </r>
      </text>
    </comment>
    <comment ref="EK113" authorId="3" shapeId="0" xr:uid="{00000000-0006-0000-0400-0000CA000000}">
      <text>
        <r>
          <rPr>
            <sz val="9"/>
            <color indexed="81"/>
            <rFont val="Tahoma"/>
            <family val="2"/>
          </rPr>
          <t>50009 final</t>
        </r>
      </text>
    </comment>
    <comment ref="EL113" authorId="1" shapeId="0" xr:uid="{00000000-0006-0000-0400-0000CB000000}">
      <text>
        <r>
          <rPr>
            <b/>
            <sz val="9"/>
            <color indexed="81"/>
            <rFont val="Tahoma"/>
            <family val="2"/>
          </rPr>
          <t>67809 final</t>
        </r>
        <r>
          <rPr>
            <sz val="9"/>
            <color indexed="81"/>
            <rFont val="Tahoma"/>
            <family val="2"/>
          </rPr>
          <t xml:space="preserve">
Q110: 67-69 guidance
Q409: 67-69 guidance</t>
        </r>
      </text>
    </comment>
    <comment ref="EM113" authorId="0" shapeId="0" xr:uid="{00000000-0006-0000-0400-0000CC000000}">
      <text>
        <r>
          <rPr>
            <b/>
            <sz val="9"/>
            <color indexed="81"/>
            <rFont val="Tahoma"/>
            <family val="2"/>
          </rPr>
          <t>Martin:</t>
        </r>
        <r>
          <rPr>
            <sz val="9"/>
            <color indexed="81"/>
            <rFont val="Tahoma"/>
            <family val="2"/>
          </rPr>
          <t xml:space="preserve">
Q111: 65.2-67.2
Q410: 66-68</t>
        </r>
      </text>
    </comment>
    <comment ref="EN113" authorId="0" shapeId="0" xr:uid="{00000000-0006-0000-0400-0000CD000000}">
      <text>
        <r>
          <rPr>
            <sz val="9"/>
            <color indexed="81"/>
            <rFont val="Tahoma"/>
            <family val="2"/>
          </rPr>
          <t xml:space="preserve">Q112: 58.0-60.0 (excl nutrition)
Q411: 60.5-62.5
Q111: 62.2-64.7 (no Capsugel)
Q410: 63.0-65.5 not including BD
Q310: 65.2-67.7
Q110: 65.2-67.7
Q409: New guidance of 66.0-68.5bn
70bn guidance?
</t>
        </r>
      </text>
    </comment>
    <comment ref="EO113" authorId="0" shapeId="0" xr:uid="{00000000-0006-0000-0400-0000CE000000}">
      <text>
        <r>
          <rPr>
            <b/>
            <sz val="9"/>
            <color indexed="81"/>
            <rFont val="Tahoma"/>
            <family val="2"/>
          </rPr>
          <t>Martin:</t>
        </r>
        <r>
          <rPr>
            <sz val="9"/>
            <color indexed="81"/>
            <rFont val="Tahoma"/>
            <family val="2"/>
          </rPr>
          <t xml:space="preserve">
51584 actual</t>
        </r>
      </text>
    </comment>
    <comment ref="EP113" authorId="0" shapeId="0" xr:uid="{00000000-0006-0000-0400-0000CF000000}">
      <text>
        <r>
          <rPr>
            <b/>
            <sz val="9"/>
            <color indexed="81"/>
            <rFont val="Tahoma"/>
            <family val="2"/>
          </rPr>
          <t>Martin:</t>
        </r>
        <r>
          <rPr>
            <sz val="9"/>
            <color indexed="81"/>
            <rFont val="Tahoma"/>
            <family val="2"/>
          </rPr>
          <t xml:space="preserve">
Q413: 49.2-51.2</t>
        </r>
      </text>
    </comment>
    <comment ref="EV113" authorId="6" shapeId="0" xr:uid="{9EE844CB-F20B-40EA-BA2C-38D05DC7B1CF}">
      <text>
        <r>
          <rPr>
            <b/>
            <sz val="9"/>
            <color indexed="81"/>
            <rFont val="Tahoma"/>
            <family val="2"/>
          </rPr>
          <t>Martin Shkreli:</t>
        </r>
        <r>
          <rPr>
            <sz val="9"/>
            <color indexed="81"/>
            <rFont val="Tahoma"/>
            <family val="2"/>
          </rPr>
          <t xml:space="preserve">
41651 actual</t>
        </r>
      </text>
    </comment>
    <comment ref="EW113" authorId="24" shapeId="0" xr:uid="{683B9782-E7EA-4C42-9B71-E1DDCE9C7C9C}">
      <text>
        <t>[Threaded comment]
Your version of Excel allows you to read this threaded comment; however, any edits to it will get removed if the file is opened in a newer version of Excel. Learn more: https://go.microsoft.com/fwlink/?linkid=870924
Comment:
    81288 actual</t>
      </text>
    </comment>
    <comment ref="EX113" authorId="25" shapeId="0" xr:uid="{20FF6B80-522A-44AC-BB2D-CF6072448AA8}">
      <text>
        <t>[Threaded comment]
Your version of Excel allows you to read this threaded comment; however, any edits to it will get removed if the file is opened in a newer version of Excel. Learn more: https://go.microsoft.com/fwlink/?linkid=870924
Comment:
    Q222: reaffirms guidance 98-102B (+2B operationally due to FX)
Q122: reaffirms guidance 98-120B
Q421: initiates 98-102B guidance</t>
      </text>
    </comment>
    <comment ref="EY113" authorId="26" shapeId="0" xr:uid="{AF36EEB3-AD93-43FB-8166-0D23195CDA8B}">
      <text>
        <t>[Threaded comment]
Your version of Excel allows you to read this threaded comment; however, any edits to it will get removed if the file is opened in a newer version of Excel. Learn more: https://go.microsoft.com/fwlink/?linkid=870924
Comment:
    67-71B 2023 guidance given Q422</t>
      </text>
    </comment>
    <comment ref="FF113" authorId="27" shapeId="0" xr:uid="{969812BA-06E1-416F-B0AC-89AE4AAFFFF7}">
      <text>
        <t>[Threaded comment]
Your version of Excel allows you to read this threaded comment; however, any edits to it will get removed if the file is opened in a newer version of Excel. Learn more: https://go.microsoft.com/fwlink/?linkid=870924
Comment:
    84B guidance</t>
      </text>
    </comment>
    <comment ref="AQ114" authorId="6" shapeId="0" xr:uid="{00000000-0006-0000-0400-0000D0000000}">
      <text>
        <r>
          <rPr>
            <b/>
            <sz val="8"/>
            <color indexed="81"/>
            <rFont val="Tahoma"/>
            <family val="2"/>
          </rPr>
          <t>Martin Shkreli:</t>
        </r>
        <r>
          <rPr>
            <sz val="8"/>
            <color indexed="81"/>
            <rFont val="Tahoma"/>
            <family val="2"/>
          </rPr>
          <t xml:space="preserve">
Excludes ATS costs</t>
        </r>
      </text>
    </comment>
    <comment ref="AR114" authorId="6" shapeId="0" xr:uid="{00000000-0006-0000-0400-0000D1000000}">
      <text>
        <r>
          <rPr>
            <b/>
            <sz val="8"/>
            <color indexed="81"/>
            <rFont val="Tahoma"/>
            <family val="2"/>
          </rPr>
          <t>Martin Shkreli:</t>
        </r>
        <r>
          <rPr>
            <sz val="8"/>
            <color indexed="81"/>
            <rFont val="Tahoma"/>
            <family val="2"/>
          </rPr>
          <t xml:space="preserve">
excludes 170m ATS and 45m for 1x</t>
        </r>
      </text>
    </comment>
    <comment ref="Y116" authorId="28" shapeId="0" xr:uid="{00000000-0006-0000-0400-0000D2000000}">
      <text>
        <r>
          <rPr>
            <b/>
            <sz val="8"/>
            <color indexed="81"/>
            <rFont val="Tahoma"/>
            <family val="2"/>
          </rPr>
          <t>Authorized User:</t>
        </r>
        <r>
          <rPr>
            <sz val="8"/>
            <color indexed="81"/>
            <rFont val="Tahoma"/>
            <family val="2"/>
          </rPr>
          <t xml:space="preserve">
less $10 mm litigation charge</t>
        </r>
      </text>
    </comment>
    <comment ref="AR116" authorId="6" shapeId="0" xr:uid="{00000000-0006-0000-0400-0000D3000000}">
      <text>
        <r>
          <rPr>
            <b/>
            <sz val="8"/>
            <color indexed="81"/>
            <rFont val="Tahoma"/>
            <family val="2"/>
          </rPr>
          <t>Martin Shkreli:</t>
        </r>
        <r>
          <rPr>
            <sz val="8"/>
            <color indexed="81"/>
            <rFont val="Tahoma"/>
            <family val="2"/>
          </rPr>
          <t xml:space="preserve">
excludes 79m ATS</t>
        </r>
      </text>
    </comment>
    <comment ref="BB116" authorId="0" shapeId="0" xr:uid="{00000000-0006-0000-0400-0000D4000000}">
      <text>
        <r>
          <rPr>
            <b/>
            <sz val="9"/>
            <color indexed="81"/>
            <rFont val="Tahoma"/>
            <family val="2"/>
          </rPr>
          <t>Martin:</t>
        </r>
        <r>
          <rPr>
            <sz val="9"/>
            <color indexed="81"/>
            <rFont val="Tahoma"/>
            <family val="2"/>
          </rPr>
          <t xml:space="preserve">
4527 B of A</t>
        </r>
      </text>
    </comment>
    <comment ref="EI116" authorId="6" shapeId="0" xr:uid="{00000000-0006-0000-0400-0000D5000000}">
      <text>
        <r>
          <rPr>
            <b/>
            <sz val="8"/>
            <color indexed="81"/>
            <rFont val="Tahoma"/>
            <family val="2"/>
          </rPr>
          <t>Martin Shkreli:</t>
        </r>
        <r>
          <rPr>
            <sz val="8"/>
            <color indexed="81"/>
            <rFont val="Tahoma"/>
            <family val="2"/>
          </rPr>
          <t xml:space="preserve">
15.2bn guidance</t>
        </r>
      </text>
    </comment>
    <comment ref="EJ116" authorId="6" shapeId="0" xr:uid="{00000000-0006-0000-0400-0000D6000000}">
      <text>
        <r>
          <rPr>
            <b/>
            <sz val="8"/>
            <color indexed="81"/>
            <rFont val="Tahoma"/>
            <family val="2"/>
          </rPr>
          <t>Martin Shkreli:</t>
        </r>
        <r>
          <rPr>
            <sz val="8"/>
            <color indexed="81"/>
            <rFont val="Tahoma"/>
            <family val="2"/>
          </rPr>
          <t xml:space="preserve">
1.5-2.0bn reduction in OpEx vs LY</t>
        </r>
      </text>
    </comment>
    <comment ref="EL116" authorId="1" shapeId="0" xr:uid="{00000000-0006-0000-0400-0000D7000000}">
      <text>
        <r>
          <rPr>
            <b/>
            <sz val="9"/>
            <color indexed="81"/>
            <rFont val="Tahoma"/>
            <family val="2"/>
          </rPr>
          <t>MSMB:</t>
        </r>
        <r>
          <rPr>
            <sz val="9"/>
            <color indexed="81"/>
            <rFont val="Tahoma"/>
            <family val="2"/>
          </rPr>
          <t xml:space="preserve">
Q110 guidance: 19-20bn
Q409 guidance: 19-20bn</t>
        </r>
      </text>
    </comment>
    <comment ref="EM116" authorId="0" shapeId="0" xr:uid="{00000000-0006-0000-0400-0000D8000000}">
      <text>
        <r>
          <rPr>
            <b/>
            <sz val="9"/>
            <color indexed="81"/>
            <rFont val="Tahoma"/>
            <family val="2"/>
          </rPr>
          <t>Martin:</t>
        </r>
        <r>
          <rPr>
            <sz val="9"/>
            <color indexed="81"/>
            <rFont val="Tahoma"/>
            <family val="2"/>
          </rPr>
          <t xml:space="preserve">
Q410: 19.2-20.2</t>
        </r>
      </text>
    </comment>
    <comment ref="EN116" authorId="0" shapeId="0" xr:uid="{00000000-0006-0000-0400-0000D9000000}">
      <text>
        <r>
          <rPr>
            <sz val="9"/>
            <color indexed="81"/>
            <rFont val="Tahoma"/>
            <family val="2"/>
          </rPr>
          <t>Q112: 16.3-17.3
Q411: 17.0-18.0
Q410: 17.5-18.5</t>
        </r>
      </text>
    </comment>
    <comment ref="EX116" authorId="29" shapeId="0" xr:uid="{822253A5-163B-40A6-9913-D31DD8980881}">
      <text>
        <t>[Threaded comment]
Your version of Excel allows you to read this threaded comment; however, any edits to it will get removed if the file is opened in a newer version of Excel. Learn more: https://go.microsoft.com/fwlink/?linkid=870924
Comment:
    Q222 guidance: 12.2-13.2B
Q122 guidance: 12.5-13.5B
Q421 guidance: 12.5-13.5B</t>
      </text>
    </comment>
    <comment ref="EY116" authorId="30" shapeId="0" xr:uid="{9F40A5AC-9928-48A5-9E23-B4A80250E7FF}">
      <text>
        <t>[Threaded comment]
Your version of Excel allows you to read this threaded comment; however, any edits to it will get removed if the file is opened in a newer version of Excel. Learn more: https://go.microsoft.com/fwlink/?linkid=870924
Comment:
    13.8-14.8 guidance given in Q422</t>
      </text>
    </comment>
    <comment ref="AR117" authorId="6" shapeId="0" xr:uid="{00000000-0006-0000-0400-0000DA000000}">
      <text>
        <r>
          <rPr>
            <b/>
            <sz val="8"/>
            <color indexed="81"/>
            <rFont val="Tahoma"/>
            <family val="2"/>
          </rPr>
          <t>Martin Shkreli:</t>
        </r>
        <r>
          <rPr>
            <sz val="8"/>
            <color indexed="81"/>
            <rFont val="Tahoma"/>
            <family val="2"/>
          </rPr>
          <t xml:space="preserve">
will include 250m to bmy, 50m from bmy?
Excludes 131 ATS</t>
        </r>
      </text>
    </comment>
    <comment ref="BB117" authorId="0" shapeId="0" xr:uid="{00000000-0006-0000-0400-0000DB000000}">
      <text>
        <r>
          <rPr>
            <b/>
            <sz val="9"/>
            <color indexed="81"/>
            <rFont val="Tahoma"/>
            <family val="2"/>
          </rPr>
          <t>Martin:</t>
        </r>
        <r>
          <rPr>
            <sz val="9"/>
            <color indexed="81"/>
            <rFont val="Tahoma"/>
            <family val="2"/>
          </rPr>
          <t xml:space="preserve">
2739 B of A</t>
        </r>
      </text>
    </comment>
    <comment ref="CU117" authorId="31" shapeId="0" xr:uid="{46AB17C8-C512-4F83-8DD5-5EAEF0B5D575}">
      <text>
        <t>[Threaded comment]
Your version of Excel allows you to read this threaded comment; however, any edits to it will get removed if the file is opened in a newer version of Excel. Learn more: https://go.microsoft.com/fwlink/?linkid=870924
Comment:
    1994m actual</t>
      </text>
    </comment>
    <comment ref="CY117" authorId="32" shapeId="0" xr:uid="{93230A79-7458-4246-8AC9-E1155292A69B}">
      <text>
        <t>[Threaded comment]
Your version of Excel allows you to read this threaded comment; however, any edits to it will get removed if the file is opened in a newer version of Excel. Learn more: https://go.microsoft.com/fwlink/?linkid=870924
Comment:
    2301m actual</t>
      </text>
    </comment>
    <comment ref="EI117" authorId="6" shapeId="0" xr:uid="{00000000-0006-0000-0400-0000DC000000}">
      <text>
        <r>
          <rPr>
            <b/>
            <sz val="8"/>
            <color indexed="81"/>
            <rFont val="Tahoma"/>
            <family val="2"/>
          </rPr>
          <t>Martin Shkreli:</t>
        </r>
        <r>
          <rPr>
            <sz val="8"/>
            <color indexed="81"/>
            <rFont val="Tahoma"/>
            <family val="2"/>
          </rPr>
          <t xml:space="preserve">
7.5bn</t>
        </r>
      </text>
    </comment>
    <comment ref="EL117" authorId="1" shapeId="0" xr:uid="{00000000-0006-0000-0400-0000DD000000}">
      <text>
        <r>
          <rPr>
            <b/>
            <sz val="9"/>
            <color indexed="81"/>
            <rFont val="Tahoma"/>
            <family val="2"/>
          </rPr>
          <t>MSMB:</t>
        </r>
        <r>
          <rPr>
            <sz val="9"/>
            <color indexed="81"/>
            <rFont val="Tahoma"/>
            <family val="2"/>
          </rPr>
          <t xml:space="preserve">
Q110 guidance: 9.1-9.6
Q409 guidance: 9.1-9.6</t>
        </r>
      </text>
    </comment>
    <comment ref="EM117" authorId="0" shapeId="0" xr:uid="{00000000-0006-0000-0400-0000DE000000}">
      <text>
        <r>
          <rPr>
            <b/>
            <sz val="9"/>
            <color indexed="81"/>
            <rFont val="Tahoma"/>
            <family val="2"/>
          </rPr>
          <t>Martin:</t>
        </r>
        <r>
          <rPr>
            <sz val="9"/>
            <color indexed="81"/>
            <rFont val="Tahoma"/>
            <family val="2"/>
          </rPr>
          <t xml:space="preserve">
Q410: 8.0-8.5</t>
        </r>
      </text>
    </comment>
    <comment ref="EN117" authorId="1" shapeId="0" xr:uid="{00000000-0006-0000-0400-0000DF000000}">
      <text>
        <r>
          <rPr>
            <sz val="9"/>
            <color indexed="81"/>
            <rFont val="Tahoma"/>
            <family val="2"/>
          </rPr>
          <t>Q112: 6.5-7.0
Q410: 6.5-7.0
Q110: 8.0-8.5 guidance
Q409: 8.0-8.5</t>
        </r>
      </text>
    </comment>
    <comment ref="EX117" authorId="33" shapeId="0" xr:uid="{38FB92C4-0C09-430D-BE45-40E02FCCBC59}">
      <text>
        <t>[Threaded comment]
Your version of Excel allows you to read this threaded comment; however, any edits to it will get removed if the file is opened in a newer version of Excel. Learn more: https://go.microsoft.com/fwlink/?linkid=870924
Comment:
    Q2 guidance: 11.5-12.0B
Q1 guidance: 11.0-12.0B from 10.5-11.5B
Q421 guidance: 10.5-11.5B for 2022</t>
      </text>
    </comment>
    <comment ref="EY117" authorId="34" shapeId="0" xr:uid="{7018CE06-4564-4CAD-88ED-A0333810FE65}">
      <text>
        <t>[Threaded comment]
Your version of Excel allows you to read this threaded comment; however, any edits to it will get removed if the file is opened in a newer version of Excel. Learn more: https://go.microsoft.com/fwlink/?linkid=870924
Comment:
    12.4-13.4B guidance given in Q422</t>
      </text>
    </comment>
    <comment ref="CW118" authorId="35" shapeId="0" xr:uid="{67784DD6-0C5D-42FA-B372-2E2835E5D2EE}">
      <text>
        <t>[Threaded comment]
Your version of Excel allows you to read this threaded comment; however, any edits to it will get removed if the file is opened in a newer version of Excel. Learn more: https://go.microsoft.com/fwlink/?linkid=870924
Comment:
    10172 adjNI</t>
      </text>
    </comment>
    <comment ref="CU119" authorId="36" shapeId="0" xr:uid="{4CCFFF11-76ED-4A92-B203-F80F8F84CD8F}">
      <text>
        <t>[Threaded comment]
Your version of Excel allows you to read this threaded comment; however, any edits to it will get removed if the file is opened in a newer version of Excel. Learn more: https://go.microsoft.com/fwlink/?linkid=870924
Comment:
    336m net interest expense
176m royalty income
62m consumer JV income</t>
      </text>
    </comment>
    <comment ref="CV119" authorId="37" shapeId="0" xr:uid="{4B315500-6997-4A05-A1D1-EDD2C3592B09}">
      <text>
        <t>[Threaded comment]
Your version of Excel allows you to read this threaded comment; however, any edits to it will get removed if the file is opened in a newer version of Excel. Learn more: https://go.microsoft.com/fwlink/?linkid=870924
Comment:
    GAAP: +1343
Interest: -303
Royalty +212
Consumer +140
Co NG suggestion: +576m</t>
      </text>
    </comment>
    <comment ref="CY119" authorId="6" shapeId="0" xr:uid="{C4CF598E-79DD-4728-BA4E-3818608C8517}">
      <text>
        <r>
          <rPr>
            <b/>
            <sz val="9"/>
            <color indexed="81"/>
            <rFont val="Tahoma"/>
            <family val="2"/>
          </rPr>
          <t>Martin Shkreli:</t>
        </r>
        <r>
          <rPr>
            <sz val="9"/>
            <color indexed="81"/>
            <rFont val="Tahoma"/>
            <family val="2"/>
          </rPr>
          <t xml:space="preserve">
308 net int expense
173 royalty income
184m consumer JV income</t>
        </r>
      </text>
    </comment>
    <comment ref="CZ119" authorId="6" shapeId="0" xr:uid="{734A156D-5FBE-499D-B3CF-A07B3A225EF9}">
      <text>
        <r>
          <rPr>
            <b/>
            <sz val="9"/>
            <color indexed="81"/>
            <rFont val="Tahoma"/>
            <family val="2"/>
          </rPr>
          <t>Martin Shkreli:</t>
        </r>
        <r>
          <rPr>
            <sz val="9"/>
            <color indexed="81"/>
            <rFont val="Tahoma"/>
            <family val="2"/>
          </rPr>
          <t xml:space="preserve">
IntExpense: -263
Royalties: +217
</t>
        </r>
        <r>
          <rPr>
            <b/>
            <sz val="9"/>
            <color indexed="81"/>
            <rFont val="Tahoma"/>
            <family val="2"/>
          </rPr>
          <t>Net: -46</t>
        </r>
        <r>
          <rPr>
            <sz val="9"/>
            <color indexed="81"/>
            <rFont val="Tahoma"/>
            <family val="2"/>
          </rPr>
          <t xml:space="preserve">
GAAP -772
Equity Securities: +541
(NG addback +539)
Pension: +295
(NG addback +490)
Income from sales/licenses: +5
Legal: -19
</t>
        </r>
        <r>
          <rPr>
            <b/>
            <sz val="9"/>
            <color indexed="81"/>
            <rFont val="Tahoma"/>
            <family val="2"/>
          </rPr>
          <t>Consumer: +149</t>
        </r>
        <r>
          <rPr>
            <sz val="9"/>
            <color indexed="81"/>
            <rFont val="Tahoma"/>
            <family val="2"/>
          </rPr>
          <t xml:space="preserve">
Other: -26
PFE NG suggestion: +377</t>
        </r>
      </text>
    </comment>
    <comment ref="EX119" authorId="38" shapeId="0" xr:uid="{4720E812-008D-402E-B4B6-D6BD80C8F06D}">
      <text>
        <t>[Threaded comment]
Your version of Excel allows you to read this threaded comment; however, any edits to it will get removed if the file is opened in a newer version of Excel. Learn more: https://go.microsoft.com/fwlink/?linkid=870924
Comment:
    Q222 guidance: 1.9B</t>
      </text>
    </comment>
    <comment ref="AR121" authorId="6" shapeId="0" xr:uid="{00000000-0006-0000-0400-0000E0000000}">
      <text>
        <r>
          <rPr>
            <b/>
            <sz val="8"/>
            <color indexed="81"/>
            <rFont val="Tahoma"/>
            <family val="2"/>
          </rPr>
          <t>Martin Shkreli:</t>
        </r>
        <r>
          <rPr>
            <sz val="8"/>
            <color indexed="81"/>
            <rFont val="Tahoma"/>
            <family val="2"/>
          </rPr>
          <t xml:space="preserve">
excludes 63m POSITIVE effect</t>
        </r>
      </text>
    </comment>
    <comment ref="EY123" authorId="39" shapeId="0" xr:uid="{C71154CD-B193-48F5-98B8-CBB12861830C}">
      <text>
        <t>[Threaded comment]
Your version of Excel allows you to read this threaded comment; however, any edits to it will get removed if the file is opened in a newer version of Excel. Learn more: https://go.microsoft.com/fwlink/?linkid=870924
Comment:
    15% tax rate</t>
      </text>
    </comment>
    <comment ref="AR124" authorId="1" shapeId="0" xr:uid="{00000000-0006-0000-0400-0000E1000000}">
      <text>
        <r>
          <rPr>
            <b/>
            <sz val="9"/>
            <color indexed="81"/>
            <rFont val="Tahoma"/>
            <family val="2"/>
          </rPr>
          <t>MSMB:</t>
        </r>
        <r>
          <rPr>
            <sz val="9"/>
            <color indexed="81"/>
            <rFont val="Tahoma"/>
            <family val="2"/>
          </rPr>
          <t xml:space="preserve">
2944 adjusted NI</t>
        </r>
      </text>
    </comment>
    <comment ref="CL124" authorId="40" shapeId="0" xr:uid="{C8AA044E-FA5E-4CC5-8D6A-64602A7EBFF5}">
      <text>
        <t>[Threaded comment]
Your version of Excel allows you to read this threaded comment; however, any edits to it will get removed if the file is opened in a newer version of Excel. Learn more: https://go.microsoft.com/fwlink/?linkid=870924
Comment:
    3760m adj NI reported Q419</t>
      </text>
    </comment>
    <comment ref="CM124" authorId="41" shapeId="0" xr:uid="{02C69F6A-87D0-4343-A820-E516E23F0AA9}">
      <text>
        <t>[Threaded comment]
Your version of Excel allows you to read this threaded comment; however, any edits to it will get removed if the file is opened in a newer version of Excel. Learn more: https://go.microsoft.com/fwlink/?linkid=870924
Comment:
    4891 adj NI reported in Q120</t>
      </text>
    </comment>
    <comment ref="CP124" authorId="42" shapeId="0" xr:uid="{6BC32560-7662-4B3C-8E98-0AA8576B4B3D}">
      <text>
        <t>[Threaded comment]
Your version of Excel allows you to read this threaded comment; however, any edits to it will get removed if the file is opened in a newer version of Excel. Learn more: https://go.microsoft.com/fwlink/?linkid=870924
Comment:
    3108 adj NI</t>
      </text>
    </comment>
    <comment ref="CQ124" authorId="43" shapeId="0" xr:uid="{8E0BD8B7-C3CF-4B39-90AB-693BF63011AF}">
      <text>
        <t>[Threaded comment]
Your version of Excel allows you to read this threaded comment; however, any edits to it will get removed if the file is opened in a newer version of Excel. Learn more: https://go.microsoft.com/fwlink/?linkid=870924
Comment:
    4514 adj NI</t>
      </text>
    </comment>
    <comment ref="CT124" authorId="44" shapeId="0" xr:uid="{6B079B41-3EE7-4D38-B0F0-E4FA7F0A7D53}">
      <text>
        <t>[Threaded comment]
Your version of Excel allows you to read this threaded comment; however, any edits to it will get removed if the file is opened in a newer version of Excel. Learn more: https://go.microsoft.com/fwlink/?linkid=870924
Comment:
    2434 actual adj NI</t>
      </text>
    </comment>
    <comment ref="CU124" authorId="45" shapeId="0" xr:uid="{2FB486A7-B6E4-40F0-A4B2-CC7F5B3BC176}">
      <text>
        <t>[Threaded comment]
Your version of Excel allows you to read this threaded comment; however, any edits to it will get removed if the file is opened in a newer version of Excel. Learn more: https://go.microsoft.com/fwlink/?linkid=870924
Comment:
    Adj NI 5351</t>
      </text>
    </comment>
    <comment ref="CV124" authorId="46" shapeId="0" xr:uid="{02FB5D7C-5EC6-47C8-9D46-15A2174DAF41}">
      <text>
        <t>[Threaded comment]
Your version of Excel allows you to read this threaded comment; however, any edits to it will get removed if the file is opened in a newer version of Excel. Learn more: https://go.microsoft.com/fwlink/?linkid=870924
Comment:
    6023 adj NI</t>
      </text>
    </comment>
    <comment ref="CW124" authorId="47" shapeId="0" xr:uid="{500ED52D-07B6-4964-A0B2-D1384FE70B9D}">
      <text>
        <t>[Threaded comment]
Your version of Excel allows you to read this threaded comment; however, any edits to it will get removed if the file is opened in a newer version of Excel. Learn more: https://go.microsoft.com/fwlink/?linkid=870924
Comment:
    adjNI 7279</t>
      </text>
    </comment>
    <comment ref="CX124" authorId="48" shapeId="0" xr:uid="{9DFCE4AC-161F-43AA-A5AB-C8983ABAFBA3}">
      <text>
        <t>[Threaded comment]
Your version of Excel allows you to read this threaded comment; however, any edits to it will get removed if the file is opened in a newer version of Excel. Learn more: https://go.microsoft.com/fwlink/?linkid=870924
Comment:
    6239 actual adj NI</t>
      </text>
    </comment>
    <comment ref="CY124" authorId="49" shapeId="0" xr:uid="{6DFAC4C1-483E-4590-8089-9E06BB38D01F}">
      <text>
        <t>[Threaded comment]
Your version of Excel allows you to read this threaded comment; however, any edits to it will get removed if the file is opened in a newer version of Excel. Learn more: https://go.microsoft.com/fwlink/?linkid=870924
Comment:
    Adj NI 9338</t>
      </text>
    </comment>
    <comment ref="CZ124" authorId="50" shapeId="0" xr:uid="{5A7E375B-6B0C-465E-8DCE-F0D8D2D9FB85}">
      <text>
        <t>[Threaded comment]
Your version of Excel allows you to read this threaded comment; however, any edits to it will get removed if the file is opened in a newer version of Excel. Learn more: https://go.microsoft.com/fwlink/?linkid=870924
Comment:
    11656 adj NI</t>
      </text>
    </comment>
    <comment ref="DA124" authorId="51" shapeId="0" xr:uid="{7E12C946-D1C8-4A58-9389-97116F73151B}">
      <text>
        <t>[Threaded comment]
Your version of Excel allows you to read this threaded comment; however, any edits to it will get removed if the file is opened in a newer version of Excel. Learn more: https://go.microsoft.com/fwlink/?linkid=870924
Comment:
    10172 adj NI</t>
      </text>
    </comment>
    <comment ref="DB124" authorId="52" shapeId="0" xr:uid="{736AD51E-31A5-45A4-9277-9389BB8FD1C6}">
      <text>
        <t>[Threaded comment]
Your version of Excel allows you to read this threaded comment; however, any edits to it will get removed if the file is opened in a newer version of Excel. Learn more: https://go.microsoft.com/fwlink/?linkid=870924
Comment:
    6551 adj NI</t>
      </text>
    </comment>
    <comment ref="EK124" authorId="0" shapeId="0" xr:uid="{00000000-0006-0000-0400-0000E2000000}">
      <text>
        <r>
          <rPr>
            <b/>
            <sz val="9"/>
            <color indexed="81"/>
            <rFont val="Tahoma"/>
            <family val="2"/>
          </rPr>
          <t>Martin:</t>
        </r>
        <r>
          <rPr>
            <sz val="9"/>
            <color indexed="81"/>
            <rFont val="Tahoma"/>
            <family val="2"/>
          </rPr>
          <t xml:space="preserve">
14202 final</t>
        </r>
      </text>
    </comment>
    <comment ref="EL124" authorId="0" shapeId="0" xr:uid="{00000000-0006-0000-0400-0000E3000000}">
      <text>
        <r>
          <rPr>
            <b/>
            <sz val="9"/>
            <color indexed="81"/>
            <rFont val="Tahoma"/>
            <family val="2"/>
          </rPr>
          <t>Martin:</t>
        </r>
        <r>
          <rPr>
            <sz val="9"/>
            <color indexed="81"/>
            <rFont val="Tahoma"/>
            <family val="2"/>
          </rPr>
          <t xml:space="preserve">
17983 final</t>
        </r>
      </text>
    </comment>
    <comment ref="EN124" authorId="0" shapeId="0" xr:uid="{00000000-0006-0000-0400-0000E4000000}">
      <text>
        <r>
          <rPr>
            <b/>
            <sz val="9"/>
            <color indexed="81"/>
            <rFont val="Tahoma"/>
            <family val="2"/>
          </rPr>
          <t>Martin:</t>
        </r>
        <r>
          <rPr>
            <sz val="9"/>
            <color indexed="81"/>
            <rFont val="Tahoma"/>
            <family val="2"/>
          </rPr>
          <t xml:space="preserve">
Q112: 19bn CF</t>
        </r>
      </text>
    </comment>
    <comment ref="EV124" authorId="53" shapeId="0" xr:uid="{F1A75182-2AD9-4C39-A2E8-2FB6BD2B738D}">
      <text>
        <t>[Threaded comment]
Your version of Excel allows you to read this threaded comment; however, any edits to it will get removed if the file is opened in a newer version of Excel. Learn more: https://go.microsoft.com/fwlink/?linkid=870924
Comment:
    12727 actual adj NI</t>
      </text>
    </comment>
    <comment ref="EW124" authorId="54" shapeId="0" xr:uid="{1A06BA9C-FB50-4468-A663-D7931EBDA294}">
      <text>
        <t>[Threaded comment]
Your version of Excel allows you to read this threaded comment; however, any edits to it will get removed if the file is opened in a newer version of Excel. Learn more: https://go.microsoft.com/fwlink/?linkid=870924
Comment:
    25236 actual adj NI</t>
      </text>
    </comment>
    <comment ref="BB125" authorId="0" shapeId="0" xr:uid="{00000000-0006-0000-0400-0000E5000000}">
      <text>
        <r>
          <rPr>
            <b/>
            <sz val="9"/>
            <color indexed="81"/>
            <rFont val="Tahoma"/>
            <family val="2"/>
          </rPr>
          <t>Martin:</t>
        </r>
        <r>
          <rPr>
            <sz val="9"/>
            <color indexed="81"/>
            <rFont val="Tahoma"/>
            <family val="2"/>
          </rPr>
          <t xml:space="preserve">
0.49 final</t>
        </r>
      </text>
    </comment>
    <comment ref="BF125" authorId="0" shapeId="0" xr:uid="{00000000-0006-0000-0400-0000E6000000}">
      <text>
        <r>
          <rPr>
            <b/>
            <sz val="9"/>
            <color indexed="81"/>
            <rFont val="Tahoma"/>
            <family val="2"/>
          </rPr>
          <t>Martin:</t>
        </r>
        <r>
          <rPr>
            <sz val="9"/>
            <color indexed="81"/>
            <rFont val="Tahoma"/>
            <family val="2"/>
          </rPr>
          <t xml:space="preserve">
.47 final</t>
        </r>
      </text>
    </comment>
    <comment ref="CT125" authorId="55" shapeId="0" xr:uid="{2F9D2393-8AEA-4796-A6DA-5AFFCA0EF366}">
      <text>
        <t>[Threaded comment]
Your version of Excel allows you to read this threaded comment; however, any edits to it will get removed if the file is opened in a newer version of Excel. Learn more: https://go.microsoft.com/fwlink/?linkid=870924
Comment:
    0.43 actual adj EPS</t>
      </text>
    </comment>
    <comment ref="CU125" authorId="6" shapeId="0" xr:uid="{4F3F2BC3-E30D-4D47-A849-8A5CEFE1BB39}">
      <text>
        <r>
          <rPr>
            <b/>
            <sz val="9"/>
            <color indexed="81"/>
            <rFont val="Tahoma"/>
            <family val="2"/>
          </rPr>
          <t>Martin Shkreli:</t>
        </r>
        <r>
          <rPr>
            <sz val="9"/>
            <color indexed="81"/>
            <rFont val="Tahoma"/>
            <family val="2"/>
          </rPr>
          <t xml:space="preserve">
adj EPS 0.95</t>
        </r>
      </text>
    </comment>
    <comment ref="CV125" authorId="56" shapeId="0" xr:uid="{658EE746-4F28-4C60-B8C3-3A30A6E66FA3}">
      <text>
        <t>[Threaded comment]
Your version of Excel allows you to read this threaded comment; however, any edits to it will get removed if the file is opened in a newer version of Excel. Learn more: https://go.microsoft.com/fwlink/?linkid=870924
Comment:
    1.06 adj EPS</t>
      </text>
    </comment>
    <comment ref="CX125" authorId="57" shapeId="0" xr:uid="{8F79B299-B54A-4806-8985-467AD571F338}">
      <text>
        <t>[Threaded comment]
Your version of Excel allows you to read this threaded comment; however, any edits to it will get removed if the file is opened in a newer version of Excel. Learn more: https://go.microsoft.com/fwlink/?linkid=870924
Comment:
    1.08 adj EPS</t>
      </text>
    </comment>
    <comment ref="CY125" authorId="58" shapeId="0" xr:uid="{B24CBC24-6DCB-4417-9096-2FB81F15C1A3}">
      <text>
        <t>[Threaded comment]
Your version of Excel allows you to read this threaded comment; however, any edits to it will get removed if the file is opened in a newer version of Excel. Learn more: https://go.microsoft.com/fwlink/?linkid=870924
Comment:
    Adj EPS 1.62</t>
      </text>
    </comment>
    <comment ref="CZ125" authorId="59" shapeId="0" xr:uid="{7CB0AF66-05C0-4684-A6E1-72A5FC4846D9}">
      <text>
        <t>[Threaded comment]
Your version of Excel allows you to read this threaded comment; however, any edits to it will get removed if the file is opened in a newer version of Excel. Learn more: https://go.microsoft.com/fwlink/?linkid=870924
Comment:
    Adj EPS 2.04</t>
      </text>
    </comment>
    <comment ref="EH125" authorId="1" shapeId="0" xr:uid="{00000000-0006-0000-0400-0000E7000000}">
      <text>
        <r>
          <rPr>
            <b/>
            <sz val="9"/>
            <color indexed="81"/>
            <rFont val="Tahoma"/>
            <family val="2"/>
          </rPr>
          <t>MSMB:</t>
        </r>
        <r>
          <rPr>
            <sz val="9"/>
            <color indexed="81"/>
            <rFont val="Tahoma"/>
            <family val="2"/>
          </rPr>
          <t xml:space="preserve">
2.00 guidance?</t>
        </r>
      </text>
    </comment>
    <comment ref="EI125" authorId="6" shapeId="0" xr:uid="{00000000-0006-0000-0400-0000E8000000}">
      <text>
        <r>
          <rPr>
            <b/>
            <sz val="8"/>
            <color indexed="81"/>
            <rFont val="Tahoma"/>
            <family val="2"/>
          </rPr>
          <t>Martin Shkreli:</t>
        </r>
        <r>
          <rPr>
            <sz val="8"/>
            <color indexed="81"/>
            <rFont val="Tahoma"/>
            <family val="2"/>
          </rPr>
          <t xml:space="preserve">
2.08-2.15 guidance</t>
        </r>
      </text>
    </comment>
    <comment ref="EJ125" authorId="6" shapeId="0" xr:uid="{00000000-0006-0000-0400-0000E9000000}">
      <text>
        <r>
          <rPr>
            <b/>
            <sz val="8"/>
            <color indexed="81"/>
            <rFont val="Tahoma"/>
            <family val="2"/>
          </rPr>
          <t>Martin Shkreli:</t>
        </r>
        <r>
          <rPr>
            <sz val="8"/>
            <color indexed="81"/>
            <rFont val="Tahoma"/>
            <family val="2"/>
          </rPr>
          <t xml:space="preserve">
Q308: 2.36-2.41
2.31-2.45</t>
        </r>
      </text>
    </comment>
    <comment ref="EK125" authorId="0" shapeId="0" xr:uid="{00000000-0006-0000-0400-0000EA000000}">
      <text>
        <r>
          <rPr>
            <b/>
            <sz val="9"/>
            <color indexed="81"/>
            <rFont val="Tahoma"/>
            <family val="2"/>
          </rPr>
          <t>Martin:</t>
        </r>
        <r>
          <rPr>
            <sz val="9"/>
            <color indexed="81"/>
            <rFont val="Tahoma"/>
            <family val="2"/>
          </rPr>
          <t xml:space="preserve">
2.02 final</t>
        </r>
      </text>
    </comment>
    <comment ref="EL125" authorId="0" shapeId="0" xr:uid="{00000000-0006-0000-0400-0000EB000000}">
      <text>
        <r>
          <rPr>
            <b/>
            <sz val="9"/>
            <color indexed="81"/>
            <rFont val="Tahoma"/>
            <family val="2"/>
          </rPr>
          <t>2.23 final</t>
        </r>
        <r>
          <rPr>
            <sz val="9"/>
            <color indexed="81"/>
            <rFont val="Tahoma"/>
            <family val="2"/>
          </rPr>
          <t xml:space="preserve">
Q210: higher end of prior guidance
Q110: 2.10-2.20
Q409: 2.10-2.20</t>
        </r>
      </text>
    </comment>
    <comment ref="EM125" authorId="0" shapeId="0" xr:uid="{00000000-0006-0000-0400-0000EC000000}">
      <text>
        <r>
          <rPr>
            <sz val="9"/>
            <color indexed="81"/>
            <rFont val="Tahoma"/>
            <family val="2"/>
          </rPr>
          <t>Q111: 2.16-2.26
Q410: 2.16-2.26</t>
        </r>
      </text>
    </comment>
    <comment ref="EN125" authorId="0" shapeId="0" xr:uid="{00000000-0006-0000-0400-0000ED000000}">
      <text>
        <r>
          <rPr>
            <sz val="9"/>
            <color indexed="81"/>
            <rFont val="Tahoma"/>
            <family val="2"/>
          </rPr>
          <t>Q111: 2.25-2.35
Q410: 2.25-2.35
Q110: 2.25-2.35
Q409: 2.25-2.35</t>
        </r>
      </text>
    </comment>
    <comment ref="EP125" authorId="0" shapeId="0" xr:uid="{00000000-0006-0000-0400-0000EE000000}">
      <text>
        <r>
          <rPr>
            <b/>
            <sz val="9"/>
            <color indexed="81"/>
            <rFont val="Tahoma"/>
            <family val="2"/>
          </rPr>
          <t>Martin:</t>
        </r>
        <r>
          <rPr>
            <sz val="9"/>
            <color indexed="81"/>
            <rFont val="Tahoma"/>
            <family val="2"/>
          </rPr>
          <t xml:space="preserve">
Q413: 2.20-2.30</t>
        </r>
      </text>
    </comment>
    <comment ref="EV125" authorId="60" shapeId="0" xr:uid="{B148E439-FDE1-4124-8004-0292797A56CD}">
      <text>
        <t>[Threaded comment]
Your version of Excel allows you to read this threaded comment; however, any edits to it will get removed if the file is opened in a newer version of Excel. Learn more: https://go.microsoft.com/fwlink/?linkid=870924
Comment:
    Actual adj 2.26 EPS</t>
      </text>
    </comment>
    <comment ref="EW125" authorId="61" shapeId="0" xr:uid="{05DE658F-B4BD-4BDE-A3A5-1A693980BEA7}">
      <text>
        <t>[Threaded comment]
Your version of Excel allows you to read this threaded comment; however, any edits to it will get removed if the file is opened in a newer version of Excel. Learn more: https://go.microsoft.com/fwlink/?linkid=870924
Comment:
    Q222: adjusted to 4.06
FY21 reported adj EPS 4.42</t>
      </text>
    </comment>
    <comment ref="EX125" authorId="62" shapeId="0" xr:uid="{D39B9572-0A26-460A-B42B-E9D8BFEDA417}">
      <text>
        <t>[Threaded comment]
Your version of Excel allows you to read this threaded comment; however, any edits to it will get removed if the file is opened in a newer version of Excel. Learn more: https://go.microsoft.com/fwlink/?linkid=870924
Comment:
    Q222: raised EPS guidance to 6.30-6.45 (+0.24 operationally) from 6.25-6.45
Q122: 6.25-6.45 reflecting 0.11 IPR&amp;D from 6.35-6.55
Q421: 6.35-6.55 for 2022</t>
      </text>
    </comment>
    <comment ref="AQ126" authorId="6" shapeId="0" xr:uid="{00000000-0006-0000-0400-0000EF000000}">
      <text>
        <r>
          <rPr>
            <b/>
            <sz val="8"/>
            <color indexed="81"/>
            <rFont val="Tahoma"/>
            <family val="2"/>
          </rPr>
          <t>Martin Shkreli:</t>
        </r>
        <r>
          <rPr>
            <sz val="8"/>
            <color indexed="81"/>
            <rFont val="Tahoma"/>
            <family val="2"/>
          </rPr>
          <t xml:space="preserve">
7086 SO as of 2/20/07: 10-K</t>
        </r>
      </text>
    </comment>
    <comment ref="EI126" authorId="6" shapeId="0" xr:uid="{00000000-0006-0000-0400-0000F0000000}">
      <text>
        <r>
          <rPr>
            <b/>
            <sz val="8"/>
            <color indexed="81"/>
            <rFont val="Tahoma"/>
            <family val="2"/>
          </rPr>
          <t>Martin Shkreli:</t>
        </r>
        <r>
          <rPr>
            <sz val="8"/>
            <color indexed="81"/>
            <rFont val="Tahoma"/>
            <family val="2"/>
          </rPr>
          <t xml:space="preserve">
10B buyback</t>
        </r>
      </text>
    </comment>
    <comment ref="EX126" authorId="63" shapeId="0" xr:uid="{55A6C5B1-AEE7-4F4D-9994-CF51133E5C48}">
      <text>
        <t>[Threaded comment]
Your version of Excel allows you to read this threaded comment; however, any edits to it will get removed if the file is opened in a newer version of Excel. Learn more: https://go.microsoft.com/fwlink/?linkid=870924
Comment:
    Q222: 5750m guidance
Q122: 5750m guidance</t>
      </text>
    </comment>
    <comment ref="AR128" authorId="6" shapeId="0" xr:uid="{00000000-0006-0000-0400-0000F1000000}">
      <text>
        <r>
          <rPr>
            <b/>
            <sz val="8"/>
            <color indexed="81"/>
            <rFont val="Tahoma"/>
            <family val="2"/>
          </rPr>
          <t>Martin Shkreli:</t>
        </r>
        <r>
          <rPr>
            <sz val="8"/>
            <color indexed="81"/>
            <rFont val="Tahoma"/>
            <family val="2"/>
          </rPr>
          <t xml:space="preserve">
Product mix, FX, geographic mix hurt GM%.</t>
        </r>
      </text>
    </comment>
    <comment ref="BF128" authorId="0" shapeId="0" xr:uid="{00000000-0006-0000-0400-0000F2000000}">
      <text>
        <r>
          <rPr>
            <b/>
            <sz val="9"/>
            <color indexed="81"/>
            <rFont val="Tahoma"/>
            <family val="2"/>
          </rPr>
          <t>Martin:</t>
        </r>
        <r>
          <rPr>
            <sz val="9"/>
            <color indexed="81"/>
            <rFont val="Tahoma"/>
            <family val="2"/>
          </rPr>
          <t xml:space="preserve">
80bps FX impact</t>
        </r>
      </text>
    </comment>
    <comment ref="EI128" authorId="6" shapeId="0" xr:uid="{00000000-0006-0000-0400-0000F3000000}">
      <text>
        <r>
          <rPr>
            <b/>
            <sz val="8"/>
            <color indexed="81"/>
            <rFont val="Tahoma"/>
            <family val="2"/>
          </rPr>
          <t>Martin Shkreli:</t>
        </r>
        <r>
          <rPr>
            <sz val="8"/>
            <color indexed="81"/>
            <rFont val="Tahoma"/>
            <family val="2"/>
          </rPr>
          <t xml:space="preserve">
85% guidance. Continue to expect 85%.</t>
        </r>
      </text>
    </comment>
    <comment ref="EL128" authorId="1" shapeId="0" xr:uid="{00000000-0006-0000-0400-0000F4000000}">
      <text>
        <r>
          <rPr>
            <b/>
            <sz val="9"/>
            <color indexed="81"/>
            <rFont val="Tahoma"/>
            <family val="2"/>
          </rPr>
          <t>MSMB:</t>
        </r>
        <r>
          <rPr>
            <sz val="9"/>
            <color indexed="81"/>
            <rFont val="Tahoma"/>
            <family val="2"/>
          </rPr>
          <t xml:space="preserve">
Q110: 80-81% guidance
Q409: 80-81% guidance</t>
        </r>
      </text>
    </comment>
    <comment ref="EN128" authorId="0" shapeId="0" xr:uid="{00000000-0006-0000-0400-0000F5000000}">
      <text>
        <r>
          <rPr>
            <b/>
            <sz val="9"/>
            <color indexed="81"/>
            <rFont val="Tahoma"/>
            <family val="2"/>
          </rPr>
          <t>Martin:</t>
        </r>
        <r>
          <rPr>
            <sz val="9"/>
            <color indexed="81"/>
            <rFont val="Tahoma"/>
            <family val="2"/>
          </rPr>
          <t xml:space="preserve">
Q112: 80% guidance
Q411: 79% guidance</t>
        </r>
      </text>
    </comment>
    <comment ref="EX128" authorId="64" shapeId="0" xr:uid="{7CF40854-9B4F-46C3-A4C7-AF8958B1AEBE}">
      <text>
        <t>[Threaded comment]
Your version of Excel allows you to read this threaded comment; however, any edits to it will get removed if the file is opened in a newer version of Excel. Learn more: https://go.microsoft.com/fwlink/?linkid=870924
Comment:
    Q222 guidance: 66-68%
Q122 guidance: 66-68% from 65.8%-67.8%
Q421: 65.8%-67.8%</t>
      </text>
    </comment>
    <comment ref="EY128" authorId="65" shapeId="0" xr:uid="{AF75AD33-DCB9-440E-A0F0-2EE7BB39C3AF}">
      <text>
        <t>[Threaded comment]
Your version of Excel allows you to read this threaded comment; however, any edits to it will get removed if the file is opened in a newer version of Excel. Learn more: https://go.microsoft.com/fwlink/?linkid=870924
Comment:
    70-72% guidance given Q422</t>
      </text>
    </comment>
    <comment ref="EI132" authorId="6" shapeId="0" xr:uid="{00000000-0006-0000-0400-0000F6000000}">
      <text>
        <r>
          <rPr>
            <b/>
            <sz val="8"/>
            <color indexed="81"/>
            <rFont val="Tahoma"/>
            <family val="2"/>
          </rPr>
          <t>Martin Shkreli:</t>
        </r>
        <r>
          <rPr>
            <sz val="8"/>
            <color indexed="81"/>
            <rFont val="Tahoma"/>
            <family val="2"/>
          </rPr>
          <t xml:space="preserve">
22% guidance</t>
        </r>
      </text>
    </comment>
    <comment ref="EJ132" authorId="6" shapeId="0" xr:uid="{00000000-0006-0000-0400-0000F7000000}">
      <text>
        <r>
          <rPr>
            <b/>
            <sz val="8"/>
            <color indexed="81"/>
            <rFont val="Tahoma"/>
            <family val="2"/>
          </rPr>
          <t>Martin Shkreli:</t>
        </r>
        <r>
          <rPr>
            <sz val="8"/>
            <color indexed="81"/>
            <rFont val="Tahoma"/>
            <family val="2"/>
          </rPr>
          <t xml:space="preserve">
22-22.5%</t>
        </r>
      </text>
    </comment>
    <comment ref="EL132" authorId="1" shapeId="0" xr:uid="{00000000-0006-0000-0400-0000F8000000}">
      <text>
        <r>
          <rPr>
            <b/>
            <sz val="9"/>
            <color indexed="81"/>
            <rFont val="Tahoma"/>
            <family val="2"/>
          </rPr>
          <t>MSMB:</t>
        </r>
        <r>
          <rPr>
            <sz val="9"/>
            <color indexed="81"/>
            <rFont val="Tahoma"/>
            <family val="2"/>
          </rPr>
          <t xml:space="preserve">
Q110: 30%
Q409: 30%</t>
        </r>
      </text>
    </comment>
    <comment ref="EM132" authorId="0" shapeId="0" xr:uid="{00000000-0006-0000-0400-0000F9000000}">
      <text>
        <r>
          <rPr>
            <b/>
            <sz val="9"/>
            <color indexed="81"/>
            <rFont val="Tahoma"/>
            <family val="2"/>
          </rPr>
          <t>Martin:</t>
        </r>
        <r>
          <rPr>
            <sz val="9"/>
            <color indexed="81"/>
            <rFont val="Tahoma"/>
            <family val="2"/>
          </rPr>
          <t xml:space="preserve">
Q410: 29%</t>
        </r>
      </text>
    </comment>
    <comment ref="EN132" authorId="0" shapeId="0" xr:uid="{00000000-0006-0000-0400-0000FA000000}">
      <text>
        <r>
          <rPr>
            <b/>
            <sz val="9"/>
            <color indexed="81"/>
            <rFont val="Tahoma"/>
            <family val="2"/>
          </rPr>
          <t>Martin:</t>
        </r>
        <r>
          <rPr>
            <sz val="9"/>
            <color indexed="81"/>
            <rFont val="Tahoma"/>
            <family val="2"/>
          </rPr>
          <t xml:space="preserve">
Q112: 29%
Q410: 29%
Q310: 30%</t>
        </r>
      </text>
    </comment>
    <comment ref="EX132" authorId="66" shapeId="0" xr:uid="{8F724064-5364-484A-8426-B15ACC4FE5C0}">
      <text>
        <t>[Threaded comment]
Your version of Excel allows you to read this threaded comment; however, any edits to it will get removed if the file is opened in a newer version of Excel. Learn more: https://go.microsoft.com/fwlink/?linkid=870924
Comment:
    16% tax rate adj NI</t>
      </text>
    </comment>
    <comment ref="BA136" authorId="1" shapeId="0" xr:uid="{00000000-0006-0000-0400-0000FB000000}">
      <text>
        <r>
          <rPr>
            <b/>
            <sz val="9"/>
            <color indexed="81"/>
            <rFont val="Tahoma"/>
            <family val="2"/>
          </rPr>
          <t>MSMB:</t>
        </r>
        <r>
          <rPr>
            <sz val="9"/>
            <color indexed="81"/>
            <rFont val="Tahoma"/>
            <family val="2"/>
          </rPr>
          <t xml:space="preserve">
610m unfavorable revenue</t>
        </r>
      </text>
    </comment>
    <comment ref="BB136" authorId="1" shapeId="0" xr:uid="{00000000-0006-0000-0400-0000FC000000}">
      <text>
        <r>
          <rPr>
            <b/>
            <sz val="9"/>
            <color indexed="81"/>
            <rFont val="Tahoma"/>
            <family val="2"/>
          </rPr>
          <t>MSMB:</t>
        </r>
        <r>
          <rPr>
            <sz val="9"/>
            <color indexed="81"/>
            <rFont val="Tahoma"/>
            <family val="2"/>
          </rPr>
          <t xml:space="preserve">
469m favorable revenue</t>
        </r>
      </text>
    </comment>
    <comment ref="BC136" authorId="1" shapeId="0" xr:uid="{00000000-0006-0000-0400-0000FD000000}">
      <text>
        <r>
          <rPr>
            <b/>
            <sz val="9"/>
            <color indexed="81"/>
            <rFont val="Tahoma"/>
            <family val="2"/>
          </rPr>
          <t>MSMB:</t>
        </r>
        <r>
          <rPr>
            <sz val="9"/>
            <color indexed="81"/>
            <rFont val="Tahoma"/>
            <family val="2"/>
          </rPr>
          <t xml:space="preserve">
733m benefit to revenue
450m increase in costs
</t>
        </r>
      </text>
    </comment>
    <comment ref="EK136" authorId="1" shapeId="0" xr:uid="{00000000-0006-0000-0400-0000FE000000}">
      <text>
        <r>
          <rPr>
            <b/>
            <sz val="9"/>
            <color indexed="81"/>
            <rFont val="Tahoma"/>
            <family val="2"/>
          </rPr>
          <t>MSMB:</t>
        </r>
        <r>
          <rPr>
            <sz val="9"/>
            <color indexed="81"/>
            <rFont val="Tahoma"/>
            <family val="2"/>
          </rPr>
          <t xml:space="preserve">
1800m unfavorable</t>
        </r>
      </text>
    </comment>
    <comment ref="BF137" authorId="0" shapeId="0" xr:uid="{00000000-0006-0000-0400-0000FF000000}">
      <text>
        <r>
          <rPr>
            <b/>
            <sz val="9"/>
            <color indexed="81"/>
            <rFont val="Tahoma"/>
            <family val="2"/>
          </rPr>
          <t>Martin:</t>
        </r>
        <r>
          <rPr>
            <sz val="9"/>
            <color indexed="81"/>
            <rFont val="Tahoma"/>
            <family val="2"/>
          </rPr>
          <t xml:space="preserve">
14% positive impact from Wyeth</t>
        </r>
      </text>
    </comment>
    <comment ref="CX138" authorId="6" shapeId="0" xr:uid="{F41B9F18-0548-4B68-9652-1B906713A249}">
      <text>
        <r>
          <rPr>
            <b/>
            <sz val="9"/>
            <color indexed="81"/>
            <rFont val="Tahoma"/>
            <family val="2"/>
          </rPr>
          <t>Martin Shkreli:</t>
        </r>
        <r>
          <rPr>
            <sz val="9"/>
            <color indexed="81"/>
            <rFont val="Tahoma"/>
            <family val="2"/>
          </rPr>
          <t xml:space="preserve">
-2% ex-COVID</t>
        </r>
      </text>
    </comment>
    <comment ref="CY138" authorId="6" shapeId="0" xr:uid="{FC1212FE-47DB-4A94-AC2E-97336D5FE11A}">
      <text>
        <r>
          <rPr>
            <b/>
            <sz val="9"/>
            <color indexed="81"/>
            <rFont val="Tahoma"/>
            <family val="2"/>
          </rPr>
          <t>Martin Shkreli:</t>
        </r>
        <r>
          <rPr>
            <sz val="9"/>
            <color indexed="81"/>
            <rFont val="Tahoma"/>
            <family val="2"/>
          </rPr>
          <t xml:space="preserve">
+2% ex-COVID</t>
        </r>
      </text>
    </comment>
    <comment ref="CZ138" authorId="67" shapeId="0" xr:uid="{C627D00D-EDA3-4474-A055-13323D4F203C}">
      <text>
        <t>[Threaded comment]
Your version of Excel allows you to read this threaded comment; however, any edits to it will get removed if the file is opened in a newer version of Excel. Learn more: https://go.microsoft.com/fwlink/?linkid=870924
Comment:
    +1% excluding COVID</t>
      </text>
    </comment>
    <comment ref="EW138" authorId="68" shapeId="0" xr:uid="{C587F16D-80B0-468A-95C1-4CD8861AEDCB}">
      <text>
        <t>[Threaded comment]
Your version of Excel allows you to read this threaded comment; however, any edits to it will get removed if the file is opened in a newer version of Excel. Learn more: https://go.microsoft.com/fwlink/?linkid=870924
Comment:
    6% excluding COVID</t>
      </text>
    </comment>
    <comment ref="CY187" authorId="69" shapeId="0" xr:uid="{1F116209-3EE9-4C63-87AE-EE843ECBE2D6}">
      <text>
        <t>[Threaded comment]
Your version of Excel allows you to read this threaded comment; however, any edits to it will get removed if the file is opened in a newer version of Excel. Learn more: https://go.microsoft.com/fwlink/?linkid=870924
Comment:
    6.2B for Arena</t>
      </text>
    </comment>
    <comment ref="CZ187" authorId="70" shapeId="0" xr:uid="{121341D8-EA0B-4ABB-AA64-EFD11C1B846D}">
      <text>
        <t>[Threaded comment]
Your version of Excel allows you to read this threaded comment; however, any edits to it will get removed if the file is opened in a newer version of Excel. Learn more: https://go.microsoft.com/fwlink/?linkid=870924
Comment:
    436m for ReViral</t>
      </text>
    </comment>
    <comment ref="AS210" authorId="1" shapeId="0" xr:uid="{00000000-0006-0000-0400-000000010000}">
      <text>
        <r>
          <rPr>
            <b/>
            <sz val="9"/>
            <color indexed="81"/>
            <rFont val="Tahoma"/>
            <family val="2"/>
          </rPr>
          <t>MSMB:</t>
        </r>
        <r>
          <rPr>
            <sz val="9"/>
            <color indexed="81"/>
            <rFont val="Tahoma"/>
            <family val="2"/>
          </rPr>
          <t xml:space="preserve">
11990 GAAP</t>
        </r>
      </text>
    </comment>
    <comment ref="AT210" authorId="1" shapeId="0" xr:uid="{00000000-0006-0000-0400-000001010000}">
      <text>
        <r>
          <rPr>
            <b/>
            <sz val="9"/>
            <color indexed="81"/>
            <rFont val="Tahoma"/>
            <family val="2"/>
          </rPr>
          <t>MSMB:</t>
        </r>
        <r>
          <rPr>
            <sz val="9"/>
            <color indexed="81"/>
            <rFont val="Tahoma"/>
            <family val="2"/>
          </rPr>
          <t xml:space="preserve">
13065 GAAP</t>
        </r>
      </text>
    </comment>
    <comment ref="AU210" authorId="1" shapeId="0" xr:uid="{00000000-0006-0000-0400-000002010000}">
      <text>
        <r>
          <rPr>
            <b/>
            <sz val="9"/>
            <color indexed="81"/>
            <rFont val="Tahoma"/>
            <family val="2"/>
          </rPr>
          <t>MSMB:</t>
        </r>
        <r>
          <rPr>
            <sz val="9"/>
            <color indexed="81"/>
            <rFont val="Tahoma"/>
            <family val="2"/>
          </rPr>
          <t xml:space="preserve">
11848 GAAP</t>
        </r>
      </text>
    </comment>
    <comment ref="AV210" authorId="1" shapeId="0" xr:uid="{00000000-0006-0000-0400-000003010000}">
      <text>
        <r>
          <rPr>
            <b/>
            <sz val="9"/>
            <color indexed="81"/>
            <rFont val="Tahoma"/>
            <family val="2"/>
          </rPr>
          <t>MSMB:</t>
        </r>
        <r>
          <rPr>
            <sz val="9"/>
            <color indexed="81"/>
            <rFont val="Tahoma"/>
            <family val="2"/>
          </rPr>
          <t xml:space="preserve">
12129 GAAP</t>
        </r>
      </text>
    </comment>
    <comment ref="AW210" authorId="1" shapeId="0" xr:uid="{00000000-0006-0000-0400-000004010000}">
      <text>
        <r>
          <rPr>
            <b/>
            <sz val="9"/>
            <color indexed="81"/>
            <rFont val="Tahoma"/>
            <family val="2"/>
          </rPr>
          <t>MSMB:</t>
        </r>
        <r>
          <rPr>
            <sz val="9"/>
            <color indexed="81"/>
            <rFont val="Tahoma"/>
            <family val="2"/>
          </rPr>
          <t xml:space="preserve">
11973 GAAP</t>
        </r>
      </text>
    </comment>
    <comment ref="AX210" authorId="1" shapeId="0" xr:uid="{00000000-0006-0000-0400-000005010000}">
      <text>
        <r>
          <rPr>
            <b/>
            <sz val="9"/>
            <color indexed="81"/>
            <rFont val="Tahoma"/>
            <family val="2"/>
          </rPr>
          <t>MSMB:</t>
        </r>
        <r>
          <rPr>
            <sz val="9"/>
            <color indexed="81"/>
            <rFont val="Tahoma"/>
            <family val="2"/>
          </rPr>
          <t xml:space="preserve">
12346 GAAP</t>
        </r>
      </text>
    </comment>
    <comment ref="AY210" authorId="1" shapeId="0" xr:uid="{00000000-0006-0000-0400-000006010000}">
      <text>
        <r>
          <rPr>
            <b/>
            <sz val="9"/>
            <color indexed="81"/>
            <rFont val="Tahoma"/>
            <family val="2"/>
          </rPr>
          <t>MSMB:</t>
        </r>
        <r>
          <rPr>
            <sz val="9"/>
            <color indexed="81"/>
            <rFont val="Tahoma"/>
            <family val="2"/>
          </rPr>
          <t xml:space="preserve">
10867 GAAP</t>
        </r>
      </text>
    </comment>
    <comment ref="AZ210" authorId="1" shapeId="0" xr:uid="{00000000-0006-0000-0400-000007010000}">
      <text>
        <r>
          <rPr>
            <b/>
            <sz val="9"/>
            <color indexed="81"/>
            <rFont val="Tahoma"/>
            <family val="2"/>
          </rPr>
          <t>MSMB:</t>
        </r>
        <r>
          <rPr>
            <sz val="9"/>
            <color indexed="81"/>
            <rFont val="Tahoma"/>
            <family val="2"/>
          </rPr>
          <t xml:space="preserve">
10984 GAAP</t>
        </r>
      </text>
    </comment>
    <comment ref="BA210" authorId="1" shapeId="0" xr:uid="{00000000-0006-0000-0400-000008010000}">
      <text>
        <r>
          <rPr>
            <b/>
            <sz val="9"/>
            <color indexed="81"/>
            <rFont val="Tahoma"/>
            <family val="2"/>
          </rPr>
          <t>MSMB:</t>
        </r>
        <r>
          <rPr>
            <sz val="9"/>
            <color indexed="81"/>
            <rFont val="Tahoma"/>
            <family val="2"/>
          </rPr>
          <t xml:space="preserve">
11621 GAAP</t>
        </r>
      </text>
    </comment>
    <comment ref="BB210" authorId="1" shapeId="0" xr:uid="{00000000-0006-0000-0400-000009010000}">
      <text>
        <r>
          <rPr>
            <b/>
            <sz val="9"/>
            <color indexed="81"/>
            <rFont val="Tahoma"/>
            <family val="2"/>
          </rPr>
          <t>MSMB:</t>
        </r>
        <r>
          <rPr>
            <sz val="9"/>
            <color indexed="81"/>
            <rFont val="Tahoma"/>
            <family val="2"/>
          </rPr>
          <t xml:space="preserve">
16537 GAAP</t>
        </r>
      </text>
    </comment>
    <comment ref="BF210" authorId="0" shapeId="0" xr:uid="{00000000-0006-0000-0400-00000A010000}">
      <text>
        <r>
          <rPr>
            <b/>
            <sz val="9"/>
            <color indexed="81"/>
            <rFont val="Tahoma"/>
            <family val="2"/>
          </rPr>
          <t>Martin:</t>
        </r>
        <r>
          <rPr>
            <sz val="9"/>
            <color indexed="81"/>
            <rFont val="Tahoma"/>
            <family val="2"/>
          </rPr>
          <t xml:space="preserve">
was 17083</t>
        </r>
      </text>
    </comment>
    <comment ref="EJ210" authorId="1" shapeId="0" xr:uid="{00000000-0006-0000-0400-00000B010000}">
      <text>
        <r>
          <rPr>
            <b/>
            <sz val="9"/>
            <color indexed="81"/>
            <rFont val="Tahoma"/>
            <family val="2"/>
          </rPr>
          <t>MSMB:</t>
        </r>
        <r>
          <rPr>
            <sz val="9"/>
            <color indexed="81"/>
            <rFont val="Tahoma"/>
            <family val="2"/>
          </rPr>
          <t xml:space="preserve">
was 47299</t>
        </r>
      </text>
    </comment>
    <comment ref="EK210" authorId="1" shapeId="0" xr:uid="{00000000-0006-0000-0400-00000C010000}">
      <text>
        <r>
          <rPr>
            <b/>
            <sz val="9"/>
            <color indexed="81"/>
            <rFont val="Tahoma"/>
            <family val="2"/>
          </rPr>
          <t>MSMB:</t>
        </r>
        <r>
          <rPr>
            <sz val="9"/>
            <color indexed="81"/>
            <rFont val="Tahoma"/>
            <family val="2"/>
          </rPr>
          <t xml:space="preserve">
50009 GAAP
was 48829</t>
        </r>
      </text>
    </comment>
    <comment ref="EL210" authorId="1" shapeId="0" xr:uid="{00000000-0006-0000-0400-00000D010000}">
      <text>
        <r>
          <rPr>
            <b/>
            <sz val="9"/>
            <color indexed="81"/>
            <rFont val="Tahoma"/>
            <family val="2"/>
          </rPr>
          <t>MSMB:</t>
        </r>
        <r>
          <rPr>
            <sz val="9"/>
            <color indexed="81"/>
            <rFont val="Tahoma"/>
            <family val="2"/>
          </rPr>
          <t xml:space="preserve">
was 67318
was 50109</t>
        </r>
      </text>
    </comment>
    <comment ref="EM210" authorId="1" shapeId="0" xr:uid="{00000000-0006-0000-0400-00000E010000}">
      <text>
        <r>
          <rPr>
            <b/>
            <sz val="9"/>
            <color indexed="81"/>
            <rFont val="Tahoma"/>
            <family val="2"/>
          </rPr>
          <t>MSMB:</t>
        </r>
        <r>
          <rPr>
            <sz val="9"/>
            <color indexed="81"/>
            <rFont val="Tahoma"/>
            <family val="2"/>
          </rPr>
          <t xml:space="preserve">
was 65859
was 47574</t>
        </r>
      </text>
    </comment>
    <comment ref="EN210" authorId="0" shapeId="0" xr:uid="{00000000-0006-0000-0400-00000F010000}">
      <text>
        <r>
          <rPr>
            <b/>
            <sz val="9"/>
            <color indexed="81"/>
            <rFont val="Tahoma"/>
            <family val="2"/>
          </rPr>
          <t>Martin:</t>
        </r>
        <r>
          <rPr>
            <sz val="9"/>
            <color indexed="81"/>
            <rFont val="Tahoma"/>
            <family val="2"/>
          </rPr>
          <t xml:space="preserve">
was 61460</t>
        </r>
      </text>
    </comment>
    <comment ref="EJ212" authorId="1" shapeId="0" xr:uid="{00000000-0006-0000-0400-000010010000}">
      <text>
        <r>
          <rPr>
            <b/>
            <sz val="9"/>
            <color indexed="81"/>
            <rFont val="Tahoma"/>
            <family val="2"/>
          </rPr>
          <t>MSMB:</t>
        </r>
        <r>
          <rPr>
            <sz val="9"/>
            <color indexed="81"/>
            <rFont val="Tahoma"/>
            <family val="2"/>
          </rPr>
          <t xml:space="preserve">
was 2.34</t>
        </r>
      </text>
    </comment>
    <comment ref="EK212" authorId="1" shapeId="0" xr:uid="{00000000-0006-0000-0400-000011010000}">
      <text>
        <r>
          <rPr>
            <b/>
            <sz val="9"/>
            <color indexed="81"/>
            <rFont val="Tahoma"/>
            <family val="2"/>
          </rPr>
          <t>MSMB:</t>
        </r>
        <r>
          <rPr>
            <sz val="9"/>
            <color indexed="81"/>
            <rFont val="Tahoma"/>
            <family val="2"/>
          </rPr>
          <t xml:space="preserve">
was 2.48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author>
  </authors>
  <commentList>
    <comment ref="AB19" authorId="0" shapeId="0" xr:uid="{00000000-0006-0000-0600-000001000000}">
      <text>
        <r>
          <rPr>
            <b/>
            <sz val="9"/>
            <color indexed="81"/>
            <rFont val="Tahoma"/>
            <family val="2"/>
          </rPr>
          <t>Martin:</t>
        </r>
        <r>
          <rPr>
            <sz val="9"/>
            <color indexed="81"/>
            <rFont val="Tahoma"/>
            <family val="2"/>
          </rPr>
          <t xml:space="preserve">
FDA Approval for Adults</t>
        </r>
      </text>
    </comment>
    <comment ref="Z20" authorId="0" shapeId="0" xr:uid="{00000000-0006-0000-0600-000002000000}">
      <text>
        <r>
          <rPr>
            <b/>
            <sz val="9"/>
            <color indexed="81"/>
            <rFont val="Tahoma"/>
            <family val="2"/>
          </rPr>
          <t>Martin:</t>
        </r>
        <r>
          <rPr>
            <sz val="9"/>
            <color indexed="81"/>
            <rFont val="Tahoma"/>
            <family val="2"/>
          </rPr>
          <t xml:space="preserve">
purchasing order shift</t>
        </r>
      </text>
    </comment>
    <comment ref="AA20" authorId="0" shapeId="0" xr:uid="{00000000-0006-0000-0600-000003000000}">
      <text>
        <r>
          <rPr>
            <b/>
            <sz val="9"/>
            <color indexed="81"/>
            <rFont val="Tahoma"/>
            <family val="2"/>
          </rPr>
          <t>Martin:</t>
        </r>
        <r>
          <rPr>
            <sz val="9"/>
            <color indexed="81"/>
            <rFont val="Tahoma"/>
            <family val="2"/>
          </rPr>
          <t xml:space="preserve">
catch-up limited</t>
        </r>
      </text>
    </comment>
    <comment ref="AB20" authorId="0" shapeId="0" xr:uid="{00000000-0006-0000-0600-000004000000}">
      <text>
        <r>
          <rPr>
            <b/>
            <sz val="9"/>
            <color indexed="81"/>
            <rFont val="Tahoma"/>
            <family val="2"/>
          </rPr>
          <t>Martin:</t>
        </r>
        <r>
          <rPr>
            <sz val="9"/>
            <color indexed="81"/>
            <rFont val="Tahoma"/>
            <family val="2"/>
          </rPr>
          <t xml:space="preserve">
catch-up patients already vaccinated</t>
        </r>
      </text>
    </comment>
    <comment ref="AC20" authorId="0" shapeId="0" xr:uid="{00000000-0006-0000-0600-000005000000}">
      <text>
        <r>
          <rPr>
            <b/>
            <sz val="9"/>
            <color indexed="81"/>
            <rFont val="Tahoma"/>
            <family val="2"/>
          </rPr>
          <t>Martin:</t>
        </r>
        <r>
          <rPr>
            <sz val="9"/>
            <color indexed="81"/>
            <rFont val="Tahoma"/>
            <family val="2"/>
          </rPr>
          <t xml:space="preserve">
pediatric catch-up cohort has already been vaccinated and lower birth cohort</t>
        </r>
      </text>
    </comment>
    <comment ref="AA21" authorId="0" shapeId="0" xr:uid="{00000000-0006-0000-0600-000006000000}">
      <text>
        <r>
          <rPr>
            <b/>
            <sz val="9"/>
            <color indexed="81"/>
            <rFont val="Tahoma"/>
            <family val="2"/>
          </rPr>
          <t>Martin:</t>
        </r>
        <r>
          <rPr>
            <sz val="9"/>
            <color indexed="81"/>
            <rFont val="Tahoma"/>
            <family val="2"/>
          </rPr>
          <t xml:space="preserve">
receives EU approval for adults</t>
        </r>
      </text>
    </comment>
    <comment ref="AC21" authorId="0" shapeId="0" xr:uid="{00000000-0006-0000-0600-000007000000}">
      <text>
        <r>
          <rPr>
            <b/>
            <sz val="9"/>
            <color indexed="81"/>
            <rFont val="Tahoma"/>
            <family val="2"/>
          </rPr>
          <t>Martin:</t>
        </r>
        <r>
          <rPr>
            <sz val="9"/>
            <color indexed="81"/>
            <rFont val="Tahoma"/>
            <family val="2"/>
          </rPr>
          <t xml:space="preserve">
Japan and Australia grew</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7" authorId="0" shapeId="0" xr:uid="{00000000-0006-0000-0800-000001000000}">
      <text>
        <r>
          <rPr>
            <b/>
            <sz val="8"/>
            <color indexed="81"/>
            <rFont val="Tahoma"/>
            <family val="2"/>
          </rPr>
          <t>Andre:</t>
        </r>
        <r>
          <rPr>
            <sz val="8"/>
            <color indexed="81"/>
            <rFont val="Tahoma"/>
            <family val="2"/>
          </rPr>
          <t xml:space="preserve">
ClinicalTrials.gov
9/18/07</t>
        </r>
      </text>
    </comment>
    <comment ref="C21" authorId="0" shapeId="0" xr:uid="{00000000-0006-0000-0800-000002000000}">
      <text>
        <r>
          <rPr>
            <b/>
            <sz val="8"/>
            <color indexed="81"/>
            <rFont val="Tahoma"/>
            <family val="2"/>
          </rPr>
          <t>Andre:</t>
        </r>
        <r>
          <rPr>
            <sz val="8"/>
            <color indexed="81"/>
            <rFont val="Tahoma"/>
            <family val="2"/>
          </rPr>
          <t xml:space="preserve">
ClinicalTrials.gov
9/18/07</t>
        </r>
      </text>
    </comment>
    <comment ref="C26" authorId="0" shapeId="0" xr:uid="{00000000-0006-0000-0800-000003000000}">
      <text>
        <r>
          <rPr>
            <b/>
            <sz val="8"/>
            <color indexed="81"/>
            <rFont val="Tahoma"/>
            <family val="2"/>
          </rPr>
          <t>Andre:</t>
        </r>
        <r>
          <rPr>
            <sz val="8"/>
            <color indexed="81"/>
            <rFont val="Tahoma"/>
            <family val="2"/>
          </rPr>
          <t xml:space="preserve">
ClinicalTrials.gov
9/18/07</t>
        </r>
      </text>
    </comment>
    <comment ref="C32" authorId="0" shapeId="0" xr:uid="{00000000-0006-0000-0800-000004000000}">
      <text>
        <r>
          <rPr>
            <b/>
            <sz val="8"/>
            <color indexed="81"/>
            <rFont val="Tahoma"/>
            <family val="2"/>
          </rPr>
          <t>Andre:</t>
        </r>
        <r>
          <rPr>
            <sz val="8"/>
            <color indexed="81"/>
            <rFont val="Tahoma"/>
            <family val="2"/>
          </rPr>
          <t xml:space="preserve">
ClinicalTrials.gov
9/18/07</t>
        </r>
      </text>
    </comment>
    <comment ref="C34" authorId="0" shapeId="0" xr:uid="{00000000-0006-0000-0800-000005000000}">
      <text>
        <r>
          <rPr>
            <b/>
            <sz val="8"/>
            <color indexed="81"/>
            <rFont val="Tahoma"/>
            <family val="2"/>
          </rPr>
          <t>Andre:</t>
        </r>
        <r>
          <rPr>
            <sz val="8"/>
            <color indexed="81"/>
            <rFont val="Tahoma"/>
            <family val="2"/>
          </rPr>
          <t xml:space="preserve">
should be reporting soon?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Andre</author>
  </authors>
  <commentList>
    <comment ref="C11" authorId="0" shapeId="0" xr:uid="{00000000-0006-0000-0900-000001000000}">
      <text>
        <r>
          <rPr>
            <b/>
            <sz val="8"/>
            <color indexed="81"/>
            <rFont val="Tahoma"/>
            <family val="2"/>
          </rPr>
          <t>Andre:</t>
        </r>
        <r>
          <rPr>
            <sz val="8"/>
            <color indexed="81"/>
            <rFont val="Tahoma"/>
            <family val="2"/>
          </rPr>
          <t xml:space="preserve">
National Center for Health Statistics</t>
        </r>
      </text>
    </comment>
    <comment ref="C13" authorId="0" shapeId="0" xr:uid="{00000000-0006-0000-0900-000002000000}">
      <text>
        <r>
          <rPr>
            <b/>
            <sz val="8"/>
            <color indexed="81"/>
            <rFont val="Tahoma"/>
            <family val="2"/>
          </rPr>
          <t>Andre:</t>
        </r>
        <r>
          <rPr>
            <sz val="8"/>
            <color indexed="81"/>
            <rFont val="Tahoma"/>
            <family val="2"/>
          </rPr>
          <t xml:space="preserve">
WHO statistics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Martin Shkreli</author>
    <author>Andre</author>
  </authors>
  <commentList>
    <comment ref="L3" authorId="0" shapeId="0" xr:uid="{00000000-0006-0000-1300-000001000000}">
      <text>
        <r>
          <rPr>
            <b/>
            <sz val="8"/>
            <color indexed="81"/>
            <rFont val="Tahoma"/>
            <family val="2"/>
          </rPr>
          <t>Martin Shkreli:</t>
        </r>
        <r>
          <rPr>
            <sz val="8"/>
            <color indexed="81"/>
            <rFont val="Tahoma"/>
            <family val="2"/>
          </rPr>
          <t xml:space="preserve">
When did they launch?
Approved 05/06
Initial quarterly report Q3</t>
        </r>
      </text>
    </comment>
    <comment ref="O7" authorId="0" shapeId="0" xr:uid="{00000000-0006-0000-1300-000002000000}">
      <text>
        <r>
          <rPr>
            <b/>
            <sz val="8"/>
            <color indexed="81"/>
            <rFont val="Tahoma"/>
            <family val="2"/>
          </rPr>
          <t>Martin Shkreli:</t>
        </r>
        <r>
          <rPr>
            <sz val="8"/>
            <color indexed="81"/>
            <rFont val="Tahoma"/>
            <family val="2"/>
          </rPr>
          <t xml:space="preserve">
2.5m patients have filled an Rx</t>
        </r>
      </text>
    </comment>
    <comment ref="L13" authorId="1" shapeId="0" xr:uid="{00000000-0006-0000-1300-000003000000}">
      <text>
        <r>
          <rPr>
            <b/>
            <sz val="8"/>
            <color indexed="81"/>
            <rFont val="Tahoma"/>
            <family val="2"/>
          </rPr>
          <t>Andre:</t>
        </r>
        <r>
          <rPr>
            <sz val="8"/>
            <color indexed="81"/>
            <rFont val="Tahoma"/>
            <family val="2"/>
          </rPr>
          <t xml:space="preserve">
appx $120/1mg
appx $360 a treatment (3mg)
recommended 12 week program with potential additional 12 weeks depending on severity of addiction. </t>
        </r>
      </text>
    </comment>
    <comment ref="O13" authorId="0" shapeId="0" xr:uid="{00000000-0006-0000-1300-000004000000}">
      <text>
        <r>
          <rPr>
            <b/>
            <sz val="8"/>
            <color indexed="81"/>
            <rFont val="Tahoma"/>
            <family val="2"/>
          </rPr>
          <t>Martin Shkreli:</t>
        </r>
        <r>
          <rPr>
            <sz val="8"/>
            <color indexed="81"/>
            <rFont val="Tahoma"/>
            <family val="2"/>
          </rPr>
          <t xml:space="preserve">
7% price increase in July</t>
        </r>
      </text>
    </comment>
    <comment ref="P13" authorId="0" shapeId="0" xr:uid="{00000000-0006-0000-1300-000005000000}">
      <text>
        <r>
          <rPr>
            <b/>
            <sz val="8"/>
            <color indexed="81"/>
            <rFont val="Tahoma"/>
            <family val="2"/>
          </rPr>
          <t>Martin Shkreli:</t>
        </r>
        <r>
          <rPr>
            <sz val="8"/>
            <color indexed="81"/>
            <rFont val="Tahoma"/>
            <family val="2"/>
          </rPr>
          <t xml:space="preserve">
7% price increase in July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N2" authorId="0" shapeId="0" xr:uid="{00000000-0006-0000-1600-000001000000}">
      <text>
        <r>
          <rPr>
            <b/>
            <sz val="8"/>
            <color indexed="81"/>
            <rFont val="Tahoma"/>
            <family val="2"/>
          </rPr>
          <t>mshkreli:</t>
        </r>
        <r>
          <rPr>
            <sz val="8"/>
            <color indexed="81"/>
            <rFont val="Tahoma"/>
            <family val="2"/>
          </rPr>
          <t xml:space="preserve">
foreign patents???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mshkreli</author>
  </authors>
  <commentList>
    <comment ref="M2" authorId="0" shapeId="0" xr:uid="{00000000-0006-0000-2000-000001000000}">
      <text>
        <r>
          <rPr>
            <sz val="8"/>
            <color indexed="81"/>
            <rFont val="Tahoma"/>
            <family val="2"/>
          </rPr>
          <t>12/04 TEVA/RBXY agree to launch.
2/05 PFE granted injunction.
PRX/MYL have launched generics however</t>
        </r>
      </text>
    </comment>
  </commentList>
</comments>
</file>

<file path=xl/sharedStrings.xml><?xml version="1.0" encoding="utf-8"?>
<sst xmlns="http://schemas.openxmlformats.org/spreadsheetml/2006/main" count="3657" uniqueCount="1626">
  <si>
    <t>Main</t>
  </si>
  <si>
    <t>Failures</t>
  </si>
  <si>
    <t>Brand Name</t>
  </si>
  <si>
    <t>Generic Name</t>
  </si>
  <si>
    <t>Status</t>
  </si>
  <si>
    <t>Indication</t>
  </si>
  <si>
    <t>Mechanism</t>
  </si>
  <si>
    <t>Phase</t>
  </si>
  <si>
    <t>Results</t>
  </si>
  <si>
    <t>PD-332,334</t>
  </si>
  <si>
    <t>S,S-reboxetine</t>
  </si>
  <si>
    <t>torcetrapib</t>
  </si>
  <si>
    <t>Exubera</t>
  </si>
  <si>
    <t>PEG HGH?</t>
  </si>
  <si>
    <t>CP-607,366</t>
  </si>
  <si>
    <t>PNU-108112</t>
  </si>
  <si>
    <t>PNU-93914</t>
  </si>
  <si>
    <t>VIC-ACNE</t>
  </si>
  <si>
    <t>Fablyn</t>
  </si>
  <si>
    <t>Edotecarin</t>
  </si>
  <si>
    <t>Camptosar</t>
  </si>
  <si>
    <t>CP-751,871</t>
  </si>
  <si>
    <t>PF-514273</t>
  </si>
  <si>
    <t>CE-326597</t>
  </si>
  <si>
    <t>PF-3185043</t>
  </si>
  <si>
    <t>CP-800569</t>
  </si>
  <si>
    <t>PF-3392455</t>
  </si>
  <si>
    <t>PF-277343</t>
  </si>
  <si>
    <t>PF-04548043/KOS-2187</t>
  </si>
  <si>
    <t>CP-424,391 (capromorelin)</t>
  </si>
  <si>
    <t>PF-885706</t>
  </si>
  <si>
    <t>PF-708093</t>
  </si>
  <si>
    <t>PF-4522625</t>
  </si>
  <si>
    <t>PF-572778</t>
  </si>
  <si>
    <t>PF-477736</t>
  </si>
  <si>
    <t>PF-3814735</t>
  </si>
  <si>
    <t>PF-562271</t>
  </si>
  <si>
    <t>CVX-045</t>
  </si>
  <si>
    <t>PF-337210</t>
  </si>
  <si>
    <t>PF-3,732,010</t>
  </si>
  <si>
    <t>PF-04217903</t>
  </si>
  <si>
    <t>UK 396082</t>
  </si>
  <si>
    <t>SNX5422/PF-04929113</t>
  </si>
  <si>
    <t>CP-870893</t>
  </si>
  <si>
    <t>PF-3557156</t>
  </si>
  <si>
    <t>CP-601927</t>
  </si>
  <si>
    <t>PF-3463275</t>
  </si>
  <si>
    <t>PF-2400013</t>
  </si>
  <si>
    <t>CP-903397</t>
  </si>
  <si>
    <t>PF-04447943</t>
  </si>
  <si>
    <t>PF-592379</t>
  </si>
  <si>
    <t>PF-04191834</t>
  </si>
  <si>
    <t>PF-4136309</t>
  </si>
  <si>
    <t>PF-4480682</t>
  </si>
  <si>
    <t>PF-4523655</t>
  </si>
  <si>
    <t>AG-13958</t>
  </si>
  <si>
    <t>CP-675206</t>
  </si>
  <si>
    <t>SU-14813</t>
  </si>
  <si>
    <t>PF-1367338/AG-014699</t>
  </si>
  <si>
    <t>PF-4494700</t>
  </si>
  <si>
    <t>CP-448187 (elzasonan)</t>
  </si>
  <si>
    <t>PD-200,390</t>
  </si>
  <si>
    <t>PD-299,685</t>
  </si>
  <si>
    <t>PF-04360365</t>
  </si>
  <si>
    <t>ponezumab</t>
  </si>
  <si>
    <t>PF-232798</t>
  </si>
  <si>
    <t>UK-369003</t>
  </si>
  <si>
    <t>PF-217830</t>
  </si>
  <si>
    <t>PF-03654746</t>
  </si>
  <si>
    <t>PF-3491390</t>
  </si>
  <si>
    <t>UK-157147</t>
  </si>
  <si>
    <t>PF-275366</t>
  </si>
  <si>
    <t>PH-794428</t>
  </si>
  <si>
    <t>CP-533536</t>
  </si>
  <si>
    <t>PF-610355</t>
  </si>
  <si>
    <t>UK-453061 (lersivirine)</t>
  </si>
  <si>
    <t>Withdrawn/Failed</t>
  </si>
  <si>
    <t>Figitumumab</t>
  </si>
  <si>
    <t>Tanezumab</t>
  </si>
  <si>
    <t>Torcetrapib</t>
  </si>
  <si>
    <t>Rezulin</t>
  </si>
  <si>
    <t>Trovan</t>
  </si>
  <si>
    <t>Bextra - suspended in 2005. Peaked at $1.3bn.</t>
  </si>
  <si>
    <t>SU-6888</t>
  </si>
  <si>
    <t>cdk2/cdk4</t>
  </si>
  <si>
    <t>AG-2037</t>
  </si>
  <si>
    <t>CJ-23,423</t>
  </si>
  <si>
    <t>VIC-5555</t>
  </si>
  <si>
    <t>Thelin</t>
  </si>
  <si>
    <t>SU-14,813</t>
  </si>
  <si>
    <t>PF-00708093 oxazolidinone</t>
  </si>
  <si>
    <t>UK-464,273</t>
  </si>
  <si>
    <t>canertinib/CI-1033</t>
  </si>
  <si>
    <t>CI-1040 (MEK)</t>
  </si>
  <si>
    <t>FGF-14</t>
  </si>
  <si>
    <t>CI-994 (HDAC)</t>
  </si>
  <si>
    <t>Pleiotropin</t>
  </si>
  <si>
    <t>Gemcabene/CI-1027</t>
  </si>
  <si>
    <t>CP-122,721 (Substance P)</t>
  </si>
  <si>
    <t>BAY-74-4113 (DGAT)</t>
  </si>
  <si>
    <t>AG-1859 (Protease Inhibitor for HIV)</t>
  </si>
  <si>
    <t>CP-866,087</t>
  </si>
  <si>
    <t>AMF antibody (autocrine motility factor)</t>
  </si>
  <si>
    <t>Alpha-5-beta integrin</t>
  </si>
  <si>
    <t>PF-190,424 (cardiology)</t>
  </si>
  <si>
    <t>PF-489,781 (HTN)</t>
  </si>
  <si>
    <t>begacestat</t>
  </si>
  <si>
    <t>sulopenem</t>
  </si>
  <si>
    <t>CE-224,535</t>
  </si>
  <si>
    <t>bapineuzumab</t>
  </si>
  <si>
    <t>Aprela (bazedoxifene+estrogen)</t>
  </si>
  <si>
    <t>Menopause</t>
  </si>
  <si>
    <t>Estrogen</t>
  </si>
  <si>
    <t>LGND</t>
  </si>
  <si>
    <t>III</t>
  </si>
  <si>
    <t>PF-00299804 (dacomitinib)</t>
  </si>
  <si>
    <t>NSCLC</t>
  </si>
  <si>
    <t>Pan-HER</t>
  </si>
  <si>
    <t>Tykerb, Herceptin</t>
  </si>
  <si>
    <t>9/30/2008 advanced</t>
  </si>
  <si>
    <t>PF-03882845</t>
  </si>
  <si>
    <t>Diabetic Nephropathy</t>
  </si>
  <si>
    <t>Mineralocorticoid antagonist</t>
  </si>
  <si>
    <t>I</t>
  </si>
  <si>
    <t>PF-05231023</t>
  </si>
  <si>
    <t>Type 2 Diabetes</t>
  </si>
  <si>
    <t>Undisclosed</t>
  </si>
  <si>
    <t>PF-05190457</t>
  </si>
  <si>
    <t>Ghrelin</t>
  </si>
  <si>
    <t>CVX-096 (PF-04856883)</t>
  </si>
  <si>
    <t>GLP1</t>
  </si>
  <si>
    <t>OAP-189 (PF-05212389)</t>
  </si>
  <si>
    <t>Oxyntomodulin</t>
  </si>
  <si>
    <t>Biologic. Previously listed as GLP1?</t>
  </si>
  <si>
    <t>PF-04991532</t>
  </si>
  <si>
    <t>Unknown</t>
  </si>
  <si>
    <t>II</t>
  </si>
  <si>
    <t>PF-868554 (filibuvir)</t>
  </si>
  <si>
    <t>Hepatitis C</t>
  </si>
  <si>
    <t>Polymerase</t>
  </si>
  <si>
    <t>Roche</t>
  </si>
  <si>
    <t>Oral</t>
  </si>
  <si>
    <t>Disclosed 7/31/2007</t>
  </si>
  <si>
    <t>IMA-638 (anrukinzumab)</t>
  </si>
  <si>
    <t>Ulcerative Colitis</t>
  </si>
  <si>
    <t>IL-13 Antibody</t>
  </si>
  <si>
    <t>Discontinued 11/8/13</t>
  </si>
  <si>
    <t>PF-03049423</t>
  </si>
  <si>
    <t>Stroke Recovery</t>
  </si>
  <si>
    <t>PDE5</t>
  </si>
  <si>
    <t>PF-04691502</t>
  </si>
  <si>
    <t>Cancer</t>
  </si>
  <si>
    <t>mTOR/PI3K</t>
  </si>
  <si>
    <t>NVGN, ARIA, NVS</t>
  </si>
  <si>
    <t>PF-04856884/CVX-060</t>
  </si>
  <si>
    <t>Ang2</t>
  </si>
  <si>
    <t>PF-05236806/ACC-001</t>
  </si>
  <si>
    <t>Alzheimer's</t>
  </si>
  <si>
    <t>A-Beta Vaccine</t>
  </si>
  <si>
    <t>PF-04382923</t>
  </si>
  <si>
    <t>AMD</t>
  </si>
  <si>
    <t>PF-04605412</t>
  </si>
  <si>
    <t>Integrin</t>
  </si>
  <si>
    <t>PF-04531083</t>
  </si>
  <si>
    <t>Pain</t>
  </si>
  <si>
    <t>PF-04427429</t>
  </si>
  <si>
    <t>Migraine</t>
  </si>
  <si>
    <t>CGRP Antibody</t>
  </si>
  <si>
    <t>PF-05180999</t>
  </si>
  <si>
    <t>Schizophrenia</t>
  </si>
  <si>
    <t>RN317/PF-05335810</t>
  </si>
  <si>
    <t>Dyslipidemia</t>
  </si>
  <si>
    <t>PF-06305591</t>
  </si>
  <si>
    <t>Gelfilm</t>
  </si>
  <si>
    <t>Covera HS</t>
  </si>
  <si>
    <t>Estring</t>
  </si>
  <si>
    <t>Depo Provera: 285m</t>
  </si>
  <si>
    <t>Inspra: 10m</t>
  </si>
  <si>
    <t>Rescriptor (NNRTI): 80m</t>
  </si>
  <si>
    <t>Glucotrol/XL: 175m, 221m, 257m, 281m, 284m, 298m, 332m 1997-2003</t>
  </si>
  <si>
    <t>Procardia XL: 1,113m, 1,005m, 822m, 699m, 460m, 311m, 220m in 1995-2001 (all Europe)</t>
  </si>
  <si>
    <t>Tikosyn: 35m annually</t>
  </si>
  <si>
    <t>Viracept: 530m, 530m, 436m, 365m, 337m, 258m in 1998-2002</t>
  </si>
  <si>
    <t>Zyrtec: 10m, 146m, 265m, 407m, 541m, 699m, 990m, 1115m, 1338m, 1287m, 1362m, 1569m, 1541m, 125m in 1995-2008</t>
  </si>
  <si>
    <t>Eraxis: not disclosed</t>
  </si>
  <si>
    <t>Ponstel: 70m</t>
  </si>
  <si>
    <t>Feldene: 40m</t>
  </si>
  <si>
    <t>Daypro: 10m</t>
  </si>
  <si>
    <t>Lunelle: 45m</t>
  </si>
  <si>
    <t>Glyset: 50m</t>
  </si>
  <si>
    <t>Healon: 105m, Corvert: 25m, Zinecard: 45m, Covera: 145m, Caverject: 10m, Provera: 60m, Salazopyrin: 65m</t>
  </si>
  <si>
    <t>Unasyn: 370m, Mirapex: 270m, Dostinex: 225m, Fragmin: 320m, Pletil: 135m, Calan: 75m, Spiro: 75m</t>
  </si>
  <si>
    <t>Vantin: 20m, Halcion: 60m, Dilantin: 70m, Vestra: 5m, Minipress: 30m, Lopid: 30m</t>
  </si>
  <si>
    <t>Cefobid: 15m, Cytotec: 10m, Ansaid: 40m, Sermion: 25m, Cerebyx: 20m</t>
  </si>
  <si>
    <t>Nipent: 5m, Somavert: 30m, Estring: 32m, Ogen: 30m, Micronase: 23m, Trelstar: 35m, Adriamycin: 55m, Pharmorubicin: 333m</t>
  </si>
  <si>
    <t>Somavert may be larger.</t>
  </si>
  <si>
    <t>Rapamune</t>
  </si>
  <si>
    <t>Protonix</t>
  </si>
  <si>
    <t>Embeda (morphine/naltrexone)</t>
  </si>
  <si>
    <t>Morphine</t>
  </si>
  <si>
    <t>100%?</t>
  </si>
  <si>
    <t>Vyndaqel (tafamidis)</t>
  </si>
  <si>
    <t>TTR-FAP</t>
  </si>
  <si>
    <t>EU, CRL US 6/18/12</t>
  </si>
  <si>
    <t>ALNY</t>
  </si>
  <si>
    <t>Eraxis (anidulafungin)</t>
  </si>
  <si>
    <t>Candidemia</t>
  </si>
  <si>
    <t>Antifungal</t>
  </si>
  <si>
    <t>fluconazole</t>
  </si>
  <si>
    <t>IV</t>
  </si>
  <si>
    <t>2012-2022</t>
  </si>
  <si>
    <t>Elelyso (taliglucerase)</t>
  </si>
  <si>
    <t>Gaucher's</t>
  </si>
  <si>
    <t>rHP</t>
  </si>
  <si>
    <t>PLX</t>
  </si>
  <si>
    <t>GENZ, SHPGY</t>
  </si>
  <si>
    <t>Biologic</t>
  </si>
  <si>
    <t>Diflucan (fluconazole)</t>
  </si>
  <si>
    <t>Infections</t>
  </si>
  <si>
    <t>Zyvox</t>
  </si>
  <si>
    <t>All</t>
  </si>
  <si>
    <t>Generic?</t>
  </si>
  <si>
    <t>Lipitor. Approved 12/17/1996. Ranbaxy launched 11/11.</t>
  </si>
  <si>
    <t>Camptosar. Approved 6/14/1996.</t>
  </si>
  <si>
    <t>Norvasc.</t>
  </si>
  <si>
    <t>Zoloft.</t>
  </si>
  <si>
    <t>Zithromax.</t>
  </si>
  <si>
    <t>Selzentry (maraviroc)</t>
  </si>
  <si>
    <t>HIV</t>
  </si>
  <si>
    <t>CCR5</t>
  </si>
  <si>
    <t>GSK</t>
  </si>
  <si>
    <t>Isentress, vicriviroc, INCB-9471</t>
  </si>
  <si>
    <t>Irrelevant</t>
  </si>
  <si>
    <t>Aricept (donepezil)</t>
  </si>
  <si>
    <t>Cholinesterase</t>
  </si>
  <si>
    <t>Eisai</t>
  </si>
  <si>
    <t>Exelon</t>
  </si>
  <si>
    <t>Xiapex</t>
  </si>
  <si>
    <t>Dupuytren's Contracture</t>
  </si>
  <si>
    <t>Protein</t>
  </si>
  <si>
    <t>AUXL US</t>
  </si>
  <si>
    <t>Filed</t>
  </si>
  <si>
    <t>Surgery</t>
  </si>
  <si>
    <t>Injected</t>
  </si>
  <si>
    <t>Pfizer gave back?</t>
  </si>
  <si>
    <t>Bosulif (bosutinib)</t>
  </si>
  <si>
    <t>CML</t>
  </si>
  <si>
    <t>ABL/SRC</t>
  </si>
  <si>
    <t>CEO</t>
  </si>
  <si>
    <t>Ian Read</t>
  </si>
  <si>
    <t>Jeff Kindler</t>
  </si>
  <si>
    <t>Hank McKinnell</t>
  </si>
  <si>
    <t>Bill Steere</t>
  </si>
  <si>
    <t>Ed Pratt</t>
  </si>
  <si>
    <t>CFO</t>
  </si>
  <si>
    <t>Frank D'Amelio</t>
  </si>
  <si>
    <t>Established Products</t>
  </si>
  <si>
    <t>Olivier Brandicourt</t>
  </si>
  <si>
    <t>David Simmons</t>
  </si>
  <si>
    <t>Chinese salesforce of 3500 in 177 cities.</t>
  </si>
  <si>
    <t>China sales roughly $1bn in 2009 - GS</t>
  </si>
  <si>
    <t>China healthcare spend is 4.5% of GDP.</t>
  </si>
  <si>
    <t>Norvasc grew 28% y/y in China in 2008 - GS.</t>
  </si>
  <si>
    <t>$165m total expenditures on healthcare in China in 2007, $125 per capita.</t>
  </si>
  <si>
    <t>$5,711 in US, $3k in germany, $2.2k in Japan.</t>
  </si>
  <si>
    <t>$92bn chinese pharmaceutical industry: 28% API, 34% pharma, 9% biotech, 29% traditional.</t>
  </si>
  <si>
    <t>80% of drugs dispensed through hospital pharmacies.</t>
  </si>
  <si>
    <t>Name</t>
  </si>
  <si>
    <t>Maturity Date</t>
  </si>
  <si>
    <t>Issue Date</t>
  </si>
  <si>
    <t>Duration</t>
  </si>
  <si>
    <t>Amount</t>
  </si>
  <si>
    <t>Coupon</t>
  </si>
  <si>
    <t>Price</t>
  </si>
  <si>
    <t>Yield</t>
  </si>
  <si>
    <t>Type</t>
  </si>
  <si>
    <t>Rating</t>
  </si>
  <si>
    <t>High Yield</t>
  </si>
  <si>
    <t>High Date</t>
  </si>
  <si>
    <t>Low Yield</t>
  </si>
  <si>
    <t>Low Date</t>
  </si>
  <si>
    <t>Tsys</t>
  </si>
  <si>
    <t>Spread</t>
  </si>
  <si>
    <t>2037 5.95% Wyeth</t>
  </si>
  <si>
    <t>27 years</t>
  </si>
  <si>
    <t>Guaranteed</t>
  </si>
  <si>
    <t>AA</t>
  </si>
  <si>
    <t>2038 6.5% GBP</t>
  </si>
  <si>
    <t>28 years</t>
  </si>
  <si>
    <t>Senior Unsecured</t>
  </si>
  <si>
    <t>2039 7.2%</t>
  </si>
  <si>
    <t>29 years</t>
  </si>
  <si>
    <t>Class</t>
  </si>
  <si>
    <t>Rights</t>
  </si>
  <si>
    <t>Approved</t>
  </si>
  <si>
    <t>Competition</t>
  </si>
  <si>
    <t>Admin</t>
  </si>
  <si>
    <t>IP</t>
  </si>
  <si>
    <t>Epilepsy, Pain, FMS</t>
  </si>
  <si>
    <t>Shares</t>
  </si>
  <si>
    <t>Q214</t>
  </si>
  <si>
    <t>Enbrel (etanercept)</t>
  </si>
  <si>
    <t>Rheumatoid Arthritis</t>
  </si>
  <si>
    <t>Anti-TNF</t>
  </si>
  <si>
    <t>AMGN</t>
  </si>
  <si>
    <t>SC</t>
  </si>
  <si>
    <t>MC</t>
  </si>
  <si>
    <t>Xeljanz (tofacitinib)</t>
  </si>
  <si>
    <t>JAK3</t>
  </si>
  <si>
    <t>NCE</t>
  </si>
  <si>
    <t>Cash</t>
  </si>
  <si>
    <t>Inlyta (axitinib)</t>
  </si>
  <si>
    <t>NSCLC, Thyroid, BC</t>
  </si>
  <si>
    <t>VEGF</t>
  </si>
  <si>
    <t>Debt</t>
  </si>
  <si>
    <t>Xalkori (crizotinib)</t>
  </si>
  <si>
    <t>ALK</t>
  </si>
  <si>
    <t>2025, 2029 NCE</t>
  </si>
  <si>
    <t>EV</t>
  </si>
  <si>
    <t>Sutent (sunitinib)</t>
  </si>
  <si>
    <t>GIST, RCC</t>
  </si>
  <si>
    <t>TK</t>
  </si>
  <si>
    <t>Prevnar</t>
  </si>
  <si>
    <t>Pneumococcal Vaccine</t>
  </si>
  <si>
    <t>Vaccine</t>
  </si>
  <si>
    <t>WYE</t>
  </si>
  <si>
    <t>IM</t>
  </si>
  <si>
    <t>Prevnar 13</t>
  </si>
  <si>
    <t>Arthritis</t>
  </si>
  <si>
    <t>COX-2</t>
  </si>
  <si>
    <t>Viagra (sildenafil)</t>
  </si>
  <si>
    <t>ED</t>
  </si>
  <si>
    <t>Cialis, Levitra</t>
  </si>
  <si>
    <t>Geotropin (somatropin)</t>
  </si>
  <si>
    <t>Growth Deficiency</t>
  </si>
  <si>
    <t>rDNA</t>
  </si>
  <si>
    <t>SC?</t>
  </si>
  <si>
    <t>BeneFIX (nonacog alfa)</t>
  </si>
  <si>
    <t>Hemophilia</t>
  </si>
  <si>
    <t>Factor IX</t>
  </si>
  <si>
    <t>Xyntha/Refacto</t>
  </si>
  <si>
    <t>Factor VIII</t>
  </si>
  <si>
    <t>DYAX?</t>
  </si>
  <si>
    <t>Xalatan (latanoprost)</t>
  </si>
  <si>
    <t>Glaucoma</t>
  </si>
  <si>
    <t>Prostaglandin</t>
  </si>
  <si>
    <t>Lumigan</t>
  </si>
  <si>
    <t>Drops</t>
  </si>
  <si>
    <t>Detrol LA (tolterodine)</t>
  </si>
  <si>
    <t>Incontinence</t>
  </si>
  <si>
    <t>Muscarinic</t>
  </si>
  <si>
    <t>1998-2000</t>
  </si>
  <si>
    <t>Enablex, Vesicare</t>
  </si>
  <si>
    <t>Teva challenging. Expires '12-19. 30MS 4/29/10.</t>
  </si>
  <si>
    <t>Geodon (ziprasidone)</t>
  </si>
  <si>
    <t>Atypical</t>
  </si>
  <si>
    <t>Abilify, Zyprexa, Seroquel</t>
  </si>
  <si>
    <t>2012-2019</t>
  </si>
  <si>
    <t>Zyvox (linezolid)</t>
  </si>
  <si>
    <t>Anti-infective</t>
  </si>
  <si>
    <t>Oxazolidinone</t>
  </si>
  <si>
    <t>Chantix (varenicline)</t>
  </si>
  <si>
    <t>Smoking Cessation</t>
  </si>
  <si>
    <t>Nicotinic</t>
  </si>
  <si>
    <t>5/10/2020, 8/19/2022, p4 filed 7/2010</t>
  </si>
  <si>
    <t>Spiriva (tiotropium)</t>
  </si>
  <si>
    <t>COPD</t>
  </si>
  <si>
    <t>BI</t>
  </si>
  <si>
    <t>Advair</t>
  </si>
  <si>
    <t>Inhaled</t>
  </si>
  <si>
    <t>2012-2023</t>
  </si>
  <si>
    <t>Vfend (voriconazole)</t>
  </si>
  <si>
    <t>Toviaz (fesoterodine)</t>
  </si>
  <si>
    <t>OAB</t>
  </si>
  <si>
    <t>UCB</t>
  </si>
  <si>
    <t>Effexor XR (venlafaxine)</t>
  </si>
  <si>
    <t>Depression</t>
  </si>
  <si>
    <t>SNRI</t>
  </si>
  <si>
    <t>Premarin (estrogen)</t>
  </si>
  <si>
    <t>Hot Flashes</t>
  </si>
  <si>
    <t>HRT</t>
  </si>
  <si>
    <t>Torisel (temsirolimus)</t>
  </si>
  <si>
    <t>RCC</t>
  </si>
  <si>
    <t>mTOR</t>
  </si>
  <si>
    <t>Sutent</t>
  </si>
  <si>
    <t>2026 Formulation Patent</t>
  </si>
  <si>
    <t>Duavee (bazedoxifene)</t>
  </si>
  <si>
    <t>Osteoporosis</t>
  </si>
  <si>
    <t>SERM</t>
  </si>
  <si>
    <t>Premarin</t>
  </si>
  <si>
    <t>Eliquis (apixaban)</t>
  </si>
  <si>
    <t>DVT, PE, Afib</t>
  </si>
  <si>
    <t>Factor Xa</t>
  </si>
  <si>
    <t>BMY</t>
  </si>
  <si>
    <t>Pristiq (desvenlafaxine)</t>
  </si>
  <si>
    <t>Remoxy</t>
  </si>
  <si>
    <t>Opioid</t>
  </si>
  <si>
    <t>PTIE</t>
  </si>
  <si>
    <t>Purdue?</t>
  </si>
  <si>
    <t>2/28/14 Updated</t>
  </si>
  <si>
    <t>Viviant</t>
  </si>
  <si>
    <t>Oxycodone+Naltrexone</t>
  </si>
  <si>
    <t>Breast Cancer</t>
  </si>
  <si>
    <t>CDK4/6</t>
  </si>
  <si>
    <t>Vyndaqel (tafamidis meglumine)</t>
  </si>
  <si>
    <t>Transthyretin Cardiomyopathy, FAP</t>
  </si>
  <si>
    <t>TTR Inhibitor</t>
  </si>
  <si>
    <t>ALL</t>
  </si>
  <si>
    <t>SGLT2</t>
  </si>
  <si>
    <t>MRK</t>
  </si>
  <si>
    <t>tanezumab</t>
  </si>
  <si>
    <t>NGF Antibody</t>
  </si>
  <si>
    <t>Meningitis</t>
  </si>
  <si>
    <t>HER2</t>
  </si>
  <si>
    <t>bococizumab RN316 (PF-04950615)</t>
  </si>
  <si>
    <t>Hypercholesterolemia</t>
  </si>
  <si>
    <t>PCSK9</t>
  </si>
  <si>
    <t>SQ</t>
  </si>
  <si>
    <t>PH-797804</t>
  </si>
  <si>
    <t>p38</t>
  </si>
  <si>
    <t>PD-0360324</t>
  </si>
  <si>
    <t>Sarcoidosis, Lupus</t>
  </si>
  <si>
    <t>MCSF Mab</t>
  </si>
  <si>
    <t>Crohn's, Ulcerative Colitis</t>
  </si>
  <si>
    <t>MadCAM Antibody</t>
  </si>
  <si>
    <t>PF-06290510</t>
  </si>
  <si>
    <t>Staph Aureus</t>
  </si>
  <si>
    <t>PF-02545920</t>
  </si>
  <si>
    <t>PDE10A</t>
  </si>
  <si>
    <t>PF-04236921</t>
  </si>
  <si>
    <t>Crohn's, Lupus</t>
  </si>
  <si>
    <t>IL-6 Antibody</t>
  </si>
  <si>
    <t>PF-05285401</t>
  </si>
  <si>
    <t>Multistem</t>
  </si>
  <si>
    <t>ATHX</t>
  </si>
  <si>
    <t>PF-06473871 (EXC-001)</t>
  </si>
  <si>
    <t>Dermal Scarring</t>
  </si>
  <si>
    <t>CTGF</t>
  </si>
  <si>
    <t>Acquired from Excalliard. Phase II reported?</t>
  </si>
  <si>
    <t>PF-04171327</t>
  </si>
  <si>
    <t>RA</t>
  </si>
  <si>
    <t>GR agonist</t>
  </si>
  <si>
    <t>PF-04937319</t>
  </si>
  <si>
    <t>Glucokinase</t>
  </si>
  <si>
    <t>PF-05175157</t>
  </si>
  <si>
    <t>Acetyl-CoA carboxylase</t>
  </si>
  <si>
    <t>PF-04634817</t>
  </si>
  <si>
    <t>CCR2/5</t>
  </si>
  <si>
    <t>PF-00489791</t>
  </si>
  <si>
    <t>Positive POC, was HTN/PAH.</t>
  </si>
  <si>
    <t>PF-04360365 (ponezumab)</t>
  </si>
  <si>
    <t>Cerebral Amyloid Angiopathy</t>
  </si>
  <si>
    <t>Beta Amyloid</t>
  </si>
  <si>
    <t>PF-05212384</t>
  </si>
  <si>
    <t>AML</t>
  </si>
  <si>
    <t>Hedgehog</t>
  </si>
  <si>
    <t>PF-03446962</t>
  </si>
  <si>
    <t>ALK1 mab</t>
  </si>
  <si>
    <t>rivipansel GMI-1070/PF-06460031</t>
  </si>
  <si>
    <t>Vaso Occlusive Crisis</t>
  </si>
  <si>
    <t>PF-05089771</t>
  </si>
  <si>
    <t>Nav1.7</t>
  </si>
  <si>
    <t>PD-0325901</t>
  </si>
  <si>
    <t>MEK</t>
  </si>
  <si>
    <t>Dekavil</t>
  </si>
  <si>
    <t>Philogen</t>
  </si>
  <si>
    <t>PF-05230907</t>
  </si>
  <si>
    <t>Intracerebral Hemorrhage</t>
  </si>
  <si>
    <t>PF-05082566</t>
  </si>
  <si>
    <t>4-1BB</t>
  </si>
  <si>
    <t>PF-06687859</t>
  </si>
  <si>
    <t>SMA</t>
  </si>
  <si>
    <t>Decapping Enzyme</t>
  </si>
  <si>
    <t>Repligen</t>
  </si>
  <si>
    <t>PF-06252616</t>
  </si>
  <si>
    <t>Muscular Dystrophy</t>
  </si>
  <si>
    <t>Myostatin</t>
  </si>
  <si>
    <t>PF-05280602</t>
  </si>
  <si>
    <t>PF-03715455</t>
  </si>
  <si>
    <t>PF-05402536</t>
  </si>
  <si>
    <t>PF-06425090</t>
  </si>
  <si>
    <t>C. Difficile</t>
  </si>
  <si>
    <t>PF-06263276</t>
  </si>
  <si>
    <t>Psoriasis</t>
  </si>
  <si>
    <t>PF-06263507</t>
  </si>
  <si>
    <t>PF-06444752</t>
  </si>
  <si>
    <t>Asthma</t>
  </si>
  <si>
    <t>IGGE Vaccine</t>
  </si>
  <si>
    <t>PF-06480605</t>
  </si>
  <si>
    <t>Crohn's</t>
  </si>
  <si>
    <t>PF-06342674</t>
  </si>
  <si>
    <t>Type 1 Diabetes</t>
  </si>
  <si>
    <t>PF-04958242</t>
  </si>
  <si>
    <t>AMPA</t>
  </si>
  <si>
    <t>PF-05212377 (SAM-760)</t>
  </si>
  <si>
    <t>5HT6</t>
  </si>
  <si>
    <t>PF-06649751</t>
  </si>
  <si>
    <t>Parkinson</t>
  </si>
  <si>
    <t>PF-06372865</t>
  </si>
  <si>
    <t>PF-06273340</t>
  </si>
  <si>
    <t>PF-05236812 (AAB-003)</t>
  </si>
  <si>
    <t>Abeta Vaccine</t>
  </si>
  <si>
    <t>PF-06291874</t>
  </si>
  <si>
    <t>PF-06282999</t>
  </si>
  <si>
    <t>ACS</t>
  </si>
  <si>
    <t>PF-06678552</t>
  </si>
  <si>
    <t>PF-06438179</t>
  </si>
  <si>
    <t>Biosimilar Remicade</t>
  </si>
  <si>
    <t>Biosimilar Avastin</t>
  </si>
  <si>
    <t>PF-03084014</t>
  </si>
  <si>
    <t>Gamma Secretase</t>
  </si>
  <si>
    <t>PF-05280586</t>
  </si>
  <si>
    <t>Biosimilar Rituxan</t>
  </si>
  <si>
    <t>January 2007: Fesoterodine PDUFA - approvable</t>
  </si>
  <si>
    <t>2013: CAPITA Phase III Adult Prevnar results.</t>
  </si>
  <si>
    <t>June 2007: Resubmitted dalbavancin filing.</t>
  </si>
  <si>
    <t>10/28/2008: ACR - CP-690,550 28-week data.</t>
  </si>
  <si>
    <t>January 2009: CRL for Fablyn.</t>
  </si>
  <si>
    <t>Early 2009: Launch fesoterodine.</t>
  </si>
  <si>
    <t>2010: Acquires KG.</t>
  </si>
  <si>
    <t>2/1/11: Reports quarter, plan to cut R&amp;D, exit UK site, buyback upped to $9bn.</t>
  </si>
  <si>
    <t>2/2/11: Ex-dividend.</t>
  </si>
  <si>
    <t>2/2011: Pfizer acquires Ferrosan consumer health.</t>
  </si>
  <si>
    <t>3/2011: Pfizer completes King acquisition.</t>
  </si>
  <si>
    <t>8/2011: Capsugel sold to KKR.</t>
  </si>
  <si>
    <t>12/2011: Kindler steps down, Read in.</t>
  </si>
  <si>
    <t>4/2012: Pfizer to divest Nutritionals to Nestle for $12bn.</t>
  </si>
  <si>
    <t>5/9/2012: 8-2 positive AdCom for tofacitinib.</t>
  </si>
  <si>
    <t>6/13: Divested Zoetis.</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</si>
  <si>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</si>
  <si>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</si>
  <si>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</si>
  <si>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</si>
  <si>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</si>
  <si>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</si>
  <si>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</si>
  <si>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</si>
  <si>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</si>
  <si>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</si>
  <si>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</si>
  <si>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</si>
  <si>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</si>
  <si>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</si>
  <si>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</si>
  <si>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</si>
  <si>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</si>
  <si>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</si>
  <si>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</si>
  <si>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</si>
  <si>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</si>
  <si>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</si>
  <si>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</si>
  <si>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</si>
  <si>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</si>
  <si>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</si>
  <si>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</si>
  <si>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</si>
  <si>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</si>
  <si>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</si>
  <si>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</si>
  <si>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</si>
  <si>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</si>
  <si>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</si>
  <si>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</si>
  <si>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</si>
  <si>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</si>
  <si>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</si>
  <si>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</si>
  <si>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</si>
  <si>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</si>
  <si>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</si>
  <si>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</si>
  <si>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</si>
  <si>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Q108</t>
  </si>
  <si>
    <t>Q208</t>
  </si>
  <si>
    <t>Q308</t>
  </si>
  <si>
    <t>Q408</t>
  </si>
  <si>
    <t>Q109</t>
  </si>
  <si>
    <t>Q209</t>
  </si>
  <si>
    <t>Q309</t>
  </si>
  <si>
    <t>Q409</t>
  </si>
  <si>
    <t>Q110</t>
  </si>
  <si>
    <t>Q210</t>
  </si>
  <si>
    <t>Q310</t>
  </si>
  <si>
    <t>Q410</t>
  </si>
  <si>
    <t>Q111</t>
  </si>
  <si>
    <t>Q211</t>
  </si>
  <si>
    <t>Q311</t>
  </si>
  <si>
    <t>Q411</t>
  </si>
  <si>
    <t>Q112</t>
  </si>
  <si>
    <t>Q212</t>
  </si>
  <si>
    <t>Q312</t>
  </si>
  <si>
    <t>Q412</t>
  </si>
  <si>
    <t>Q113</t>
  </si>
  <si>
    <t>Q213</t>
  </si>
  <si>
    <t>Q313</t>
  </si>
  <si>
    <t>Q413</t>
  </si>
  <si>
    <t>Q114</t>
  </si>
  <si>
    <t>Q314</t>
  </si>
  <si>
    <t>Q414</t>
  </si>
  <si>
    <t>OM 2010</t>
  </si>
  <si>
    <t>OM 2015</t>
  </si>
  <si>
    <t>OM 2020</t>
  </si>
  <si>
    <t>Notes</t>
  </si>
  <si>
    <t>Lyrica, 2005 launch, '20???</t>
  </si>
  <si>
    <t>-</t>
  </si>
  <si>
    <t>60% OM?</t>
  </si>
  <si>
    <t>Prevnar, 2000 launch, vaccine</t>
  </si>
  <si>
    <t>617</t>
  </si>
  <si>
    <t>633</t>
  </si>
  <si>
    <t>634</t>
  </si>
  <si>
    <t>556</t>
  </si>
  <si>
    <t>717</t>
  </si>
  <si>
    <t>603</t>
  </si>
  <si>
    <t>700</t>
  </si>
  <si>
    <t>2,439</t>
  </si>
  <si>
    <t>2,716</t>
  </si>
  <si>
    <t>Enbrel, 1998 launch, biologic</t>
  </si>
  <si>
    <t>749</t>
  </si>
  <si>
    <t>775</t>
  </si>
  <si>
    <t>765</t>
  </si>
  <si>
    <t>755</t>
  </si>
  <si>
    <t>932</t>
  </si>
  <si>
    <t>976</t>
  </si>
  <si>
    <t>991</t>
  </si>
  <si>
    <t>899</t>
  </si>
  <si>
    <t>867</t>
  </si>
  <si>
    <t>1,050</t>
  </si>
  <si>
    <t>2,419</t>
  </si>
  <si>
    <t>3,044</t>
  </si>
  <si>
    <t>3,798</t>
  </si>
  <si>
    <t>Celebrex 12/31/1998-5/30/2014</t>
  </si>
  <si>
    <t>40% OM? 70% US!</t>
  </si>
  <si>
    <t>Lipitor, 1997 launch, 11/11</t>
  </si>
  <si>
    <t>80% OM? Only 8% in emerging markets and not growing (correct for SK change)! Astellas has Japanese rights. Norvasc has kept 25-30% since LOE.</t>
  </si>
  <si>
    <t>Viagra, 1998 launch, 3/12</t>
  </si>
  <si>
    <t>2012 expiry.</t>
  </si>
  <si>
    <t>Norvasc 7/92-3/07, generic</t>
  </si>
  <si>
    <t>Zyvox 11/14</t>
  </si>
  <si>
    <t>239</t>
  </si>
  <si>
    <t>251</t>
  </si>
  <si>
    <t>206</t>
  </si>
  <si>
    <t>248</t>
  </si>
  <si>
    <t>663</t>
  </si>
  <si>
    <t>768</t>
  </si>
  <si>
    <t>950</t>
  </si>
  <si>
    <t>Sutent, '18-'21</t>
  </si>
  <si>
    <t>Effexor/Pristiq</t>
  </si>
  <si>
    <t>891</t>
  </si>
  <si>
    <t>977</t>
  </si>
  <si>
    <t>958</t>
  </si>
  <si>
    <t>968</t>
  </si>
  <si>
    <t>1,021</t>
  </si>
  <si>
    <t>1,022</t>
  </si>
  <si>
    <t>983</t>
  </si>
  <si>
    <t>902</t>
  </si>
  <si>
    <t>819</t>
  </si>
  <si>
    <t>771</t>
  </si>
  <si>
    <t>750</t>
  </si>
  <si>
    <t>3,722</t>
  </si>
  <si>
    <t>3,794</t>
  </si>
  <si>
    <t>3,928</t>
  </si>
  <si>
    <t>82% US.TEVA launches generic 7/1/2010. IPCI ANDA submitted 5/2010. 171 patent, 120 patent, 958 patent.</t>
  </si>
  <si>
    <t>241</t>
  </si>
  <si>
    <t>267</t>
  </si>
  <si>
    <t>283</t>
  </si>
  <si>
    <t>264</t>
  </si>
  <si>
    <t>276</t>
  </si>
  <si>
    <t>271</t>
  </si>
  <si>
    <t>262</t>
  </si>
  <si>
    <t>261</t>
  </si>
  <si>
    <t>246</t>
  </si>
  <si>
    <t>257</t>
  </si>
  <si>
    <t>1,051</t>
  </si>
  <si>
    <t>1,055</t>
  </si>
  <si>
    <t>1,070</t>
  </si>
  <si>
    <t>Vfend 10/13</t>
  </si>
  <si>
    <t>Genotropin '15</t>
  </si>
  <si>
    <t>Xalatan 3/11</t>
  </si>
  <si>
    <t>Detrol LA 3/12</t>
  </si>
  <si>
    <t>Sued MYL and Sandoz 7/2010.</t>
  </si>
  <si>
    <t>Chantix</t>
  </si>
  <si>
    <t>Oral, nicotinic partial agonist.</t>
  </si>
  <si>
    <t>Medrol</t>
  </si>
  <si>
    <t>Zoloft 1995-2006</t>
  </si>
  <si>
    <t>86% ex-US.</t>
  </si>
  <si>
    <t>Zosyn</t>
  </si>
  <si>
    <t>281</t>
  </si>
  <si>
    <t>280</t>
  </si>
  <si>
    <t>284</t>
  </si>
  <si>
    <t>210</t>
  </si>
  <si>
    <t>342</t>
  </si>
  <si>
    <t>319</t>
  </si>
  <si>
    <t>305</t>
  </si>
  <si>
    <t>298</t>
  </si>
  <si>
    <t>310</t>
  </si>
  <si>
    <t>304</t>
  </si>
  <si>
    <t>300</t>
  </si>
  <si>
    <t>972</t>
  </si>
  <si>
    <t>1,137</t>
  </si>
  <si>
    <t>1,264</t>
  </si>
  <si>
    <t>Zithromax 1995-2005</t>
  </si>
  <si>
    <t>p3</t>
  </si>
  <si>
    <t>Relpax 8/13</t>
  </si>
  <si>
    <t>Fragmin (dalteparin)</t>
  </si>
  <si>
    <t>LMWH.</t>
  </si>
  <si>
    <t>Tygacil</t>
  </si>
  <si>
    <t>Revatio 3/12</t>
  </si>
  <si>
    <t>114</t>
  </si>
  <si>
    <t>p2</t>
  </si>
  <si>
    <t>filed</t>
  </si>
  <si>
    <t>Cardura</t>
  </si>
  <si>
    <t>93% ex-US.</t>
  </si>
  <si>
    <t>Aromasin 4/11</t>
  </si>
  <si>
    <t>67% ex-US but price high and bad IP?</t>
  </si>
  <si>
    <t>BMP2</t>
  </si>
  <si>
    <t>Aricept '10</t>
  </si>
  <si>
    <t>Geodon 3/07 (maybe 2012)</t>
  </si>
  <si>
    <t>84% US!</t>
  </si>
  <si>
    <t>Caduet</t>
  </si>
  <si>
    <t>Arthrotec</t>
  </si>
  <si>
    <t>EpiPen</t>
  </si>
  <si>
    <t>Neurontin '04</t>
  </si>
  <si>
    <t>Diflucan</t>
  </si>
  <si>
    <t>Xanax/XR</t>
  </si>
  <si>
    <t>Unasyn</t>
  </si>
  <si>
    <t>Sulperazon</t>
  </si>
  <si>
    <t>Approved. US in 09. Eu in 08.</t>
  </si>
  <si>
    <t>Skelaxin</t>
  </si>
  <si>
    <t>Protonix (expired)</t>
  </si>
  <si>
    <t>474</t>
  </si>
  <si>
    <t>550</t>
  </si>
  <si>
    <t>425</t>
  </si>
  <si>
    <t>462</t>
  </si>
  <si>
    <t>159</t>
  </si>
  <si>
    <t>228</t>
  </si>
  <si>
    <t>234</t>
  </si>
  <si>
    <t>185</t>
  </si>
  <si>
    <t>215</t>
  </si>
  <si>
    <t>237</t>
  </si>
  <si>
    <t>230</t>
  </si>
  <si>
    <t>200</t>
  </si>
  <si>
    <t>1,795</t>
  </si>
  <si>
    <t>1,911</t>
  </si>
  <si>
    <t>806</t>
  </si>
  <si>
    <t>Generics by Teva and Sun - some litigation still pending.</t>
  </si>
  <si>
    <t>Inspra</t>
  </si>
  <si>
    <t>Cleocin</t>
  </si>
  <si>
    <t>Depo-Provera</t>
  </si>
  <si>
    <t>Somavert</t>
  </si>
  <si>
    <t>methotrexate</t>
  </si>
  <si>
    <t>Capsugel</t>
  </si>
  <si>
    <t>154</t>
  </si>
  <si>
    <t xml:space="preserve"> </t>
  </si>
  <si>
    <t>Accupril/Accuretic 2005</t>
  </si>
  <si>
    <t>Procardia XL</t>
  </si>
  <si>
    <t>Camptosar 8/07</t>
  </si>
  <si>
    <t>Zyrtec/Reactine</t>
  </si>
  <si>
    <t>Ellence - TEVA generic</t>
  </si>
  <si>
    <t>Other Cardio</t>
  </si>
  <si>
    <t>Other Infectious &amp; Respiratory</t>
  </si>
  <si>
    <t>Other Arthritis</t>
  </si>
  <si>
    <t>Other CNS</t>
  </si>
  <si>
    <t>Other Urology</t>
  </si>
  <si>
    <t>Other Oncology</t>
  </si>
  <si>
    <t>Other Pharma</t>
  </si>
  <si>
    <t>WYE Consumer/Animal</t>
  </si>
  <si>
    <t>887</t>
  </si>
  <si>
    <t>1,039</t>
  </si>
  <si>
    <t>952</t>
  </si>
  <si>
    <t>978</t>
  </si>
  <si>
    <t>889</t>
  </si>
  <si>
    <t>917</t>
  </si>
  <si>
    <t>3,467</t>
  </si>
  <si>
    <t>3,778</t>
  </si>
  <si>
    <t>3,809</t>
  </si>
  <si>
    <t>WYE Nutrition</t>
  </si>
  <si>
    <t>347</t>
  </si>
  <si>
    <t>358</t>
  </si>
  <si>
    <t>346</t>
  </si>
  <si>
    <t>392</t>
  </si>
  <si>
    <t>411</t>
  </si>
  <si>
    <t>430</t>
  </si>
  <si>
    <t>407</t>
  </si>
  <si>
    <t>386</t>
  </si>
  <si>
    <t>415</t>
  </si>
  <si>
    <t>436</t>
  </si>
  <si>
    <t>1,201</t>
  </si>
  <si>
    <t>1,443</t>
  </si>
  <si>
    <t>1,634</t>
  </si>
  <si>
    <t>Alliance (Spiriva)</t>
  </si>
  <si>
    <t>Enbrel, Aricept, Spiriva, Exforge, Rebif</t>
  </si>
  <si>
    <t>Animal</t>
  </si>
  <si>
    <t>Sales</t>
  </si>
  <si>
    <t>COGS</t>
  </si>
  <si>
    <t>Gross Margin</t>
  </si>
  <si>
    <t>SG&amp;A</t>
  </si>
  <si>
    <t>R&amp;D</t>
  </si>
  <si>
    <t>Operating Margin</t>
  </si>
  <si>
    <t>Interest Income</t>
  </si>
  <si>
    <t>Interest Expense</t>
  </si>
  <si>
    <t>Other Income</t>
  </si>
  <si>
    <t>Pretax Income</t>
  </si>
  <si>
    <t>Taxes</t>
  </si>
  <si>
    <t>Net Income</t>
  </si>
  <si>
    <t>EPS</t>
  </si>
  <si>
    <t>Management Grading</t>
  </si>
  <si>
    <t>SG&amp;A % of Revenue</t>
  </si>
  <si>
    <t>Animal guidance controversy.</t>
  </si>
  <si>
    <t>R&amp;D % of Revenue</t>
  </si>
  <si>
    <t>2012 guidance controversy.</t>
  </si>
  <si>
    <t>Dimebon license (B-).</t>
  </si>
  <si>
    <t>Tax Rate</t>
  </si>
  <si>
    <t>Figitumumab (C-).</t>
  </si>
  <si>
    <t>Net Margin</t>
  </si>
  <si>
    <t>Coley (D-).</t>
  </si>
  <si>
    <t>Vicuron (D-).</t>
  </si>
  <si>
    <t>FX Impact</t>
  </si>
  <si>
    <t>Esperion (F).</t>
  </si>
  <si>
    <t>Revenues y/y</t>
  </si>
  <si>
    <t>Sutent extension.</t>
  </si>
  <si>
    <t>SG&amp;A y/y</t>
  </si>
  <si>
    <t>Ratiopharm (C-).</t>
  </si>
  <si>
    <t>Prevnar y/y</t>
  </si>
  <si>
    <t>Exubera (F).</t>
  </si>
  <si>
    <t>Ergonex (F).</t>
  </si>
  <si>
    <t>Shedlarz, Kindler debacles (D-).</t>
  </si>
  <si>
    <t>King (B).</t>
  </si>
  <si>
    <t>Tueto (A).</t>
  </si>
  <si>
    <t>PCH (F).</t>
  </si>
  <si>
    <t>Biocon (D).</t>
  </si>
  <si>
    <t>EPS y/y</t>
  </si>
  <si>
    <t>Yield On Cash</t>
  </si>
  <si>
    <t>DSO</t>
  </si>
  <si>
    <t>ROI</t>
  </si>
  <si>
    <t>Assumes health dividend/repo, good mgmt/R&amp;D, etc - 1% is the safest assumption!.</t>
  </si>
  <si>
    <t>Net Cash</t>
  </si>
  <si>
    <t>Disc</t>
  </si>
  <si>
    <t>Note debt is trading 100bps above TSYs. Personal coc may influence this #!.</t>
  </si>
  <si>
    <t>Mat</t>
  </si>
  <si>
    <t>There is substantial risk to the high-OM franchises such as Enbrel, Prevnar, etc.</t>
  </si>
  <si>
    <t>A/R</t>
  </si>
  <si>
    <t>NPV</t>
  </si>
  <si>
    <t>Inventories</t>
  </si>
  <si>
    <t>Taxes/OCA</t>
  </si>
  <si>
    <t>Held For Sale</t>
  </si>
  <si>
    <t>PP&amp;E</t>
  </si>
  <si>
    <t>Goodwill + Intangibles</t>
  </si>
  <si>
    <t>Other Assets</t>
  </si>
  <si>
    <t>Total Assets</t>
  </si>
  <si>
    <t>Accounts Payable</t>
  </si>
  <si>
    <t>Dividends Payable</t>
  </si>
  <si>
    <t>Taxes Payable</t>
  </si>
  <si>
    <t>Accrued Compensation</t>
  </si>
  <si>
    <t>OCL</t>
  </si>
  <si>
    <t>Pension/Postretirement</t>
  </si>
  <si>
    <t>Deferred Taxes</t>
  </si>
  <si>
    <t>Other Taxes Payable</t>
  </si>
  <si>
    <t>Other Noncurrent Liabilities</t>
  </si>
  <si>
    <t>Total Liabilities</t>
  </si>
  <si>
    <t>S/E</t>
  </si>
  <si>
    <t>L+S/E</t>
  </si>
  <si>
    <t>NI</t>
  </si>
  <si>
    <t>Reported NI</t>
  </si>
  <si>
    <t>D&amp;A</t>
  </si>
  <si>
    <t>Share Based Compensation</t>
  </si>
  <si>
    <t>IPR&amp;D</t>
  </si>
  <si>
    <t>Other Non-Cash Adjustments</t>
  </si>
  <si>
    <t>Benefit Contributions</t>
  </si>
  <si>
    <t>Gain on disposal</t>
  </si>
  <si>
    <t>Changes in A&amp;L</t>
  </si>
  <si>
    <t>CFFO</t>
  </si>
  <si>
    <t>CapEx</t>
  </si>
  <si>
    <t>FCF</t>
  </si>
  <si>
    <t>Acquisitions</t>
  </si>
  <si>
    <t>Delta</t>
  </si>
  <si>
    <t>Heads</t>
  </si>
  <si>
    <t>SG&amp;A/Heads</t>
  </si>
  <si>
    <t>Revenue</t>
  </si>
  <si>
    <t>Revenue/SG&amp;A</t>
  </si>
  <si>
    <t>Revenue/Heads</t>
  </si>
  <si>
    <t>Consensus/Actual Revenue 1/1/2011</t>
  </si>
  <si>
    <t>Consensus EPS</t>
  </si>
  <si>
    <t>Enbrel</t>
  </si>
  <si>
    <t>etanercept</t>
  </si>
  <si>
    <t>Economics</t>
  </si>
  <si>
    <t>Amgen JV. Amgen sells in the US and Pfizer sells Ex-US.</t>
  </si>
  <si>
    <t>Pneumococcal 7-valent conjugate vaccine.</t>
  </si>
  <si>
    <t>Administration</t>
  </si>
  <si>
    <t>History</t>
  </si>
  <si>
    <t>11/94 IND. 6/1/99 application (PLA). 2/2000 approval.</t>
  </si>
  <si>
    <t>Prevanar 13 approval.</t>
  </si>
  <si>
    <t>6921537 describes Prevnar process?</t>
  </si>
  <si>
    <t>Synflorix is 10-valent. http://www.emea.europa.eu/humandocs/Humans/EPAR/synflorix/synflorix.htm</t>
  </si>
  <si>
    <t>Launches</t>
  </si>
  <si>
    <t>Prevanar-13 launches in India - July 2010. 370,000 infant deaths due to pneumonia annually. 25m births annually. 15,000 Rs price.</t>
  </si>
  <si>
    <t>Model</t>
  </si>
  <si>
    <t>Total WW Revenue</t>
  </si>
  <si>
    <t>Total US Revenue</t>
  </si>
  <si>
    <t>Total ExUS Revenue</t>
  </si>
  <si>
    <t>WW P13</t>
  </si>
  <si>
    <t>US P13</t>
  </si>
  <si>
    <t>ExUS P13</t>
  </si>
  <si>
    <t>WW P7</t>
  </si>
  <si>
    <t>US P7</t>
  </si>
  <si>
    <t>ExUS P7</t>
  </si>
  <si>
    <t>Total WW Growth</t>
  </si>
  <si>
    <t>Total US Growth</t>
  </si>
  <si>
    <t>Total ExUS Growth</t>
  </si>
  <si>
    <t>WW P13 Growth</t>
  </si>
  <si>
    <t>US P13 Growth</t>
  </si>
  <si>
    <t>ExUS P13 Growth</t>
  </si>
  <si>
    <t>WW P7 Growth</t>
  </si>
  <si>
    <t>US P7 Growth</t>
  </si>
  <si>
    <t>ExUS P7 Growth</t>
  </si>
  <si>
    <t>Prevnar 13 US Price</t>
  </si>
  <si>
    <t>Prevnar 13 US Doses</t>
  </si>
  <si>
    <t>Birth Cohort</t>
  </si>
  <si>
    <t>Birth Revenue</t>
  </si>
  <si>
    <t>Lyrica</t>
  </si>
  <si>
    <t>pregabalin</t>
  </si>
  <si>
    <t>Timeline</t>
  </si>
  <si>
    <t>Rx</t>
  </si>
  <si>
    <t>NRX</t>
  </si>
  <si>
    <t>TRX</t>
  </si>
  <si>
    <t xml:space="preserve">Oncology </t>
  </si>
  <si>
    <t>P3 - Thyroid, Pancreatic</t>
  </si>
  <si>
    <t>P2 - Lung, Gastrointestinal, Breast, Melanoma</t>
  </si>
  <si>
    <t>VEGFr/PDGFr kinase inhibitor. Picomolar potency at VEGFR1,2,3. Nanomolar potent at PDGFR-beta and kit.</t>
  </si>
  <si>
    <t>Doxorubicin (Thyroid)</t>
  </si>
  <si>
    <t>Agouron?</t>
  </si>
  <si>
    <t>http://www.wipo.int/pctdb/en/fetch.jsp?LANG=ENG&amp;DBSELECT=PCT&amp;SERVER_TYPE=19&amp;SORT=1205778-KEY&amp;TYPE_FIELD=256&amp;IDB=0&amp;IDOC=974492&amp;C=00&amp;ELEMENT_SET=BASICHTML-ENG&amp;RESULT=1&amp;TOTAL=1&amp;START=1&amp;DISP=25&amp;FORM=SEP-0/HITNUM,B-ENG,DP,MC,PA,ABSUM-ENG&amp;SEARCH_IA=US2000018263&amp;QUERY=WO%2f2001%2f002369</t>
  </si>
  <si>
    <t>http://appft1.uspto.gov/netacgi/nph-Parser?Sect1=PTO2&amp;Sect2=HITOFF&amp;p=1&amp;u=%2Fnetahtml%2FPTO%2Fsearch-bool.html&amp;r=1&amp;f=G&amp;l=50&amp;co1=AND&amp;d=PG01&amp;s1=20060094881&amp;OS=20060094881&amp;RS=20060094881</t>
  </si>
  <si>
    <t>Clinical Trials</t>
  </si>
  <si>
    <t>Phase III 2L mCRC head-to-head against Nexavar n=540</t>
  </si>
  <si>
    <t>To be started June 2008. Primary endpoint is PFS.</t>
  </si>
  <si>
    <t>Phase III Gemcitabine +- Axitinib for Advanced Pancreatic Cancer - Began 08/07</t>
  </si>
  <si>
    <t>n=596 1L, Primary Endpoint is OS.</t>
  </si>
  <si>
    <t xml:space="preserve">  Total of 596 patients and 460 events are required for a log rank test to have an overall 1 sided significance level of 0.025 and power of 0.90. Source: clinicaltrials.gov.</t>
  </si>
  <si>
    <t>Phase II FOLFOX+Axitinib vs FOLFOX+Avastin vs FOLFOX+Axitinib+Avastin in mCRC - Began 01/06</t>
  </si>
  <si>
    <t>n=123 1L???</t>
  </si>
  <si>
    <t xml:space="preserve">Primary Endpiont: Estimate objective response rate in previously untreated patients with advanced colorectal cancer </t>
  </si>
  <si>
    <t>Secondary Endpoint: maximum tolerated doses, safety, PK interactions, adverse event and toxicities, survival, progression-free survival</t>
  </si>
  <si>
    <t>P2 Axinitib in patients with Doxorubicin-refractory or intolerant Thyroid Cancer - began 12/06</t>
  </si>
  <si>
    <t>Efficacy of Axitinib in shrinking thyroid cancer that is resistant to radioactive iodine and doxorubicin.</t>
  </si>
  <si>
    <t>n = 100 , 5mg pill x2 a day. CT scans regularly to assess shrinkage of tumor.</t>
  </si>
  <si>
    <t>Primary Endpoints - objective response rate</t>
  </si>
  <si>
    <t>Secondary Endpoints - safety profile, progression-free survival, duration of response, overall survival, PRO</t>
  </si>
  <si>
    <t>P1 Dose finding Axitinib plus Paclitaxel/Carboplatin, plus weekly Paclitaxel, plus Docetaxel, plus Capecitabine, plus Gemcitabine/Cisplatin - began 12/05</t>
  </si>
  <si>
    <t>Advanced solid tumors</t>
  </si>
  <si>
    <t>n = 62 , 24 month enrollment</t>
  </si>
  <si>
    <t>Non randomized</t>
  </si>
  <si>
    <t>Primary Endpoint: MTD of Axitinib in combinations of various standard of care treatements.</t>
  </si>
  <si>
    <t>Secondary Endpoint: PK parameters of Axitinib and various agents while evaluating safety profiles and responses.</t>
  </si>
  <si>
    <t>Phase II RCC n=52, cytokine refractory.</t>
  </si>
  <si>
    <t xml:space="preserve">n=52, most clear cell histology and undergone prior nephrectomy. </t>
  </si>
  <si>
    <t>24/52 (46%) PR - Rini et al ASCO 2005. PR by RECIST--who assessed?</t>
  </si>
  <si>
    <t>21/51 (40%) SD, 20/51 (38%) with tumor shrinkage.</t>
  </si>
  <si>
    <t>7/52 (14%) No response (8% progression, 6% indeterminate).</t>
  </si>
  <si>
    <t>Compare to Avastin/Nexavar.</t>
  </si>
  <si>
    <t>Sutent label in 1L had 27.5% RR. IFN-alpha had 5.3% RR. N=375 each. Assessed by blind lab. RECIST criteria?</t>
  </si>
  <si>
    <t>Sutent label also has 2L n=106 with RR of 34% (assessed by core lab) and 2L n=63 with RR of 36.5% (assessed by investigators).</t>
  </si>
  <si>
    <t>5mg bid. 6 discontinued due to adverse events. Andy Chen mentions axitinib is safer than sutent???</t>
  </si>
  <si>
    <t>Phase II NSCLC</t>
  </si>
  <si>
    <t>9% ORR, MOS 15mo</t>
  </si>
  <si>
    <t>Phase I solid tumors n=36</t>
  </si>
  <si>
    <t>6 patients had RCC</t>
  </si>
  <si>
    <t>DLT of hypertension, fatigue, diarrhea. 31% grade 3 hypertension.</t>
  </si>
  <si>
    <t>Phase I pancreatic Axitinib+Gemcitabine n=8 rolled into Phase II - Published Lancet 2008</t>
  </si>
  <si>
    <t>http://www.asco.org/portal/site/ASCO/menuitem.34d60f5624ba07fd506fe310ee37a01d/?vgnextoid=76f8201eb61a7010VgnVCM100000ed730ad1RCRD&amp;vmview=abst_detail_view&amp;confID=40&amp;index=y&amp;abstractID=34861</t>
  </si>
  <si>
    <t>2 PR and 4 SD.</t>
  </si>
  <si>
    <t>Chantix (US), Champix (Ex-US).</t>
  </si>
  <si>
    <t>varenicline</t>
  </si>
  <si>
    <t>Alpha4-Beta2 nicotinic partial agonist. Nicotinic acetylcholine receptors are pentameric and the receptors with the highest affinity for nicotine contain 2 Alpha-4 and 3 Beta-2 subunits.</t>
  </si>
  <si>
    <t>The highest concentration of Alpha4-Beta2 receptors is in the mesolimbic ("reward center") dopaminergic system. Binding results in dopamine release.</t>
  </si>
  <si>
    <t>The receptors are ion channels and binding results in sodium (Na+) influx.</t>
  </si>
  <si>
    <t>Cost</t>
  </si>
  <si>
    <t>Pharmacoeconomic argument - $157bn in health-related economic costs.</t>
  </si>
  <si>
    <t>7/14/2007 price increase. ~$120/1mg (4 weeks). Recommended 12 week treatment program, with option of additional 12 weeks depending on severity of addiction.</t>
  </si>
  <si>
    <t>Only $336 PPPY?</t>
  </si>
  <si>
    <t>Market</t>
  </si>
  <si>
    <t>Break down # of smokers in US/EU.</t>
  </si>
  <si>
    <t>Europe - 30% avg in adults over the age of 15.</t>
  </si>
  <si>
    <t>215m in EU, 45m in US, &gt;100m in India, &gt;300m in China. PFE notes 60% motivated to quit in the US.</t>
  </si>
  <si>
    <t>2006 20.8% prevalence among adults.</t>
  </si>
  <si>
    <t>COM patent 6,410,550 issued 6/25/2002, expires 5/10/2020.</t>
  </si>
  <si>
    <t>Guidance</t>
  </si>
  <si>
    <t>&gt;1B in 2010.</t>
  </si>
  <si>
    <t>Once ban in smoke-free workplaces was implemented in NYC 2003, adult smoking decreased from 21.5 - 18.4% (-200,000)</t>
  </si>
  <si>
    <t>May 11, 2006 US approval. Launch August 2006.</t>
  </si>
  <si>
    <t>September 29, 2006 EU approval. EU launch December 2006.</t>
  </si>
  <si>
    <t>Head-to-head superiority vs Zyban.</t>
  </si>
  <si>
    <t>Safety</t>
  </si>
  <si>
    <t>Serious psychiatric symptoms can occur. Insomnia and abnormal dreams occur more than twice the rate of placebo.</t>
  </si>
  <si>
    <t>Papers</t>
  </si>
  <si>
    <t>Varenicline for tobacco dependence. Hays et al. NEJM 2008;359:2018-24.</t>
  </si>
  <si>
    <t>Commentary</t>
  </si>
  <si>
    <t xml:space="preserve">PFE Q207 10-Q: Chantix/Champix, the first new prescription treatment to aid smoking cessation in nearly a decade, became available to patients in the U.S. in August 2006, in select E.U. markets in December 2006 and in Canada in April 2007. Chantix/Champix continues to demonstrate strong uptake, with nearly 2.5 million U.S. patients having filled a prescription as of June 15, 2007, representing slightly more than 5% of adult smokers in the U.S. In the U.S., an unbranded advertising campaign introduced earlier in 2007 is working to effectively develop the market, and branded advertising is planned for the third quarter of 2007. We continue to focus on increasing adherence and have introduced tools to physicians that provide data behind the benefit of a full 12-week course of therapy. In addition, we are conducting several pilot programs to reach patients in their first month of therapy through pharmacy programs, as well as through our GetQuit behavior modification program. Champix has secured final approval from the National Institute for Health and Clinical Excellence (NICE) for use in the state-funded National Health Service in the U.K., following a positive appraisal decision in May 2007. Our strategy for this innovative medicine is to build a sustainable, medically supported market over time and to seek to secure reimbursement--initiatives that we believe will drive future growth. Chantix/Champix recorded worldwide revenues of $362 million in the first six months of 2007.
</t>
  </si>
  <si>
    <t>3659 chronic smokers (&gt;=10 cigarettes/day) in six clinical trials - Label Summary</t>
  </si>
  <si>
    <t>Abstinence from smoking was determined by patient self-report and verified by measurement of exhaled carbon monoxide (CO &lt;=10ppm) at weekly visits.</t>
  </si>
  <si>
    <t>Among Chantix-treated patients, the completion rate was 65%.</t>
  </si>
  <si>
    <t>79-96% of subjects were white, average age 43 years.</t>
  </si>
  <si>
    <t>subjects on average had smoked about 21 cigarettes a day for an average of approximately 25 years</t>
  </si>
  <si>
    <t>all patients were provided with an educational booklet on smoking cessation and received up to 10 minutes of smoking cessation counseling at each weekly treatment visit</t>
  </si>
  <si>
    <t>patients set a date to stop smoking (target quit date, TQD) with dosing starting 1 week before this date was set</t>
  </si>
  <si>
    <t>PK</t>
  </si>
  <si>
    <t>2006E</t>
  </si>
  <si>
    <t xml:space="preserve">  US</t>
  </si>
  <si>
    <t xml:space="preserve">  Ex-US</t>
  </si>
  <si>
    <t>Xalkori</t>
  </si>
  <si>
    <t>crizotinib</t>
  </si>
  <si>
    <t>ALK kinase inhibitor. MET/ROS activity as well.</t>
  </si>
  <si>
    <t>NSCLC with ALK mutations</t>
  </si>
  <si>
    <t>Phase III PROFILE 1007</t>
  </si>
  <si>
    <t>Xalkori vs pemetrexed/docetaxel in ALK+ NSCLC.</t>
  </si>
  <si>
    <t>PFS primary endpoint met 6/19/12.</t>
  </si>
  <si>
    <t>Total</t>
  </si>
  <si>
    <t>Celebrex</t>
  </si>
  <si>
    <t>celecoxib</t>
  </si>
  <si>
    <t>sunitinib</t>
  </si>
  <si>
    <t>TK inhibitor: VEGFR, PDGFR, KIT, FLT-3</t>
  </si>
  <si>
    <t>Label</t>
  </si>
  <si>
    <t>GIST, 2L RCC</t>
  </si>
  <si>
    <t>Clinical Studies</t>
  </si>
  <si>
    <t>Phase III - Sutent+Taxol vs Avastin+Taxol in mBC</t>
  </si>
  <si>
    <t>n=740, started 11/2006.</t>
  </si>
  <si>
    <t>Phase III FOLFIRI+-Sutent in 1L mCRC "SUN1122" - DISCONTINUED?</t>
  </si>
  <si>
    <t>n=720, started June 2007</t>
  </si>
  <si>
    <t>Phase 2 2L/3L NSCLC - ASCO 2007</t>
  </si>
  <si>
    <t>1L RCC: ASCO 2006</t>
  </si>
  <si>
    <t>11mo PFS vs 5mo IFN; 25% RR vs 5%</t>
  </si>
  <si>
    <t>n=750 CCC</t>
  </si>
  <si>
    <t>2 sequentially conducted p2 RCC single arm multicenter studies</t>
  </si>
  <si>
    <t>6k new mRCC patients/year??</t>
  </si>
  <si>
    <t>50mg daily 4/6 weeks in predominately cytokine refractory patients</t>
  </si>
  <si>
    <t>Motzer et al proc ASCO 23:380s, 2005</t>
  </si>
  <si>
    <t>n=63, accrual 1/03 to 7/03, reported asco 2004, updated as of 12/04</t>
  </si>
  <si>
    <t>40% RR, 0% CR</t>
  </si>
  <si>
    <t>28% SD &gt;3 mo, 25% SD/PD &lt;3 months, 6% non evaluable</t>
  </si>
  <si>
    <t>8.7m TTP, 16.4m MOS</t>
  </si>
  <si>
    <t>n=106, accrual 2/04 to 11/04, updated as of 1/05</t>
  </si>
  <si>
    <t>39% RR, 1% CR</t>
  </si>
  <si>
    <t>23% SD&gt;3 mo, 31% SD/PD &lt;3 months, 31% non evaluable</t>
  </si>
  <si>
    <t>TTP/MOS not given yet</t>
  </si>
  <si>
    <t>SU11248 in previously treated MBC - Miller et al, ASCO 05 #563</t>
  </si>
  <si>
    <t>50mg qd for 28 days, 14 day rest. Response assessed every 2 cycles. Prior anthracycline and taxane therapy.</t>
  </si>
  <si>
    <t>39% g3 neutropenia, 15% g3 thrombocytopenia. 7/41 patients required dose-reduction. 13/41 required dose interruption.</t>
  </si>
  <si>
    <t>14% PR, 2% SD. 2 PRs not yet confirmed. N=51</t>
  </si>
  <si>
    <t>Sutent in lung - ASCO 06</t>
  </si>
  <si>
    <t>3/63 died from bleeding - 2 in the lung, 1 in the brain</t>
  </si>
  <si>
    <t>stopped tumor growth in 43%, shrank in 9.5%.</t>
  </si>
  <si>
    <t>Charles Baum - oncology clinical leader at PFE</t>
  </si>
  <si>
    <t>Long list of clinical studies.</t>
  </si>
  <si>
    <t>Phase III continuation in Breast Neoplasms, Carcinoma, Pancreatic, RCC, GIST</t>
  </si>
  <si>
    <t>still recruiting, began 02/07</t>
  </si>
  <si>
    <t>Phase III +/- placebo with advanced pancreatic islet cell tumors. N = 340, still recruting, began 03/07</t>
  </si>
  <si>
    <t>Phase III +/- placebo in RCC, n = 228. still recruiting, began 09/07</t>
  </si>
  <si>
    <t>Phase III vs Imatinib in GIST, n = 200. Still recruiting, began 07/07</t>
  </si>
  <si>
    <t>Phase III Erlotinib +/- Sutent in Non-small cell lung cancer, n = 956. Still recruiting, gegan 06/07</t>
  </si>
  <si>
    <t>Phase III vs Capecitabine in advanced breast cancer who failed both a taxane and anthracycline chemotherapy, or failed taxane where anthracycline chemo not needed</t>
  </si>
  <si>
    <t xml:space="preserve">Completed Phase III in malignant GIST, n = 357. </t>
  </si>
  <si>
    <t>Phase III vs Interferon-Alfa as 1st line therapy in RCC, n = 700. Ongoing</t>
  </si>
  <si>
    <t>Phase III + Paclitaxel vs Avastin + Paclitaxel in advanced Breast Cancer</t>
  </si>
  <si>
    <t>Phase II:</t>
  </si>
  <si>
    <t>Completed Phase II + Temsirolimus in RCC</t>
  </si>
  <si>
    <t>Stage II or III breast cancer that can be removed surgically</t>
  </si>
  <si>
    <t>n = 700. Still recruiting, began 11/06</t>
  </si>
  <si>
    <t>Neoadjuvant sutent in RCC</t>
  </si>
  <si>
    <t>Adjuvant sutent following chemotherapy, radiation, and surgery for esophageal cancer</t>
  </si>
  <si>
    <t>In nonclear cell RCC</t>
  </si>
  <si>
    <t>Dosage efficacy in first line metastic RCC</t>
  </si>
  <si>
    <t>Male patients with relapsed or cisplatin-refractory germ cell cancer</t>
  </si>
  <si>
    <t>Prostate cancer</t>
  </si>
  <si>
    <t>Colorectal cancer</t>
  </si>
  <si>
    <t>Metastic and/or surgically unresectable soft tissue sarcoma</t>
  </si>
  <si>
    <t>Thyroid carcinoma</t>
  </si>
  <si>
    <t>Following gepatic artery embolization</t>
  </si>
  <si>
    <t>VHL</t>
  </si>
  <si>
    <t>After taxanes in metastic breast cancer</t>
  </si>
  <si>
    <t>Cytokin-Refractory metastic RCC</t>
  </si>
  <si>
    <t>Advanced prostate cancer</t>
  </si>
  <si>
    <t>Myelodysplastic syndromes</t>
  </si>
  <si>
    <t>Metastic, locally advanced or recurrent Sarcomas</t>
  </si>
  <si>
    <t>Advanced Hepatocellular Carcinoma</t>
  </si>
  <si>
    <t>Kaposi Sarcoma, treating East African Patients</t>
  </si>
  <si>
    <t>Rafractory adrenocortical carcinoma</t>
  </si>
  <si>
    <t>Locally advanced bladder cancer</t>
  </si>
  <si>
    <t xml:space="preserve"> + Chemoembolization in Liver cancer that cannot be removed surgically</t>
  </si>
  <si>
    <t xml:space="preserve"> + Lenalidomide + Cyclophospharride in State IV Eye Melanoma</t>
  </si>
  <si>
    <t>Advanced breast cancer</t>
  </si>
  <si>
    <t>Relapsed multiple Myeloma</t>
  </si>
  <si>
    <t>Advanced Malignant Pleural mesothelioma</t>
  </si>
  <si>
    <t>Brain metastases caused by RCC or Melanoma</t>
  </si>
  <si>
    <t>Thyroid cancer that did not respond to Iodine I 131 and cannot be removed surgically</t>
  </si>
  <si>
    <t>Metastic cervical cancer, unresectable, locally advanced</t>
  </si>
  <si>
    <t>Metastic recurrent ovarian epithelieal, fallopian tube, or peritoneal cancer</t>
  </si>
  <si>
    <t>Relapsed or refracotry diffuse or mediastinal large B-Cell lymphoma</t>
  </si>
  <si>
    <t>Metastic pancreatic cancer that progressed after 1st line therapy with Gemcitabine</t>
  </si>
  <si>
    <t>Panzem NCD +/- Sutent in metastic RCC</t>
  </si>
  <si>
    <t xml:space="preserve"> + Tamoxifen + Cisplatin in high risk Ocular melanoma</t>
  </si>
  <si>
    <t>Relapsed or refractory chronic Lymphocytic Leukemia or small LL</t>
  </si>
  <si>
    <t xml:space="preserve"> + Docetaxel and Prednisone in Prostate cancer</t>
  </si>
  <si>
    <t>Phase III vs Sorafenib in RCC removed by surgery</t>
  </si>
  <si>
    <t>In metastic Gastric cancer</t>
  </si>
  <si>
    <t xml:space="preserve"> + Erlotinib in unresectable or metastic RCC</t>
  </si>
  <si>
    <t xml:space="preserve"> + Gemcitabine in pancreatic and other solid tumors</t>
  </si>
  <si>
    <t xml:space="preserve"> + combination chemo before surgery, stage II and III breast cancer</t>
  </si>
  <si>
    <t>Metastic and/or surgically unresectable Hepatocellular</t>
  </si>
  <si>
    <t>Erlotinib +/- Sutent In non small cell lung cancer</t>
  </si>
  <si>
    <t>Idiopathic Myelofibrosis</t>
  </si>
  <si>
    <t>Recurrent malignant Gliomas</t>
  </si>
  <si>
    <t>Recurrent or metastic Endometrial cancer</t>
  </si>
  <si>
    <t>Locally recurrent or metastic Kidney cancer</t>
  </si>
  <si>
    <t>Progressive metastic transitional cell cancer of the  Urothelium</t>
  </si>
  <si>
    <t>Liver cancer that cannot be moved surgically.</t>
  </si>
  <si>
    <t>Recurrent and/or head and neck cancer</t>
  </si>
  <si>
    <t>Kdney Cancer that cannot be removed surgically</t>
  </si>
  <si>
    <t>Unresectable or metastic Kidney Cancer or other advanced Solid tumors.</t>
  </si>
  <si>
    <t>Germ Cell tumors that have relapsed or not responded to treatment</t>
  </si>
  <si>
    <t>Locally advance or metastic non small cell lung cancer. Ongoing</t>
  </si>
  <si>
    <t>International Phase II in Inoperable Liver Cancer</t>
  </si>
  <si>
    <t>Advanced/metastic Gastric Cancer failing Chemotherapy</t>
  </si>
  <si>
    <t>Gortec head and neck Carcinoma</t>
  </si>
  <si>
    <t>Neuroendocrine tumors. Ongoing</t>
  </si>
  <si>
    <t>Avasti-refractory mestatic RCC. Ongoing</t>
  </si>
  <si>
    <t>Suspended in Recurrent or persistent Leiomyoxarcoma of the Uterus</t>
  </si>
  <si>
    <t>Suspended Phase I in Refractory solid tumors</t>
  </si>
  <si>
    <t>Suspended SABRE- studies due to combination toxicity with Avastin.</t>
  </si>
  <si>
    <t>Phase I in GIST</t>
  </si>
  <si>
    <t>Phase I and II in Melanoma</t>
  </si>
  <si>
    <t>Phase I + Avastin in RCC - Published in JCO 2009</t>
  </si>
  <si>
    <t>Too toxic to use in combination with Avastin. High degree of HTN, vascular and hematologic toxicities.</t>
  </si>
  <si>
    <t>US Rx</t>
  </si>
  <si>
    <t>US Rx/Patient</t>
  </si>
  <si>
    <t>US Patients</t>
  </si>
  <si>
    <t>US Cum. Patients</t>
  </si>
  <si>
    <t>% of US Smokers</t>
  </si>
  <si>
    <t>US Smokers</t>
  </si>
  <si>
    <t>Annual Quit Attempts</t>
  </si>
  <si>
    <t>% using drugs</t>
  </si>
  <si>
    <t>US Price</t>
  </si>
  <si>
    <t>WW Revenue</t>
  </si>
  <si>
    <t>US Revenue</t>
  </si>
  <si>
    <t>EU Revenue</t>
  </si>
  <si>
    <t>US</t>
  </si>
  <si>
    <t>Ex-US</t>
  </si>
  <si>
    <t>linezolid</t>
  </si>
  <si>
    <t>FDA safety alert on 3/16/2007</t>
  </si>
  <si>
    <t>Clinical Study in Catheter-Related Bloodstream Infections</t>
  </si>
  <si>
    <t>showed higher chance of death vs comparators</t>
  </si>
  <si>
    <t xml:space="preserve">  ROW</t>
  </si>
  <si>
    <t>Selzentry</t>
  </si>
  <si>
    <t>maraviroc</t>
  </si>
  <si>
    <t>Treatment-experienced HIV.</t>
  </si>
  <si>
    <t>CCR-5 inhibitor.</t>
  </si>
  <si>
    <t>GSK aplaviroc discontinued due to hepatotoxicity. SGP vicriviroc has resistance issues?. INCY program. Isentress, Fuzeon, Panacos</t>
  </si>
  <si>
    <t>Cancer, CV and infection concerns. Black box warning regarding hepatotoxicity.</t>
  </si>
  <si>
    <t xml:space="preserve">Poor efficacy at trough serum levels? Requires tropism testing. </t>
  </si>
  <si>
    <t>$29/day, roughly $10,500/year.</t>
  </si>
  <si>
    <t>NDA submitted December 2006. Advisory committee 4/24/2007. Approvable 6/20/2007. Approved 7/2007. Launch mid-9/2007.</t>
  </si>
  <si>
    <t>MOTIVATE -1, -2 - Treatment-Experienced - Presented at CROI 2007</t>
  </si>
  <si>
    <t>n=1050 randomized to receive OBT with placebo or maraviroc 150mg qd or bid.</t>
  </si>
  <si>
    <t>-1.83 and 1.95 log vs 1.03 for placebo.</t>
  </si>
  <si>
    <t>Liver-related AE common. QT prolongation in PC. CXCR4 tropism shift. Increase in candidiasis &amp; herpes.</t>
  </si>
  <si>
    <t>Phase III Treatment-Naïve</t>
  </si>
  <si>
    <t>Combination with Combivir.</t>
  </si>
  <si>
    <t>n=500 treatment-naïve.</t>
  </si>
  <si>
    <t>Phase II Rheumatoid Arthritis</t>
  </si>
  <si>
    <t>n=130</t>
  </si>
  <si>
    <t>PF868554</t>
  </si>
  <si>
    <t>filibuvir</t>
  </si>
  <si>
    <t>Phase II 8-day study</t>
  </si>
  <si>
    <t>n=6 per cohort: 100mg, 300mg or 450mg BID or 300mg TID</t>
  </si>
  <si>
    <t>These cohorts resulted in 0.97log 1.84log 1.74log and 2.13log reductions.</t>
  </si>
  <si>
    <t>http://www.natap.org/2009/EASL/EASL_34.htm</t>
  </si>
  <si>
    <t>Aricept</t>
  </si>
  <si>
    <t>tofacitinib, fka tasocitinib</t>
  </si>
  <si>
    <t>JAK-3 Inhibitor. Janus kinase 3.</t>
  </si>
  <si>
    <t>The Novel JAK-3 Inhibitor CP-690550 is a potent immunosuppressive agent in various murine models. Kudlacz et al. Am J of Transplantation 2004;4:51-57.</t>
  </si>
  <si>
    <t>INCY</t>
  </si>
  <si>
    <t>100% but licensed Japan to Takeda 2/3/11.</t>
  </si>
  <si>
    <t>Phase IIB - ACR 2008 - 28-week data</t>
  </si>
  <si>
    <t>EULAR 2008 update?</t>
  </si>
  <si>
    <t>Anemia, neutropenia, liver enzyme elevation, creatinine elevations.</t>
  </si>
  <si>
    <t>PF04383119</t>
  </si>
  <si>
    <t>Acquired from Rinat.</t>
  </si>
  <si>
    <t>Anti-NGF antibody</t>
  </si>
  <si>
    <t>REGN</t>
  </si>
  <si>
    <t>Phase III n=2500 CLBP</t>
  </si>
  <si>
    <t>Phase II Osteoarthritis n=450 16-week</t>
  </si>
  <si>
    <t>Side effects include parathesia, hypothesia, joint/extremity pain, peripheral edema.</t>
  </si>
  <si>
    <t>S.S declines in pain versus placebo. ~50% decline in pain score from baseline vs 20% for placebo.</t>
  </si>
  <si>
    <t>PEARL</t>
  </si>
  <si>
    <t>BMS-562247</t>
  </si>
  <si>
    <t>apixaban</t>
  </si>
  <si>
    <t>Prevention of VTE.</t>
  </si>
  <si>
    <t>Inhibits coagulation factor Xa</t>
  </si>
  <si>
    <t>warfarin, JNJ/BAY's rivaroxaban, Lovenox</t>
  </si>
  <si>
    <t xml:space="preserve">BMY partnership. Upfront payment of $250 million by Pfizer to BMS. Pfizer will fund 60% of all planned development costs effective January 1, 2007, </t>
  </si>
  <si>
    <t xml:space="preserve">and BMS will fund the remainder. BMS may also receive additional payments of as much as $750 million based on development and regulatory milestones. </t>
  </si>
  <si>
    <t>The companies will jointly develop the clinical and marketing strategy of apixaban, and will share commercialization expenses and profits/losses equally on a global basis.</t>
  </si>
  <si>
    <t>Discovered by BMS</t>
  </si>
  <si>
    <t>Longer PK, no food effects, less drug/drug interactions.</t>
  </si>
  <si>
    <t>Completed Phase III in Total Knee Replacement Surgery</t>
  </si>
  <si>
    <t>Phase III VTE prevention in orthopedic surgery, n = 3058</t>
  </si>
  <si>
    <t>ADVANCE-1: comparison vs Lovenox in knee replacement - FAILED</t>
  </si>
  <si>
    <t>ADVANCE-2: comparison vs Lovenox in knee replacement, n = 3058. still recruiting, began 11/06</t>
  </si>
  <si>
    <t>SS reduction in events with 2.5mg vs 40mg qd of Lovenox. HR=0.62, 3.5% bleeding vs 4.8% with Lovenox.</t>
  </si>
  <si>
    <t>ADVANCE-3: comparison vs Lovenox in hip replacement, n = 4022. still recruiting, began 03/07</t>
  </si>
  <si>
    <t>Phase III (ARISTOTLE???) vs warfarin in nonvalvular atrial fibrillation, n = 15000</t>
  </si>
  <si>
    <t>Prevent stoke and systemic embolism</t>
  </si>
  <si>
    <t>Still recruiting, began 12/06</t>
  </si>
  <si>
    <t>Phase III  prevent strokes and systemic embolisms in Atrial Fibrillation Patients, n= 5600</t>
  </si>
  <si>
    <t>5mg BID vs Acetylsalicylic Acid (81 - 324mg QD)</t>
  </si>
  <si>
    <t>Atrial Fibrillation Patients 50y and above who have failed or unsuitable for Vitamin K Antagonist</t>
  </si>
  <si>
    <t>Still recruiting, began 08/07</t>
  </si>
  <si>
    <t>Phase II in metastatic cancer to reduce increased risk for VTE, n = 160</t>
  </si>
  <si>
    <t>Placebo controlled</t>
  </si>
  <si>
    <t>Still recruiting, began 6/06</t>
  </si>
  <si>
    <t>Phase II in DVT following Knee Replacement Surgery, n = 6524</t>
  </si>
  <si>
    <t>vs. Lovenox</t>
  </si>
  <si>
    <t>Still recruiging, began 06/07</t>
  </si>
  <si>
    <t>Phase II 12-week in DVT, n=520</t>
  </si>
  <si>
    <t>3 doses 5mg BID, 10mg BID, and 20mg once daily vs. low molecular weight heparin or fondaparinux and vitamin K.</t>
  </si>
  <si>
    <t>Ongoing, began 11/05</t>
  </si>
  <si>
    <t>Phase III ARISTOTLE in atrial fibrillation</t>
  </si>
  <si>
    <t>Phase III ADOPT in AMI</t>
  </si>
  <si>
    <t>Phase III AVERROES n=5600 vs Aspirin in Afib patients intolerant to warfarin NEJM 2011</t>
  </si>
  <si>
    <t>Stopped early 6/2010 due to benefit.</t>
  </si>
  <si>
    <t>1.6% events versus 3.7% events for aspirin.</t>
  </si>
  <si>
    <t>1.4% bleeding versus 1.2% for aspirin.</t>
  </si>
  <si>
    <t xml:space="preserve">Phase II in recent ACS, +/- placebo, n = 1800 </t>
  </si>
  <si>
    <t>Still recruiting, began 04/06</t>
  </si>
  <si>
    <t>Pharmacia</t>
  </si>
  <si>
    <t>Esperion</t>
  </si>
  <si>
    <t>Vicuron</t>
  </si>
  <si>
    <t>Master Pipeline</t>
  </si>
  <si>
    <t>GAD</t>
  </si>
  <si>
    <t>Alpha-2-delta</t>
  </si>
  <si>
    <t>Lexapro</t>
  </si>
  <si>
    <t>Fibromyalgia</t>
  </si>
  <si>
    <t>NRI</t>
  </si>
  <si>
    <t>Droxidopa</t>
  </si>
  <si>
    <t>Disclosed 11/30/2006</t>
  </si>
  <si>
    <t>SSRI</t>
  </si>
  <si>
    <t>liposomal cancer</t>
  </si>
  <si>
    <t>NEOL</t>
  </si>
  <si>
    <t>IGF inhibitor</t>
  </si>
  <si>
    <t>Obesity</t>
  </si>
  <si>
    <t>CB1</t>
  </si>
  <si>
    <t>Cholecystokinin 1 Receptor</t>
  </si>
  <si>
    <t>Atherosclerosis</t>
  </si>
  <si>
    <t>CETP</t>
  </si>
  <si>
    <t>Hypertension</t>
  </si>
  <si>
    <t>Alopecia</t>
  </si>
  <si>
    <t>GERD</t>
  </si>
  <si>
    <t>Motilin Receptor Antagonist</t>
  </si>
  <si>
    <t>GERD? Aging</t>
  </si>
  <si>
    <t>GH secretagogue</t>
  </si>
  <si>
    <t>GERD?</t>
  </si>
  <si>
    <t>Antibacterial</t>
  </si>
  <si>
    <t>Seasonal Flu Vaccine</t>
  </si>
  <si>
    <t>Anxiety</t>
  </si>
  <si>
    <t>CRF1</t>
  </si>
  <si>
    <t>CHK1 inhibitor</t>
  </si>
  <si>
    <t>Aurora 2</t>
  </si>
  <si>
    <t>FAK</t>
  </si>
  <si>
    <t>TSP1</t>
  </si>
  <si>
    <t>VEGF Kinase</t>
  </si>
  <si>
    <t>P-Cadhedrin Antibody</t>
  </si>
  <si>
    <t>CMET</t>
  </si>
  <si>
    <t>Thrombosis</t>
  </si>
  <si>
    <t>TAFI Inhibitor</t>
  </si>
  <si>
    <t>HSP90</t>
  </si>
  <si>
    <t>CD40</t>
  </si>
  <si>
    <t>A4B2 Nicotinic</t>
  </si>
  <si>
    <t>GLY</t>
  </si>
  <si>
    <t>PDE9</t>
  </si>
  <si>
    <t>Pain/ED</t>
  </si>
  <si>
    <t>D3 agonist</t>
  </si>
  <si>
    <t>5-LO inhibitor</t>
  </si>
  <si>
    <t>CCR2</t>
  </si>
  <si>
    <t>RNAi</t>
  </si>
  <si>
    <t>tremilmumab</t>
  </si>
  <si>
    <t>Kinase Inhibitor</t>
  </si>
  <si>
    <t>PARP</t>
  </si>
  <si>
    <t>RAGE</t>
  </si>
  <si>
    <t>5HT1B/D</t>
  </si>
  <si>
    <t>Insoma</t>
  </si>
  <si>
    <t>Alpha2Delta</t>
  </si>
  <si>
    <t>PF-4360365</t>
  </si>
  <si>
    <t>Abeta AB</t>
  </si>
  <si>
    <t>Rinat</t>
  </si>
  <si>
    <t>LUTS</t>
  </si>
  <si>
    <t>D2/5HT1A</t>
  </si>
  <si>
    <t>ADHD/Tourette's</t>
  </si>
  <si>
    <t>Liver Fibrosis</t>
  </si>
  <si>
    <t>Caspase Inhibitor</t>
  </si>
  <si>
    <t>Excessive Sebum</t>
  </si>
  <si>
    <t>Short Stature</t>
  </si>
  <si>
    <t>Bone Healing</t>
  </si>
  <si>
    <t>Beta Agonist</t>
  </si>
  <si>
    <t>NNRTI</t>
  </si>
  <si>
    <t>Patent</t>
  </si>
  <si>
    <t>Title</t>
  </si>
  <si>
    <t>Relevance</t>
  </si>
  <si>
    <t>Bifunctional cytotoxic agents containing the CTI pharmacophore</t>
  </si>
  <si>
    <t>Anti-ROBO2 antibodies, compositions, methods and uses thereof</t>
  </si>
  <si>
    <t>Cysteine engineered antibody drug conjugates</t>
  </si>
  <si>
    <t>Anti-AVB8 antibodies and compositions and uses thereof</t>
  </si>
  <si>
    <t>Nitrile-containing antiviral compounds</t>
  </si>
  <si>
    <t>coronavirus</t>
  </si>
  <si>
    <t>Toll-like receptor agonists</t>
  </si>
  <si>
    <t>Site-specific integration</t>
  </si>
  <si>
    <t>with Lonza</t>
  </si>
  <si>
    <t>Crystalline 2-amino-2-(hydroxymethyl)propane-1,3-diol salt of 4-(4-(1-isopropyl-7-OXO-1,4,6,7-tetrahydrospiro[indazole-5,4'-piperidine]- -1'-carbonyl)-6-methoxypryridin-2-YL)benzoic acid</t>
  </si>
  <si>
    <t>ACC inhibitor</t>
  </si>
  <si>
    <t>Chimeric antigen receptors targeting B-cell maturation antigen</t>
  </si>
  <si>
    <t>BCMA</t>
  </si>
  <si>
    <t>Imidazo[4,5-C]quinoline derivatives as LRRK2 inhibitors</t>
  </si>
  <si>
    <t>LRRK2</t>
  </si>
  <si>
    <t>Q415</t>
  </si>
  <si>
    <t>Q115</t>
  </si>
  <si>
    <t>Q215</t>
  </si>
  <si>
    <t>Q315</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</si>
  <si>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</si>
  <si>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</si>
  <si>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</si>
  <si>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</si>
  <si>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</si>
  <si>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</si>
  <si>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</si>
  <si>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</si>
  <si>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</si>
  <si>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</si>
  <si>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</si>
  <si>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</si>
  <si>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</si>
  <si>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</si>
  <si>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</si>
  <si>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</si>
  <si>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</si>
  <si>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</si>
  <si>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</si>
  <si>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</si>
  <si>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</si>
  <si>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</si>
  <si>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</si>
  <si>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</si>
  <si>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</si>
  <si>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</si>
  <si>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</si>
  <si>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</si>
  <si>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Comirnaty</t>
  </si>
  <si>
    <t>Paxlovid</t>
  </si>
  <si>
    <t>Ibrance</t>
  </si>
  <si>
    <t>Vyndaqel</t>
  </si>
  <si>
    <t>Xtandi</t>
  </si>
  <si>
    <t>Nimenrix</t>
  </si>
  <si>
    <t>FSME</t>
  </si>
  <si>
    <t>Other Vaccines</t>
  </si>
  <si>
    <t>Immunoglobulin</t>
  </si>
  <si>
    <t>Zavicefta</t>
  </si>
  <si>
    <t>Hospital</t>
  </si>
  <si>
    <t>Zirabev</t>
  </si>
  <si>
    <t>Bosulif</t>
  </si>
  <si>
    <t>Ruxience</t>
  </si>
  <si>
    <t>Retacrit</t>
  </si>
  <si>
    <t>Lorbrena</t>
  </si>
  <si>
    <t>Bavencio</t>
  </si>
  <si>
    <t>Trazimera</t>
  </si>
  <si>
    <t>Besponsa</t>
  </si>
  <si>
    <t>Braftovi</t>
  </si>
  <si>
    <t>Mektovi</t>
  </si>
  <si>
    <t>Refacto/Xyntha</t>
  </si>
  <si>
    <t>Other Rare</t>
  </si>
  <si>
    <t>Inflectra</t>
  </si>
  <si>
    <t>Other Immunology</t>
  </si>
  <si>
    <t>CentreOne</t>
  </si>
  <si>
    <t>Genotropin</t>
  </si>
  <si>
    <t>DR</t>
  </si>
  <si>
    <t>Trumenba</t>
  </si>
  <si>
    <t>Precedex</t>
  </si>
  <si>
    <t>TTI-622</t>
  </si>
  <si>
    <t>CD47/SIRPalpha</t>
  </si>
  <si>
    <t>DLBCL</t>
  </si>
  <si>
    <t>Approval</t>
  </si>
  <si>
    <t>macrolide</t>
  </si>
  <si>
    <t>175m</t>
  </si>
  <si>
    <t>GABA delta ligand</t>
  </si>
  <si>
    <t>300m</t>
  </si>
  <si>
    <t>CEO: Albert Bourla</t>
  </si>
  <si>
    <t>Q123</t>
  </si>
  <si>
    <t>Q223</t>
  </si>
  <si>
    <t>Q323</t>
  </si>
  <si>
    <t>Q423</t>
  </si>
  <si>
    <t>BeneFIX</t>
  </si>
  <si>
    <t>CC y/y</t>
  </si>
  <si>
    <t>Brand</t>
  </si>
  <si>
    <t>Generic</t>
  </si>
  <si>
    <t>MOA</t>
  </si>
  <si>
    <t>242m in 2003, 260m</t>
  </si>
  <si>
    <t>COVID-19</t>
  </si>
  <si>
    <t>mRNA vaccine</t>
  </si>
  <si>
    <t>BNTX</t>
  </si>
  <si>
    <t>MRNA dispute</t>
  </si>
  <si>
    <t>Approved ex-US only</t>
  </si>
  <si>
    <t>bazedoxifene</t>
  </si>
  <si>
    <t>bivalent mRNA vaccine</t>
  </si>
  <si>
    <t>enhanced mRNA vaccine</t>
  </si>
  <si>
    <t>Troxyca ER (ALO-02)</t>
  </si>
  <si>
    <t>Antiviral</t>
  </si>
  <si>
    <t>modRNA vaccine</t>
  </si>
  <si>
    <t>Influenza</t>
  </si>
  <si>
    <t>GLP-1</t>
  </si>
  <si>
    <t>anti-IFN-beta</t>
  </si>
  <si>
    <t>etrasimod</t>
  </si>
  <si>
    <t>ReViral</t>
  </si>
  <si>
    <t>Amplyx</t>
  </si>
  <si>
    <t>TNF-alpha soluble receptor</t>
  </si>
  <si>
    <t>BioNTech 50% gross profit split</t>
  </si>
  <si>
    <t>Phase II/III third 3ug dose in children 6 months to 5 years</t>
  </si>
  <si>
    <t>palbociclib</t>
  </si>
  <si>
    <t>CDK4/6 inhibitor</t>
  </si>
  <si>
    <t>Ibrance (palbociclib)</t>
  </si>
  <si>
    <t>mBC</t>
  </si>
  <si>
    <t>Ibrance, fka PF-0332991</t>
  </si>
  <si>
    <t>Paxlovid (nirmatrelvir)</t>
  </si>
  <si>
    <t>S1P</t>
  </si>
  <si>
    <t>Besponsa (inotuzumab ozogamicin)</t>
  </si>
  <si>
    <t>CD22 ADC</t>
  </si>
  <si>
    <t xml:space="preserve">Steglatro (ertugliflozin), fka PF-04971729 </t>
  </si>
  <si>
    <t>Trumenba (PF-05212366/MnB rLP2086)</t>
  </si>
  <si>
    <t>Trazimera (PF-05280014)</t>
  </si>
  <si>
    <t>Divested to Takeda</t>
  </si>
  <si>
    <t>PF-00547659 (ontamalimab)</t>
  </si>
  <si>
    <t>Daurismo (glasdegib), PF-04449913</t>
  </si>
  <si>
    <t>Zirabev (PF-06439535)</t>
  </si>
  <si>
    <t>Regulatory</t>
  </si>
  <si>
    <t>EUA 12/2021, international Late 2021/Early 2022</t>
  </si>
  <si>
    <t>LOE</t>
  </si>
  <si>
    <t>Bivalent Omicron BA.1+current</t>
  </si>
  <si>
    <t>Phase III vs current</t>
  </si>
  <si>
    <t>Monovalent Omicron 30ug, 60ug</t>
  </si>
  <si>
    <t xml:space="preserve">  9.1x and 10.9x </t>
  </si>
  <si>
    <t xml:space="preserve">  13.5x and 19.6x GMT increase</t>
  </si>
  <si>
    <t>BNT162b5: Enhanced mRNA-based vaccine 30ug</t>
  </si>
  <si>
    <t>wild-type and Omicron, enhanced spike protein</t>
  </si>
  <si>
    <t>5/2022: EUA granted for 5-11yo booster dose (10ug 5 months after 2nd 10ug dose)</t>
  </si>
  <si>
    <t>6/2022: EUA for 3-3ug dose series for 6mo-4yo</t>
  </si>
  <si>
    <t>axitinib</t>
  </si>
  <si>
    <t>Inylta, fka AG-013736</t>
  </si>
  <si>
    <t>OS 53.9mo vs. 51.2mo - p=NS</t>
  </si>
  <si>
    <t>PFS met</t>
  </si>
  <si>
    <t>Phase III "PALOMA-2" 1L ER+HER2- mBC combination with letrozole vs. letrozole</t>
  </si>
  <si>
    <t>Myfembree (relugolix, estradiol, norethindrone)</t>
  </si>
  <si>
    <t>MYOV</t>
  </si>
  <si>
    <t>Endometriosis, UF</t>
  </si>
  <si>
    <t>GNRH?</t>
  </si>
  <si>
    <t>Myfembree</t>
  </si>
  <si>
    <t>relugolix, estradiol, norethindrone</t>
  </si>
  <si>
    <t>Myovant</t>
  </si>
  <si>
    <t>Indications</t>
  </si>
  <si>
    <t>Uterine Fibroids, Endometriosis</t>
  </si>
  <si>
    <t>Phase III LIBERTY</t>
  </si>
  <si>
    <t>Phase III SPIRIT 1, SPIRIT 2</t>
  </si>
  <si>
    <t>75% reduction in dysmenorrhea vs 27-30% at week 24</t>
  </si>
  <si>
    <t>Paxlovid, fka PF-07321332</t>
  </si>
  <si>
    <t>nirmatrelvir, ritonavir</t>
  </si>
  <si>
    <t>PE of self-reported alleviations of symptoms for 4 consecutive days</t>
  </si>
  <si>
    <t>Filed high-risk NDA</t>
  </si>
  <si>
    <t>elranatamab</t>
  </si>
  <si>
    <t>Multiple Myeloma</t>
  </si>
  <si>
    <t>BCMA/CD3</t>
  </si>
  <si>
    <t>CC1=C(C(=O)N(C2=NC(=NC=C12)NC3=NC=C(C=C3)N4CCNCC4)C5CCCC5)C(=O)C</t>
  </si>
  <si>
    <t>SMILES</t>
  </si>
  <si>
    <t>AHJRHEGDXFFMBM-UHFFFAOYSA-N</t>
  </si>
  <si>
    <t>InChI</t>
  </si>
  <si>
    <t>Molecule</t>
  </si>
  <si>
    <t>C24H29N7O2, MW=447.5, LogP=1.8, HBD=2, HBA=8, RB=5, TPSA=103</t>
  </si>
  <si>
    <t>PF-06863135</t>
  </si>
  <si>
    <t>BCMA/CD3 mab</t>
  </si>
  <si>
    <t>Phase II "MagnetisMM-3"</t>
  </si>
  <si>
    <t>60.6% ORR</t>
  </si>
  <si>
    <t>Xeljanz, fka CP-690550</t>
  </si>
  <si>
    <t>Acquired Arena</t>
  </si>
  <si>
    <t>Filing</t>
  </si>
  <si>
    <t>Phase III "ELEVATE UC 52"</t>
  </si>
  <si>
    <t>27% remission vs. 7.4% at week 12</t>
  </si>
  <si>
    <t>32% remission vs. 6.7% at week 52</t>
  </si>
  <si>
    <t>Phase III "ELEVATE UC 12"</t>
  </si>
  <si>
    <t>24.8% remission vs. 15.2% p=0.0264</t>
  </si>
  <si>
    <t>Filing 2022</t>
  </si>
  <si>
    <t>clesacostat (PF-05221304)</t>
  </si>
  <si>
    <t>ervogastat (PF-06865571)</t>
  </si>
  <si>
    <t>NASH</t>
  </si>
  <si>
    <t>acetyl-CoA carboxylase</t>
  </si>
  <si>
    <t>DGAT2</t>
  </si>
  <si>
    <t>Biohaven: 11.6B</t>
  </si>
  <si>
    <t>sisunatovir</t>
  </si>
  <si>
    <t>RSV</t>
  </si>
  <si>
    <t>100% (ReViral)</t>
  </si>
  <si>
    <t>Fusion inhibitor</t>
  </si>
  <si>
    <t>Priovant (brepocitinib, ropsacitinib)</t>
  </si>
  <si>
    <t>VLA15</t>
  </si>
  <si>
    <t>Lyme vaccine</t>
  </si>
  <si>
    <t>VALN</t>
  </si>
  <si>
    <t>Haleon (HLN) - 32% ownership</t>
  </si>
  <si>
    <t>International FY ends 11/30</t>
  </si>
  <si>
    <t>BEAM</t>
  </si>
  <si>
    <t>Base Editor</t>
  </si>
  <si>
    <t>Liver, Muscle, CNS RD</t>
  </si>
  <si>
    <t>PC</t>
  </si>
  <si>
    <t>ARV-471</t>
  </si>
  <si>
    <t>ARVN</t>
  </si>
  <si>
    <t>ER PROTAC</t>
  </si>
  <si>
    <t>7/28/22: Q222 results</t>
  </si>
  <si>
    <t>CFO: David Denton replaced Frank D'Amelio, who retired.</t>
  </si>
  <si>
    <t>Pneumococcal Disease. Adults vs pediatric.</t>
  </si>
  <si>
    <t>Shingles</t>
  </si>
  <si>
    <t>Q422 PDUFA</t>
  </si>
  <si>
    <t>TNFalpha</t>
  </si>
  <si>
    <t>Abrilada (adalimumab, PF-06410293)</t>
  </si>
  <si>
    <t>lorlatinib</t>
  </si>
  <si>
    <t>ALK+ NSCLC</t>
  </si>
  <si>
    <t>Phase III "CROWN" 1L vs. Xalkori ALK+ NSCLC</t>
  </si>
  <si>
    <t>64% DFS vs. 19% after 3 years</t>
  </si>
  <si>
    <t>Divested to VTRS</t>
  </si>
  <si>
    <t>Lorbrena/Lorviqua (lorlatinib)</t>
  </si>
  <si>
    <t>Lorbrena, Lorviqua in EU, fka PF-06463922</t>
  </si>
  <si>
    <t>4/2022 sNDA notice on endometriosis deficiencies</t>
  </si>
  <si>
    <t>Ngenla (somatrogon)</t>
  </si>
  <si>
    <t>OPK</t>
  </si>
  <si>
    <t>qw SC</t>
  </si>
  <si>
    <t>rHGH</t>
  </si>
  <si>
    <t>Phase II/III "EPIC-SR" (standard risk)</t>
  </si>
  <si>
    <t>Phase II/III "EPIC-PEDS" n=140 high-risk</t>
  </si>
  <si>
    <t>PE was not met</t>
  </si>
  <si>
    <t>32% and 37% risk reduction in adults for 5 and 10 day treatment</t>
  </si>
  <si>
    <t>Phase II/III "EPIC-PEP" household contacts</t>
  </si>
  <si>
    <t>China Meheco Group</t>
  </si>
  <si>
    <t>Prevnar, Prevanar-13, Prevanar, Prevenar 20, Prevnar 20, Apexxnar</t>
  </si>
  <si>
    <t>Prevnar 20 approved by EMA 2/2022</t>
  </si>
  <si>
    <t>TicoVac</t>
  </si>
  <si>
    <t>TBE</t>
  </si>
  <si>
    <t>Nurtec/Vydura (rimegepant)</t>
  </si>
  <si>
    <t>CGRP</t>
  </si>
  <si>
    <t>4/2022 EC</t>
  </si>
  <si>
    <t>DMD</t>
  </si>
  <si>
    <t>AAV</t>
  </si>
  <si>
    <t>fordadistrogene movaparvovec</t>
  </si>
  <si>
    <t>Duchenne Muscular Dystrophy</t>
  </si>
  <si>
    <t>Phase III "CIFFREO"</t>
  </si>
  <si>
    <t>Phase Ib</t>
  </si>
  <si>
    <t>giroctocogene fitelparvovec</t>
  </si>
  <si>
    <t>Hemophilia A</t>
  </si>
  <si>
    <t>SGMO</t>
  </si>
  <si>
    <t>giroctocogene fitelpravovec</t>
  </si>
  <si>
    <t>Phase III "AFFINE"</t>
  </si>
  <si>
    <t>Clinical hold due to F8 levels &gt;150%</t>
  </si>
  <si>
    <t>One DVT</t>
  </si>
  <si>
    <t xml:space="preserve">Phase III "CLOVER" </t>
  </si>
  <si>
    <t>did not meet PE preventing CDI</t>
  </si>
  <si>
    <t>Lyme Disease vaccine</t>
  </si>
  <si>
    <t>Valneva partnership</t>
  </si>
  <si>
    <t>Phase II pediatric</t>
  </si>
  <si>
    <t>Phase III - initiating Q322</t>
  </si>
  <si>
    <t>Arena: 6.2B completed 3/11/22</t>
  </si>
  <si>
    <t>Meridian divested ($300m annual revenue) 12/31/21</t>
  </si>
  <si>
    <t>Trillium: 2.0B completed 11/17/21</t>
  </si>
  <si>
    <t>Supply Chain: Mike McDermott</t>
  </si>
  <si>
    <t>Durham, NC gene therapy plant</t>
  </si>
  <si>
    <t>Investments</t>
  </si>
  <si>
    <t>CFFI</t>
  </si>
  <si>
    <t>Haleon</t>
  </si>
  <si>
    <t>CFFF</t>
  </si>
  <si>
    <t>Buyback</t>
  </si>
  <si>
    <t>Dividends</t>
  </si>
  <si>
    <t>Other</t>
  </si>
  <si>
    <t>CIC</t>
  </si>
  <si>
    <t>sasanlimab (PF-06801591)</t>
  </si>
  <si>
    <t>nmiBC</t>
  </si>
  <si>
    <t>Eliquis y/y</t>
  </si>
  <si>
    <t>Ibrance y/y</t>
  </si>
  <si>
    <t>Eucrisa</t>
  </si>
  <si>
    <t>Nurtec ODT/Vydura</t>
  </si>
  <si>
    <t>Oxbryta</t>
  </si>
  <si>
    <t>II - Launch 2023</t>
  </si>
  <si>
    <t>JAK</t>
  </si>
  <si>
    <t>Cibinqo (abrocitinib) fka PF-04965842</t>
  </si>
  <si>
    <t>COVID % of sales</t>
  </si>
  <si>
    <t>Filed? Launch 2023?</t>
  </si>
  <si>
    <t>ritlectinib (PF-06651600)</t>
  </si>
  <si>
    <t>Alopecia, Vitiligo, UC, Crohn's</t>
  </si>
  <si>
    <t>Ulcerative Colitis, AA, Crohn's, AD, EE</t>
  </si>
  <si>
    <t>danuglipron (PF-06882961)</t>
  </si>
  <si>
    <t>BNTX?</t>
  </si>
  <si>
    <t>PD-1 mab (subcut)</t>
  </si>
  <si>
    <t>GBT-601</t>
  </si>
  <si>
    <t>Sickle Cell</t>
  </si>
  <si>
    <t>PF-07220060</t>
  </si>
  <si>
    <t>CDK4i</t>
  </si>
  <si>
    <t>Talzenna (talazoparib)</t>
  </si>
  <si>
    <t>CRPC</t>
  </si>
  <si>
    <t>fidanacogene elaparvovec</t>
  </si>
  <si>
    <t>Hemophilia B</t>
  </si>
  <si>
    <t>RSV (older adults)</t>
  </si>
  <si>
    <t>Q124</t>
  </si>
  <si>
    <t>Q224</t>
  </si>
  <si>
    <t>Q324</t>
  </si>
  <si>
    <t>Q424</t>
  </si>
  <si>
    <t>Q125</t>
  </si>
  <si>
    <t>Q225</t>
  </si>
  <si>
    <t>Q325</t>
  </si>
  <si>
    <t>Q425</t>
  </si>
  <si>
    <t>Padcev</t>
  </si>
  <si>
    <t>Adcetris</t>
  </si>
  <si>
    <t>Abrysvo</t>
  </si>
  <si>
    <t>Abrysvo (PF-06928316)</t>
  </si>
  <si>
    <t>Cibinqo</t>
  </si>
  <si>
    <t>Talzenna</t>
  </si>
  <si>
    <t>Tukysa</t>
  </si>
  <si>
    <t>Tivdak</t>
  </si>
  <si>
    <t>Oncology Biosimilars</t>
  </si>
  <si>
    <t>Bicillin</t>
  </si>
  <si>
    <t>Cresemba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</si>
</sst>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2">
    <numFmt numFmtId="164" formatCode="0.0%"/>
    <numFmt numFmtId="165" formatCode="0.0"/>
    <numFmt numFmtId="166" formatCode="#,##0;\(#,##0\)"/>
    <numFmt numFmtId="167" formatCode="#,##0.0\ ;\(#,##0.0\)"/>
    <numFmt numFmtId="168" formatCode="&quot;$&quot;#,##0.0\ \ \ ;\(&quot;$&quot;#,##0.0\)\ \ "/>
    <numFmt numFmtId="169" formatCode="#,##0.0\ \ \ ;\(#,##0.0\)\ \ "/>
    <numFmt numFmtId="170" formatCode="\¥#,##0.00_);\(\¥#,##0.00\)"/>
    <numFmt numFmtId="171" formatCode="0\A"/>
    <numFmt numFmtId="172" formatCode="_-* #,##0_-;\(#,##0\);_-* &quot;–&quot;_-;_-@_-"/>
    <numFmt numFmtId="173" formatCode="#,##0;\(#,##0\);\–;@"/>
    <numFmt numFmtId="174" formatCode="0.0&quot;  &quot;"/>
    <numFmt numFmtId="175" formatCode="#,##0.0_);\(#,##0.0\)"/>
    <numFmt numFmtId="176" formatCode="&quot;$&quot;_(#,##0.00_);&quot;$&quot;\(#,##0.00\)"/>
    <numFmt numFmtId="177" formatCode="#,##0.0_)\x;\(#,##0.0\)\x"/>
    <numFmt numFmtId="178" formatCode="#,##0.0_)_x;\(#,##0.0\)_x"/>
    <numFmt numFmtId="179" formatCode="0.0_)\%;\(0.0\)\%"/>
    <numFmt numFmtId="180" formatCode="#,##0.0_)_%;\(#,##0.0\)_%"/>
    <numFmt numFmtId="181" formatCode="_-&quot;$&quot;* #,##0.00_-;\-&quot;$&quot;* #,##0.00_-;_-&quot;$&quot;* &quot;-&quot;??_-;_-@_-"/>
    <numFmt numFmtId="182" formatCode="0.00_)"/>
    <numFmt numFmtId="183" formatCode="#,##0.0"/>
    <numFmt numFmtId="184" formatCode="#,##0.000"/>
    <numFmt numFmtId="185" formatCode="0.000"/>
  </numFmts>
  <fonts count="53">
    <font>
      <sz val="10"/>
      <name val="Arial"/>
    </font>
    <font>
      <sz val="10"/>
      <name val="Arial"/>
      <family val="2"/>
    </font>
    <font>
      <u/>
      <sz val="10"/>
      <color indexed="12"/>
      <name val="Arial"/>
      <family val="2"/>
    </font>
    <font>
      <sz val="8"/>
      <name val="Arial"/>
      <family val="2"/>
    </font>
    <font>
      <sz val="10"/>
      <name val="Arial"/>
      <family val="2"/>
    </font>
    <font>
      <sz val="8"/>
      <color indexed="81"/>
      <name val="Tahoma"/>
      <family val="2"/>
    </font>
    <font>
      <b/>
      <sz val="8"/>
      <color indexed="81"/>
      <name val="Tahoma"/>
      <family val="2"/>
    </font>
    <font>
      <b/>
      <sz val="10"/>
      <name val="Arial"/>
      <family val="2"/>
    </font>
    <font>
      <u/>
      <sz val="10"/>
      <name val="Arial"/>
      <family val="2"/>
    </font>
    <font>
      <sz val="9"/>
      <name val="Arial"/>
      <family val="2"/>
    </font>
    <font>
      <sz val="9"/>
      <color indexed="8"/>
      <name val="Times New Roman"/>
      <family val="1"/>
    </font>
    <font>
      <b/>
      <sz val="10"/>
      <color indexed="8"/>
      <name val="Times New Roman"/>
      <family val="1"/>
    </font>
    <font>
      <b/>
      <sz val="9"/>
      <color indexed="8"/>
      <name val="Helvetica 65"/>
    </font>
    <font>
      <sz val="7"/>
      <color indexed="8"/>
      <name val="Helvetica 45"/>
      <family val="2"/>
    </font>
    <font>
      <sz val="7"/>
      <color indexed="8"/>
      <name val="Helvetica 65"/>
      <family val="2"/>
    </font>
    <font>
      <sz val="6"/>
      <color indexed="8"/>
      <name val="Helvetica 65"/>
      <family val="2"/>
    </font>
    <font>
      <sz val="8"/>
      <name val="Arial"/>
      <family val="2"/>
    </font>
    <font>
      <sz val="9"/>
      <color indexed="9"/>
      <name val="Times New Roman"/>
      <family val="1"/>
    </font>
    <font>
      <b/>
      <sz val="24"/>
      <name val="Times New Roman"/>
      <family val="1"/>
    </font>
    <font>
      <sz val="8"/>
      <name val="Helv"/>
    </font>
    <font>
      <sz val="9"/>
      <color indexed="12"/>
      <name val="Times New Roman"/>
      <family val="1"/>
    </font>
    <font>
      <b/>
      <sz val="8.5"/>
      <color indexed="17"/>
      <name val="Arial"/>
      <family val="2"/>
    </font>
    <font>
      <sz val="7"/>
      <name val="Arial"/>
      <family val="2"/>
    </font>
    <font>
      <b/>
      <sz val="7"/>
      <color indexed="17"/>
      <name val="Arial"/>
      <family val="2"/>
    </font>
    <font>
      <sz val="8.5"/>
      <color indexed="8"/>
      <name val="Arial"/>
      <family val="2"/>
    </font>
    <font>
      <b/>
      <sz val="12"/>
      <name val="Arial"/>
      <family val="2"/>
    </font>
    <font>
      <sz val="10"/>
      <color indexed="10"/>
      <name val="Times New Roman"/>
      <family val="1"/>
    </font>
    <font>
      <sz val="10"/>
      <name val="MS Sans Serif"/>
      <family val="2"/>
    </font>
    <font>
      <b/>
      <sz val="14"/>
      <name val="Arial"/>
      <family val="2"/>
    </font>
    <font>
      <b/>
      <sz val="9"/>
      <color indexed="8"/>
      <name val="Helvetica 65"/>
      <family val="2"/>
    </font>
    <font>
      <sz val="9"/>
      <color indexed="8"/>
      <name val="Helvetica 45"/>
      <family val="2"/>
    </font>
    <font>
      <b/>
      <sz val="8"/>
      <color indexed="8"/>
      <name val="Helvetica 65"/>
    </font>
    <font>
      <sz val="8"/>
      <name val="Helvetica 65"/>
      <family val="2"/>
    </font>
    <font>
      <b/>
      <sz val="14"/>
      <name val="Times New Roman"/>
      <family val="1"/>
    </font>
    <font>
      <sz val="12"/>
      <name val="Helvetica"/>
      <family val="2"/>
    </font>
    <font>
      <b/>
      <sz val="8"/>
      <name val="HelveticaNeue Condensed"/>
    </font>
    <font>
      <sz val="8"/>
      <name val="HelveticaNeue LightCond"/>
      <family val="2"/>
    </font>
    <font>
      <b/>
      <sz val="7"/>
      <name val="HelveticaNeue Condensed"/>
      <family val="2"/>
    </font>
    <font>
      <b/>
      <sz val="9"/>
      <name val="Times New Roman"/>
      <family val="1"/>
    </font>
    <font>
      <b/>
      <sz val="11"/>
      <name val="Times New Roman"/>
      <family val="1"/>
    </font>
    <font>
      <b/>
      <sz val="8.5"/>
      <color indexed="8"/>
      <name val="Arial"/>
      <family val="2"/>
    </font>
    <font>
      <b/>
      <sz val="8.5"/>
      <color indexed="17"/>
      <name val="Arial"/>
      <family val="2"/>
    </font>
    <font>
      <sz val="8"/>
      <color indexed="16"/>
      <name val="Helv"/>
    </font>
    <font>
      <b/>
      <sz val="10"/>
      <name val="Times New Roman"/>
      <family val="1"/>
    </font>
    <font>
      <b/>
      <u/>
      <sz val="10"/>
      <name val="Arial"/>
      <family val="2"/>
    </font>
    <font>
      <i/>
      <sz val="10"/>
      <name val="Arial"/>
      <family val="2"/>
    </font>
    <font>
      <i/>
      <sz val="8"/>
      <color indexed="81"/>
      <name val="Tahoma"/>
      <family val="2"/>
    </font>
    <font>
      <b/>
      <sz val="10"/>
      <color indexed="10"/>
      <name val="Arial"/>
      <family val="2"/>
    </font>
    <font>
      <sz val="9"/>
      <color indexed="8"/>
      <name val="Arial"/>
      <family val="2"/>
    </font>
    <font>
      <sz val="9"/>
      <color indexed="81"/>
      <name val="Tahoma"/>
      <family val="2"/>
    </font>
    <font>
      <b/>
      <sz val="9"/>
      <color indexed="81"/>
      <name val="Tahoma"/>
      <family val="2"/>
    </font>
    <font>
      <sz val="10"/>
      <color rgb="FFFF0000"/>
      <name val="Arial"/>
      <family val="2"/>
    </font>
    <font>
      <strike/>
      <sz val="10"/>
      <name val="Arial"/>
      <family val="2"/>
    </font>
  </fonts>
  <fills count="12">
    <fill>
      <patternFill patternType="none"/>
    </fill>
    <fill>
      <patternFill patternType="gray125"/>
    </fill>
    <fill>
      <patternFill patternType="solid">
        <fgColor indexed="10"/>
      </patternFill>
    </fill>
    <fill>
      <patternFill patternType="gray0625">
        <fgColor indexed="10"/>
        <bgColor indexed="9"/>
      </patternFill>
    </fill>
    <fill>
      <patternFill patternType="lightGray">
        <fgColor indexed="14"/>
        <bgColor indexed="9"/>
      </patternFill>
    </fill>
    <fill>
      <patternFill patternType="lightGray">
        <fgColor indexed="12"/>
        <bgColor indexed="9"/>
      </patternFill>
    </fill>
    <fill>
      <patternFill patternType="solid">
        <fgColor indexed="11"/>
        <bgColor indexed="9"/>
      </patternFill>
    </fill>
    <fill>
      <patternFill patternType="lightGray">
        <fgColor indexed="22"/>
        <bgColor indexed="9"/>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s>
  <cellStyleXfs count="61">
    <xf numFmtId="0" fontId="0" fillId="0" borderId="0"/>
    <xf numFmtId="167" fontId="9" fillId="0" borderId="0"/>
    <xf numFmtId="175" fontId="1" fillId="0" borderId="0" applyFont="0" applyFill="0" applyBorder="0" applyAlignment="0" applyProtection="0"/>
    <xf numFmtId="176" fontId="1" fillId="0" borderId="0" applyFont="0" applyFill="0" applyBorder="0" applyAlignment="0" applyProtection="0"/>
    <xf numFmtId="39"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179" fontId="1" fillId="0" borderId="0" applyFont="0" applyFill="0" applyBorder="0" applyAlignment="0" applyProtection="0"/>
    <xf numFmtId="180" fontId="1" fillId="0" borderId="0" applyFont="0" applyFill="0" applyBorder="0" applyAlignment="0" applyProtection="0"/>
    <xf numFmtId="166" fontId="10" fillId="3" borderId="0" applyNumberFormat="0" applyFont="0" applyBorder="0" applyAlignment="0">
      <alignment horizontal="right"/>
    </xf>
    <xf numFmtId="171" fontId="11" fillId="3" borderId="1" applyFont="0">
      <alignment horizontal="right"/>
    </xf>
    <xf numFmtId="0" fontId="3" fillId="0" borderId="0" applyNumberFormat="0" applyFill="0" applyBorder="0" applyAlignment="0" applyProtection="0"/>
    <xf numFmtId="0" fontId="12" fillId="0" borderId="0" applyNumberFormat="0" applyAlignment="0"/>
    <xf numFmtId="0" fontId="13" fillId="0" borderId="0" applyNumberFormat="0" applyAlignment="0"/>
    <xf numFmtId="0" fontId="14" fillId="0" borderId="0" applyNumberFormat="0" applyAlignment="0"/>
    <xf numFmtId="0" fontId="15" fillId="0" borderId="0" applyNumberFormat="0" applyAlignment="0"/>
    <xf numFmtId="0" fontId="16" fillId="0" borderId="2" applyNumberFormat="0" applyFill="0" applyAlignment="0" applyProtection="0"/>
    <xf numFmtId="0" fontId="17" fillId="0" borderId="0" applyNumberFormat="0" applyFill="0" applyBorder="0" applyAlignment="0"/>
    <xf numFmtId="2" fontId="3" fillId="4" borderId="0" applyNumberFormat="0" applyFont="0" applyBorder="0" applyAlignment="0" applyProtection="0"/>
    <xf numFmtId="0" fontId="18" fillId="0" borderId="0" applyNumberFormat="0" applyFill="0" applyBorder="0">
      <alignment horizontal="right"/>
    </xf>
    <xf numFmtId="168" fontId="19" fillId="0" borderId="0"/>
    <xf numFmtId="0" fontId="20" fillId="0" borderId="3" applyNumberFormat="0" applyBorder="0"/>
    <xf numFmtId="174" fontId="3" fillId="5" borderId="3" applyNumberFormat="0" applyFont="0" applyBorder="0" applyAlignment="0" applyProtection="0">
      <alignment horizontal="right"/>
    </xf>
    <xf numFmtId="1" fontId="3" fillId="0" borderId="0" applyNumberFormat="0" applyBorder="0" applyAlignment="0" applyProtection="0"/>
    <xf numFmtId="172" fontId="21" fillId="0" borderId="0">
      <alignment vertical="center"/>
    </xf>
    <xf numFmtId="49" fontId="22" fillId="0" borderId="0">
      <alignment horizontal="right"/>
    </xf>
    <xf numFmtId="49" fontId="23" fillId="0" borderId="0">
      <alignment horizontal="right"/>
    </xf>
    <xf numFmtId="172" fontId="24" fillId="0" borderId="0">
      <alignment vertical="center"/>
    </xf>
    <xf numFmtId="0" fontId="25" fillId="0" borderId="0"/>
    <xf numFmtId="0" fontId="2" fillId="0" borderId="0" applyNumberFormat="0" applyFill="0" applyBorder="0" applyAlignment="0" applyProtection="0">
      <alignment vertical="top"/>
      <protection locked="0"/>
    </xf>
    <xf numFmtId="1" fontId="26" fillId="0" borderId="0" applyNumberFormat="0">
      <alignment horizontal="right"/>
    </xf>
    <xf numFmtId="0" fontId="27" fillId="6" borderId="0" applyNumberFormat="0" applyFont="0" applyBorder="0" applyAlignment="0" applyProtection="0"/>
    <xf numFmtId="0" fontId="28" fillId="0" borderId="0"/>
    <xf numFmtId="181" fontId="9" fillId="0" borderId="0"/>
    <xf numFmtId="2" fontId="27" fillId="0" borderId="0" applyBorder="0" applyProtection="0"/>
    <xf numFmtId="0" fontId="48" fillId="0" borderId="0"/>
    <xf numFmtId="169" fontId="19" fillId="0" borderId="0"/>
    <xf numFmtId="0" fontId="29" fillId="0" borderId="0" applyNumberFormat="0" applyAlignment="0"/>
    <xf numFmtId="0" fontId="30" fillId="0" borderId="0" applyNumberFormat="0" applyAlignment="0"/>
    <xf numFmtId="0" fontId="31" fillId="0" borderId="0" applyNumberFormat="0" applyAlignment="0"/>
    <xf numFmtId="0" fontId="32" fillId="0" borderId="0"/>
    <xf numFmtId="0" fontId="33" fillId="0" borderId="0" applyNumberFormat="0" applyFill="0" applyBorder="0">
      <alignment horizontal="left"/>
    </xf>
    <xf numFmtId="0" fontId="34" fillId="0" borderId="0"/>
    <xf numFmtId="165" fontId="27" fillId="2" borderId="4" applyNumberFormat="0" applyFont="0" applyBorder="0" applyAlignment="0" applyProtection="0">
      <alignment horizontal="center"/>
    </xf>
    <xf numFmtId="1" fontId="34" fillId="7" borderId="0" applyNumberFormat="0" applyFont="0" applyBorder="0" applyAlignment="0">
      <alignment horizontal="left"/>
    </xf>
    <xf numFmtId="0" fontId="15" fillId="0" borderId="0" applyNumberFormat="0" applyAlignment="0"/>
    <xf numFmtId="0" fontId="1" fillId="0" borderId="0" applyFont="0" applyFill="0" applyBorder="0" applyAlignment="0" applyProtection="0"/>
    <xf numFmtId="173" fontId="35" fillId="0" borderId="0" applyNumberFormat="0" applyFill="0" applyBorder="0" applyAlignment="0" applyProtection="0">
      <alignment horizontal="right" vertical="center" wrapText="1"/>
    </xf>
    <xf numFmtId="0" fontId="36" fillId="0" borderId="0" applyNumberFormat="0" applyFill="0" applyBorder="0" applyAlignment="0" applyProtection="0"/>
    <xf numFmtId="0" fontId="37" fillId="0" borderId="0" applyNumberFormat="0" applyFill="0" applyBorder="0" applyAlignment="0" applyProtection="0">
      <protection locked="0"/>
    </xf>
    <xf numFmtId="0" fontId="38" fillId="0" borderId="3" applyNumberFormat="0" applyFill="0" applyProtection="0">
      <alignment horizontal="right"/>
    </xf>
    <xf numFmtId="0" fontId="38" fillId="0" borderId="5" applyNumberFormat="0" applyProtection="0">
      <alignment horizontal="right"/>
    </xf>
    <xf numFmtId="0" fontId="39" fillId="0" borderId="6" applyNumberFormat="0" applyFill="0" applyProtection="0"/>
    <xf numFmtId="0" fontId="40" fillId="0" borderId="0">
      <alignment vertical="center"/>
    </xf>
    <xf numFmtId="0" fontId="41" fillId="0" borderId="0">
      <alignment vertical="center"/>
    </xf>
    <xf numFmtId="0" fontId="24" fillId="0" borderId="0">
      <alignment vertical="center"/>
    </xf>
    <xf numFmtId="0" fontId="27" fillId="0" borderId="0" applyBorder="0"/>
    <xf numFmtId="167" fontId="42" fillId="0" borderId="0" applyNumberFormat="0"/>
    <xf numFmtId="182" fontId="9" fillId="0" borderId="0"/>
    <xf numFmtId="1" fontId="43" fillId="0" borderId="1" applyFill="0" applyProtection="0">
      <alignment horizontal="right"/>
    </xf>
    <xf numFmtId="170" fontId="16" fillId="0" borderId="0" applyFill="0" applyBorder="0" applyAlignment="0" applyProtection="0"/>
  </cellStyleXfs>
  <cellXfs count="196">
    <xf numFmtId="0" fontId="0" fillId="0" borderId="0" xfId="0"/>
    <xf numFmtId="0" fontId="0" fillId="0" borderId="0" xfId="0"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8" borderId="0" xfId="0" applyFill="1"/>
    <xf numFmtId="0" fontId="7" fillId="8" borderId="0" xfId="0" applyFont="1" applyFill="1"/>
    <xf numFmtId="0" fontId="0" fillId="8" borderId="0" xfId="0" applyFill="1" applyAlignment="1">
      <alignment horizontal="center"/>
    </xf>
    <xf numFmtId="9" fontId="0" fillId="8" borderId="0" xfId="0" applyNumberFormat="1" applyFill="1" applyAlignment="1">
      <alignment horizontal="center"/>
    </xf>
    <xf numFmtId="0" fontId="0" fillId="8" borderId="8" xfId="0" applyFill="1" applyBorder="1" applyAlignment="1">
      <alignment horizontal="center"/>
    </xf>
    <xf numFmtId="0" fontId="4" fillId="8" borderId="0" xfId="0" applyFont="1" applyFill="1"/>
    <xf numFmtId="0" fontId="45" fillId="8" borderId="0" xfId="0" applyFont="1" applyFill="1" applyAlignment="1">
      <alignment horizontal="center"/>
    </xf>
    <xf numFmtId="0" fontId="7" fillId="8" borderId="0" xfId="0" applyFont="1" applyFill="1" applyAlignment="1">
      <alignment horizontal="center"/>
    </xf>
    <xf numFmtId="0" fontId="2" fillId="8" borderId="9" xfId="29" applyFill="1" applyBorder="1" applyAlignment="1" applyProtection="1"/>
    <xf numFmtId="0" fontId="2" fillId="8" borderId="0" xfId="29" applyFill="1" applyAlignment="1" applyProtection="1"/>
    <xf numFmtId="0" fontId="1" fillId="8" borderId="0" xfId="0" applyFont="1" applyFill="1"/>
    <xf numFmtId="0" fontId="8" fillId="8" borderId="0" xfId="0" applyFont="1" applyFill="1"/>
    <xf numFmtId="0" fontId="2" fillId="0" borderId="0" xfId="29" applyAlignment="1" applyProtection="1"/>
    <xf numFmtId="0" fontId="2" fillId="8" borderId="0" xfId="29" applyFill="1" applyBorder="1" applyAlignment="1" applyProtection="1">
      <alignment horizontal="center"/>
    </xf>
    <xf numFmtId="1" fontId="0" fillId="8" borderId="0" xfId="0" applyNumberFormat="1" applyFill="1" applyAlignment="1">
      <alignment horizontal="center"/>
    </xf>
    <xf numFmtId="3" fontId="0" fillId="8" borderId="0" xfId="0" applyNumberFormat="1" applyFill="1" applyAlignment="1">
      <alignment horizontal="center"/>
    </xf>
    <xf numFmtId="3" fontId="0" fillId="8" borderId="0" xfId="0" applyNumberFormat="1" applyFill="1"/>
    <xf numFmtId="14" fontId="0" fillId="8" borderId="0" xfId="0" applyNumberFormat="1" applyFill="1"/>
    <xf numFmtId="0" fontId="44" fillId="8" borderId="0" xfId="0" applyFont="1" applyFill="1"/>
    <xf numFmtId="3" fontId="7" fillId="8" borderId="0" xfId="0" applyNumberFormat="1" applyFont="1" applyFill="1"/>
    <xf numFmtId="3" fontId="7" fillId="8" borderId="0" xfId="0" applyNumberFormat="1" applyFont="1" applyFill="1" applyAlignment="1">
      <alignment horizontal="center"/>
    </xf>
    <xf numFmtId="0" fontId="7" fillId="8" borderId="0" xfId="0" quotePrefix="1" applyFont="1" applyFill="1"/>
    <xf numFmtId="164" fontId="7" fillId="8" borderId="0" xfId="0" applyNumberFormat="1" applyFont="1" applyFill="1" applyAlignment="1">
      <alignment horizontal="center"/>
    </xf>
    <xf numFmtId="0" fontId="7" fillId="8" borderId="9" xfId="0" applyFont="1" applyFill="1" applyBorder="1"/>
    <xf numFmtId="9" fontId="7" fillId="8" borderId="0" xfId="0" applyNumberFormat="1" applyFont="1" applyFill="1" applyAlignment="1">
      <alignment horizontal="center"/>
    </xf>
    <xf numFmtId="0" fontId="7" fillId="8" borderId="8" xfId="0" applyFont="1" applyFill="1" applyBorder="1" applyAlignment="1">
      <alignment horizontal="center"/>
    </xf>
    <xf numFmtId="14" fontId="0" fillId="0" borderId="0" xfId="0" applyNumberFormat="1"/>
    <xf numFmtId="0" fontId="0" fillId="9" borderId="0" xfId="0" applyFill="1"/>
    <xf numFmtId="0" fontId="8" fillId="8" borderId="0" xfId="29" applyFont="1" applyFill="1" applyAlignment="1" applyProtection="1"/>
    <xf numFmtId="0" fontId="7" fillId="9" borderId="0" xfId="0" applyFont="1" applyFill="1"/>
    <xf numFmtId="0" fontId="44" fillId="9" borderId="0" xfId="0" applyFont="1" applyFill="1"/>
    <xf numFmtId="183" fontId="0" fillId="8" borderId="0" xfId="0" applyNumberFormat="1" applyFill="1" applyAlignment="1">
      <alignment horizontal="center"/>
    </xf>
    <xf numFmtId="17" fontId="0" fillId="0" borderId="0" xfId="0" applyNumberFormat="1"/>
    <xf numFmtId="0" fontId="0" fillId="8" borderId="0" xfId="0" applyFill="1" applyAlignment="1">
      <alignment horizontal="right"/>
    </xf>
    <xf numFmtId="0" fontId="44" fillId="0" borderId="0" xfId="0" applyFont="1"/>
    <xf numFmtId="4" fontId="7" fillId="8" borderId="0" xfId="0" applyNumberFormat="1" applyFont="1" applyFill="1"/>
    <xf numFmtId="9" fontId="0" fillId="8" borderId="0" xfId="0" applyNumberFormat="1" applyFill="1" applyAlignment="1">
      <alignment horizontal="right"/>
    </xf>
    <xf numFmtId="0" fontId="7" fillId="10" borderId="9" xfId="0" applyFont="1" applyFill="1" applyBorder="1"/>
    <xf numFmtId="0" fontId="7" fillId="10" borderId="0" xfId="0" applyFont="1" applyFill="1" applyAlignment="1">
      <alignment horizontal="center"/>
    </xf>
    <xf numFmtId="9" fontId="7" fillId="10" borderId="0" xfId="0" applyNumberFormat="1" applyFont="1" applyFill="1" applyAlignment="1">
      <alignment horizontal="center"/>
    </xf>
    <xf numFmtId="3" fontId="0" fillId="8" borderId="0" xfId="0" applyNumberFormat="1" applyFill="1" applyAlignment="1">
      <alignment horizontal="right"/>
    </xf>
    <xf numFmtId="3" fontId="7" fillId="8" borderId="0" xfId="0" applyNumberFormat="1" applyFont="1" applyFill="1" applyAlignment="1">
      <alignment horizontal="right"/>
    </xf>
    <xf numFmtId="0" fontId="4" fillId="8" borderId="0" xfId="0" applyFont="1" applyFill="1" applyAlignment="1">
      <alignment horizontal="right"/>
    </xf>
    <xf numFmtId="1" fontId="0" fillId="8" borderId="0" xfId="0" applyNumberFormat="1" applyFill="1" applyAlignment="1">
      <alignment horizontal="right"/>
    </xf>
    <xf numFmtId="4" fontId="7" fillId="8" borderId="0" xfId="0" applyNumberFormat="1" applyFont="1" applyFill="1" applyAlignment="1">
      <alignment horizontal="right"/>
    </xf>
    <xf numFmtId="164" fontId="0" fillId="8" borderId="0" xfId="0" applyNumberFormat="1" applyFill="1" applyAlignment="1">
      <alignment horizontal="right"/>
    </xf>
    <xf numFmtId="164" fontId="7" fillId="8" borderId="0" xfId="0" applyNumberFormat="1" applyFont="1" applyFill="1" applyAlignment="1">
      <alignment horizontal="right"/>
    </xf>
    <xf numFmtId="165" fontId="0" fillId="8" borderId="0" xfId="0" applyNumberFormat="1" applyFill="1" applyAlignment="1">
      <alignment horizontal="right"/>
    </xf>
    <xf numFmtId="0" fontId="7" fillId="8" borderId="0" xfId="0" applyFont="1" applyFill="1" applyAlignment="1">
      <alignment horizontal="right"/>
    </xf>
    <xf numFmtId="2" fontId="7" fillId="8" borderId="0" xfId="0" applyNumberFormat="1" applyFont="1" applyFill="1" applyAlignment="1">
      <alignment horizontal="right"/>
    </xf>
    <xf numFmtId="2" fontId="47" fillId="8" borderId="0" xfId="0" applyNumberFormat="1" applyFont="1" applyFill="1" applyAlignment="1">
      <alignment horizontal="right"/>
    </xf>
    <xf numFmtId="4" fontId="0" fillId="8" borderId="0" xfId="0" applyNumberFormat="1" applyFill="1" applyAlignment="1">
      <alignment horizontal="right"/>
    </xf>
    <xf numFmtId="9" fontId="7" fillId="8" borderId="0" xfId="0" applyNumberFormat="1" applyFont="1" applyFill="1" applyAlignment="1">
      <alignment horizontal="right"/>
    </xf>
    <xf numFmtId="3" fontId="0" fillId="0" borderId="0" xfId="0" applyNumberFormat="1"/>
    <xf numFmtId="164" fontId="1" fillId="8" borderId="0" xfId="0" applyNumberFormat="1" applyFont="1" applyFill="1" applyAlignment="1">
      <alignment horizontal="right"/>
    </xf>
    <xf numFmtId="0" fontId="1" fillId="8" borderId="0" xfId="0" applyFont="1" applyFill="1" applyAlignment="1">
      <alignment horizontal="center"/>
    </xf>
    <xf numFmtId="0" fontId="1" fillId="8" borderId="9" xfId="0" applyFont="1" applyFill="1" applyBorder="1"/>
    <xf numFmtId="9" fontId="1" fillId="8" borderId="0" xfId="0" applyNumberFormat="1" applyFont="1" applyFill="1" applyAlignment="1">
      <alignment horizontal="center"/>
    </xf>
    <xf numFmtId="0" fontId="1" fillId="8" borderId="0" xfId="0" applyFont="1" applyFill="1" applyAlignment="1">
      <alignment horizontal="right"/>
    </xf>
    <xf numFmtId="9" fontId="45" fillId="8" borderId="0" xfId="0" applyNumberFormat="1" applyFont="1" applyFill="1" applyAlignment="1">
      <alignment horizontal="center"/>
    </xf>
    <xf numFmtId="0" fontId="1" fillId="8" borderId="8" xfId="0" applyFont="1" applyFill="1" applyBorder="1" applyAlignment="1">
      <alignment horizontal="center"/>
    </xf>
    <xf numFmtId="3" fontId="0" fillId="11" borderId="0" xfId="0" applyNumberFormat="1" applyFill="1" applyAlignment="1">
      <alignment horizontal="right"/>
    </xf>
    <xf numFmtId="1" fontId="0" fillId="11" borderId="0" xfId="0" applyNumberFormat="1" applyFill="1" applyAlignment="1">
      <alignment horizontal="right"/>
    </xf>
    <xf numFmtId="3" fontId="7" fillId="11" borderId="0" xfId="0" applyNumberFormat="1" applyFont="1" applyFill="1" applyAlignment="1">
      <alignment horizontal="right"/>
    </xf>
    <xf numFmtId="3" fontId="1" fillId="8" borderId="0" xfId="0" applyNumberFormat="1" applyFont="1" applyFill="1" applyAlignment="1">
      <alignment horizontal="right"/>
    </xf>
    <xf numFmtId="0" fontId="0" fillId="11" borderId="0" xfId="0" applyFill="1" applyAlignment="1">
      <alignment horizontal="right"/>
    </xf>
    <xf numFmtId="3" fontId="1" fillId="11" borderId="0" xfId="0" applyNumberFormat="1" applyFont="1" applyFill="1" applyAlignment="1">
      <alignment horizontal="right"/>
    </xf>
    <xf numFmtId="10" fontId="0" fillId="0" borderId="0" xfId="0" applyNumberFormat="1"/>
    <xf numFmtId="0" fontId="45" fillId="8" borderId="9" xfId="0" applyFont="1" applyFill="1" applyBorder="1"/>
    <xf numFmtId="3" fontId="1" fillId="8" borderId="0" xfId="0" quotePrefix="1" applyNumberFormat="1" applyFont="1" applyFill="1" applyAlignment="1">
      <alignment horizontal="right"/>
    </xf>
    <xf numFmtId="1" fontId="1" fillId="8" borderId="0" xfId="0" applyNumberFormat="1" applyFont="1" applyFill="1" applyAlignment="1">
      <alignment horizontal="right"/>
    </xf>
    <xf numFmtId="3" fontId="1" fillId="11" borderId="0" xfId="0" quotePrefix="1" applyNumberFormat="1" applyFont="1" applyFill="1" applyAlignment="1">
      <alignment horizontal="right"/>
    </xf>
    <xf numFmtId="3" fontId="0" fillId="8" borderId="12" xfId="0" applyNumberFormat="1" applyFill="1" applyBorder="1" applyAlignment="1">
      <alignment horizontal="right"/>
    </xf>
    <xf numFmtId="3" fontId="0" fillId="8" borderId="3" xfId="0" applyNumberFormat="1" applyFill="1" applyBorder="1" applyAlignment="1">
      <alignment horizontal="right"/>
    </xf>
    <xf numFmtId="3" fontId="0" fillId="8" borderId="13" xfId="0" applyNumberFormat="1" applyFill="1" applyBorder="1" applyAlignment="1">
      <alignment horizontal="right"/>
    </xf>
    <xf numFmtId="1" fontId="0" fillId="8" borderId="14" xfId="0" applyNumberFormat="1" applyFill="1" applyBorder="1" applyAlignment="1">
      <alignment horizontal="right"/>
    </xf>
    <xf numFmtId="1" fontId="1" fillId="8" borderId="8" xfId="0" applyNumberFormat="1" applyFont="1" applyFill="1" applyBorder="1" applyAlignment="1">
      <alignment horizontal="right"/>
    </xf>
    <xf numFmtId="3" fontId="0" fillId="8" borderId="14" xfId="0" applyNumberFormat="1" applyFill="1" applyBorder="1" applyAlignment="1">
      <alignment horizontal="right"/>
    </xf>
    <xf numFmtId="3" fontId="0" fillId="8" borderId="8" xfId="0" applyNumberFormat="1" applyFill="1" applyBorder="1" applyAlignment="1">
      <alignment horizontal="right"/>
    </xf>
    <xf numFmtId="3" fontId="1" fillId="8" borderId="14" xfId="0" applyNumberFormat="1" applyFont="1" applyFill="1" applyBorder="1" applyAlignment="1">
      <alignment horizontal="right"/>
    </xf>
    <xf numFmtId="3" fontId="1" fillId="8" borderId="8" xfId="0" applyNumberFormat="1" applyFont="1" applyFill="1" applyBorder="1" applyAlignment="1">
      <alignment horizontal="right"/>
    </xf>
    <xf numFmtId="3" fontId="45" fillId="8" borderId="0" xfId="0" applyNumberFormat="1" applyFont="1" applyFill="1" applyAlignment="1">
      <alignment horizontal="right"/>
    </xf>
    <xf numFmtId="3" fontId="45" fillId="8" borderId="8" xfId="0" applyNumberFormat="1" applyFont="1" applyFill="1" applyBorder="1" applyAlignment="1">
      <alignment horizontal="right"/>
    </xf>
    <xf numFmtId="3" fontId="7" fillId="8" borderId="14" xfId="0" applyNumberFormat="1" applyFont="1" applyFill="1" applyBorder="1" applyAlignment="1">
      <alignment horizontal="right"/>
    </xf>
    <xf numFmtId="3" fontId="7" fillId="8" borderId="8" xfId="0" applyNumberFormat="1" applyFont="1" applyFill="1" applyBorder="1" applyAlignment="1">
      <alignment horizontal="right"/>
    </xf>
    <xf numFmtId="2" fontId="7" fillId="8" borderId="14" xfId="0" applyNumberFormat="1" applyFont="1" applyFill="1" applyBorder="1" applyAlignment="1">
      <alignment horizontal="right"/>
    </xf>
    <xf numFmtId="2" fontId="7" fillId="8" borderId="8" xfId="0" applyNumberFormat="1" applyFont="1" applyFill="1" applyBorder="1" applyAlignment="1">
      <alignment horizontal="right"/>
    </xf>
    <xf numFmtId="164" fontId="0" fillId="8" borderId="14" xfId="0" applyNumberFormat="1" applyFill="1" applyBorder="1" applyAlignment="1">
      <alignment horizontal="right"/>
    </xf>
    <xf numFmtId="164" fontId="0" fillId="8" borderId="8" xfId="0" applyNumberFormat="1" applyFill="1" applyBorder="1" applyAlignment="1">
      <alignment horizontal="right"/>
    </xf>
    <xf numFmtId="9" fontId="7" fillId="8" borderId="14" xfId="0" applyNumberFormat="1" applyFont="1" applyFill="1" applyBorder="1" applyAlignment="1">
      <alignment horizontal="right"/>
    </xf>
    <xf numFmtId="9" fontId="7" fillId="8" borderId="8" xfId="0" applyNumberFormat="1" applyFont="1" applyFill="1" applyBorder="1" applyAlignment="1">
      <alignment horizontal="right"/>
    </xf>
    <xf numFmtId="9" fontId="0" fillId="8" borderId="14" xfId="0" applyNumberFormat="1" applyFill="1" applyBorder="1" applyAlignment="1">
      <alignment horizontal="right"/>
    </xf>
    <xf numFmtId="9" fontId="0" fillId="8" borderId="8" xfId="0" applyNumberFormat="1" applyFill="1" applyBorder="1" applyAlignment="1">
      <alignment horizontal="right"/>
    </xf>
    <xf numFmtId="4" fontId="0" fillId="8" borderId="14" xfId="0" applyNumberFormat="1" applyFill="1" applyBorder="1" applyAlignment="1">
      <alignment horizontal="right"/>
    </xf>
    <xf numFmtId="4" fontId="0" fillId="8" borderId="8" xfId="0" applyNumberFormat="1" applyFill="1" applyBorder="1" applyAlignment="1">
      <alignment horizontal="right"/>
    </xf>
    <xf numFmtId="184" fontId="0" fillId="8" borderId="0" xfId="0" applyNumberFormat="1" applyFill="1" applyAlignment="1">
      <alignment horizontal="right"/>
    </xf>
    <xf numFmtId="2" fontId="0" fillId="8" borderId="0" xfId="0" applyNumberFormat="1" applyFill="1" applyAlignment="1">
      <alignment horizontal="right"/>
    </xf>
    <xf numFmtId="185" fontId="0" fillId="8" borderId="0" xfId="0" applyNumberFormat="1" applyFill="1" applyAlignment="1">
      <alignment horizontal="right"/>
    </xf>
    <xf numFmtId="0" fontId="1" fillId="0" borderId="0" xfId="0" applyFont="1"/>
    <xf numFmtId="0" fontId="1" fillId="11" borderId="0" xfId="0" applyFont="1" applyFill="1" applyAlignment="1">
      <alignment horizontal="right"/>
    </xf>
    <xf numFmtId="3" fontId="51" fillId="8" borderId="0" xfId="0" applyNumberFormat="1" applyFont="1" applyFill="1" applyAlignment="1">
      <alignment horizontal="right"/>
    </xf>
    <xf numFmtId="4" fontId="7" fillId="11" borderId="0" xfId="0" applyNumberFormat="1" applyFont="1" applyFill="1" applyAlignment="1">
      <alignment horizontal="right"/>
    </xf>
    <xf numFmtId="164" fontId="0" fillId="11" borderId="0" xfId="0" applyNumberFormat="1" applyFill="1" applyAlignment="1">
      <alignment horizontal="right"/>
    </xf>
    <xf numFmtId="164" fontId="7" fillId="11" borderId="0" xfId="0" applyNumberFormat="1" applyFont="1" applyFill="1" applyAlignment="1">
      <alignment horizontal="right"/>
    </xf>
    <xf numFmtId="4" fontId="0" fillId="11" borderId="0" xfId="0" applyNumberFormat="1" applyFill="1" applyAlignment="1">
      <alignment horizontal="right"/>
    </xf>
    <xf numFmtId="0" fontId="1" fillId="8" borderId="6" xfId="0" applyFont="1" applyFill="1" applyBorder="1" applyAlignment="1">
      <alignment horizontal="center"/>
    </xf>
    <xf numFmtId="0" fontId="1" fillId="8" borderId="4" xfId="0" applyFont="1" applyFill="1" applyBorder="1"/>
    <xf numFmtId="3" fontId="1" fillId="8" borderId="0" xfId="0" applyNumberFormat="1" applyFont="1" applyFill="1"/>
    <xf numFmtId="0" fontId="1" fillId="0" borderId="6" xfId="0" applyFont="1" applyBorder="1" applyAlignment="1">
      <alignment horizontal="right"/>
    </xf>
    <xf numFmtId="0" fontId="0" fillId="0" borderId="0" xfId="0" applyAlignment="1">
      <alignment horizontal="right"/>
    </xf>
    <xf numFmtId="0" fontId="0" fillId="0" borderId="6" xfId="0" applyBorder="1" applyAlignment="1">
      <alignment horizontal="right"/>
    </xf>
    <xf numFmtId="3" fontId="0" fillId="0" borderId="0" xfId="0" applyNumberFormat="1" applyAlignment="1">
      <alignment horizontal="right"/>
    </xf>
    <xf numFmtId="9" fontId="0" fillId="0" borderId="0" xfId="0" applyNumberFormat="1" applyAlignment="1">
      <alignment horizontal="right"/>
    </xf>
    <xf numFmtId="9" fontId="1" fillId="0" borderId="0" xfId="0" applyNumberFormat="1" applyFont="1" applyAlignment="1">
      <alignment horizontal="right"/>
    </xf>
    <xf numFmtId="0" fontId="7" fillId="0" borderId="0" xfId="0" applyFont="1"/>
    <xf numFmtId="0" fontId="7" fillId="0" borderId="0" xfId="0" applyFont="1" applyAlignment="1">
      <alignment horizontal="right"/>
    </xf>
    <xf numFmtId="9" fontId="7" fillId="0" borderId="0" xfId="0" applyNumberFormat="1" applyFont="1" applyAlignment="1">
      <alignment horizontal="right"/>
    </xf>
    <xf numFmtId="3" fontId="7" fillId="0" borderId="0" xfId="0" applyNumberFormat="1" applyFont="1" applyAlignment="1">
      <alignment horizontal="right"/>
    </xf>
    <xf numFmtId="3" fontId="1" fillId="0" borderId="0" xfId="0" applyNumberFormat="1" applyFont="1" applyAlignment="1">
      <alignment horizontal="right"/>
    </xf>
    <xf numFmtId="0" fontId="2" fillId="0" borderId="0" xfId="29" applyFill="1" applyAlignment="1" applyProtection="1"/>
    <xf numFmtId="14" fontId="1" fillId="8" borderId="0" xfId="0" applyNumberFormat="1" applyFont="1" applyFill="1" applyAlignment="1">
      <alignment horizontal="center"/>
    </xf>
    <xf numFmtId="9" fontId="1" fillId="8" borderId="6" xfId="0" applyNumberFormat="1" applyFont="1" applyFill="1" applyBorder="1" applyAlignment="1">
      <alignment horizontal="center"/>
    </xf>
    <xf numFmtId="0" fontId="1" fillId="11" borderId="0" xfId="0" applyFont="1" applyFill="1"/>
    <xf numFmtId="0" fontId="0" fillId="0" borderId="0" xfId="0" applyAlignment="1">
      <alignment horizontal="left"/>
    </xf>
    <xf numFmtId="3" fontId="1" fillId="11" borderId="0" xfId="35" quotePrefix="1" applyNumberFormat="1" applyFont="1" applyFill="1" applyAlignment="1">
      <alignment horizontal="right"/>
    </xf>
    <xf numFmtId="164" fontId="1" fillId="11" borderId="0" xfId="0" applyNumberFormat="1" applyFont="1" applyFill="1" applyAlignment="1">
      <alignment horizontal="right"/>
    </xf>
    <xf numFmtId="9" fontId="1" fillId="8" borderId="0" xfId="0" applyNumberFormat="1" applyFont="1" applyFill="1" applyAlignment="1">
      <alignment horizontal="right"/>
    </xf>
    <xf numFmtId="9" fontId="1" fillId="11" borderId="0" xfId="0" applyNumberFormat="1" applyFont="1" applyFill="1" applyAlignment="1">
      <alignment horizontal="right"/>
    </xf>
    <xf numFmtId="0" fontId="1" fillId="9" borderId="0" xfId="0" applyFont="1" applyFill="1"/>
    <xf numFmtId="3" fontId="1" fillId="8" borderId="0" xfId="0" applyNumberFormat="1" applyFont="1" applyFill="1" applyAlignment="1">
      <alignment horizontal="center"/>
    </xf>
    <xf numFmtId="3" fontId="1" fillId="0" borderId="0" xfId="0" applyNumberFormat="1" applyFont="1"/>
    <xf numFmtId="0" fontId="1" fillId="0" borderId="0" xfId="0" applyFont="1" applyAlignment="1">
      <alignment horizontal="right"/>
    </xf>
    <xf numFmtId="3" fontId="4" fillId="8" borderId="0" xfId="0" applyNumberFormat="1" applyFont="1" applyFill="1"/>
    <xf numFmtId="4" fontId="7" fillId="0" borderId="0" xfId="0" applyNumberFormat="1" applyFont="1" applyAlignment="1">
      <alignment horizontal="right"/>
    </xf>
    <xf numFmtId="164" fontId="0" fillId="0" borderId="0" xfId="0" applyNumberFormat="1" applyAlignment="1">
      <alignment horizontal="right"/>
    </xf>
    <xf numFmtId="164" fontId="7" fillId="0" borderId="0" xfId="0" applyNumberFormat="1" applyFont="1" applyAlignment="1">
      <alignment horizontal="right"/>
    </xf>
    <xf numFmtId="164" fontId="1" fillId="0" borderId="0" xfId="0" applyNumberFormat="1" applyFont="1" applyAlignment="1">
      <alignment horizontal="right"/>
    </xf>
    <xf numFmtId="4" fontId="0" fillId="0" borderId="0" xfId="0" applyNumberFormat="1" applyAlignment="1">
      <alignment horizontal="right"/>
    </xf>
    <xf numFmtId="0" fontId="1" fillId="0" borderId="11" xfId="0" applyFont="1" applyBorder="1"/>
    <xf numFmtId="0" fontId="0" fillId="0" borderId="1" xfId="0" applyBorder="1" applyAlignment="1">
      <alignment horizontal="center"/>
    </xf>
    <xf numFmtId="0" fontId="0" fillId="0" borderId="7" xfId="0" applyBorder="1" applyAlignment="1">
      <alignment horizontal="center"/>
    </xf>
    <xf numFmtId="4" fontId="0" fillId="0" borderId="0" xfId="0" applyNumberFormat="1"/>
    <xf numFmtId="0" fontId="2" fillId="0" borderId="9" xfId="29" applyFill="1" applyBorder="1" applyAlignment="1" applyProtection="1"/>
    <xf numFmtId="9" fontId="0" fillId="0" borderId="0" xfId="0" applyNumberFormat="1" applyAlignment="1">
      <alignment horizontal="center"/>
    </xf>
    <xf numFmtId="14" fontId="1" fillId="0" borderId="0" xfId="0" applyNumberFormat="1" applyFont="1" applyAlignment="1">
      <alignment horizontal="center"/>
    </xf>
    <xf numFmtId="165" fontId="0" fillId="0" borderId="0" xfId="0" applyNumberFormat="1"/>
    <xf numFmtId="0" fontId="1" fillId="0" borderId="0" xfId="0" applyFont="1" applyAlignment="1">
      <alignment horizontal="center"/>
    </xf>
    <xf numFmtId="9" fontId="1" fillId="0" borderId="0" xfId="0" applyNumberFormat="1" applyFont="1" applyAlignment="1">
      <alignment horizontal="center"/>
    </xf>
    <xf numFmtId="14" fontId="0" fillId="0" borderId="0" xfId="0" applyNumberFormat="1" applyAlignment="1">
      <alignment horizontal="center"/>
    </xf>
    <xf numFmtId="0" fontId="1" fillId="0" borderId="8" xfId="0" applyFont="1" applyBorder="1" applyAlignment="1">
      <alignment horizontal="center"/>
    </xf>
    <xf numFmtId="0" fontId="1" fillId="0" borderId="0" xfId="0" applyFont="1" applyAlignment="1">
      <alignment horizontal="left"/>
    </xf>
    <xf numFmtId="14" fontId="0" fillId="0" borderId="8" xfId="0" applyNumberFormat="1" applyBorder="1" applyAlignment="1">
      <alignment horizontal="center"/>
    </xf>
    <xf numFmtId="0" fontId="1" fillId="0" borderId="9" xfId="0" applyFont="1" applyBorder="1"/>
    <xf numFmtId="0" fontId="0" fillId="0" borderId="9" xfId="0" applyBorder="1"/>
    <xf numFmtId="0" fontId="0" fillId="0" borderId="8" xfId="0" quotePrefix="1" applyBorder="1" applyAlignment="1">
      <alignment horizontal="center"/>
    </xf>
    <xf numFmtId="0" fontId="45" fillId="0" borderId="0" xfId="0" applyFont="1"/>
    <xf numFmtId="0" fontId="1" fillId="0" borderId="8" xfId="0" applyFont="1" applyBorder="1" applyAlignment="1">
      <alignment horizontal="right"/>
    </xf>
    <xf numFmtId="14" fontId="1" fillId="0" borderId="8" xfId="0" applyNumberFormat="1" applyFont="1" applyBorder="1" applyAlignment="1">
      <alignment horizontal="right"/>
    </xf>
    <xf numFmtId="0" fontId="1" fillId="0" borderId="4" xfId="0" applyFont="1" applyBorder="1"/>
    <xf numFmtId="0" fontId="1" fillId="0" borderId="6" xfId="0" applyFont="1" applyBorder="1" applyAlignment="1">
      <alignment horizontal="center"/>
    </xf>
    <xf numFmtId="9" fontId="1" fillId="0" borderId="6" xfId="0" applyNumberFormat="1" applyFont="1" applyBorder="1" applyAlignment="1">
      <alignment horizontal="center"/>
    </xf>
    <xf numFmtId="14" fontId="0" fillId="0" borderId="6" xfId="0" applyNumberFormat="1" applyBorder="1" applyAlignment="1">
      <alignment horizontal="center"/>
    </xf>
    <xf numFmtId="0" fontId="1" fillId="0" borderId="6" xfId="0" applyFont="1" applyBorder="1"/>
    <xf numFmtId="0" fontId="1" fillId="0" borderId="10" xfId="0" applyFont="1" applyBorder="1" applyAlignment="1">
      <alignment horizontal="center"/>
    </xf>
    <xf numFmtId="0" fontId="4" fillId="0" borderId="0" xfId="0" applyFont="1"/>
    <xf numFmtId="0" fontId="1" fillId="0" borderId="0" xfId="29" applyFont="1" applyFill="1" applyBorder="1" applyAlignment="1" applyProtection="1">
      <alignment horizontal="center"/>
    </xf>
    <xf numFmtId="0" fontId="7" fillId="0" borderId="6" xfId="0" applyFont="1" applyBorder="1" applyAlignment="1">
      <alignment horizontal="center"/>
    </xf>
    <xf numFmtId="14" fontId="1" fillId="0" borderId="10" xfId="0" applyNumberFormat="1" applyFont="1" applyBorder="1" applyAlignment="1">
      <alignment horizontal="center"/>
    </xf>
    <xf numFmtId="0" fontId="45" fillId="0" borderId="0" xfId="0" applyFont="1" applyAlignment="1">
      <alignment horizontal="center"/>
    </xf>
    <xf numFmtId="0" fontId="7" fillId="0" borderId="0" xfId="0" applyFont="1" applyAlignment="1">
      <alignment horizontal="left"/>
    </xf>
    <xf numFmtId="0" fontId="7" fillId="0" borderId="0" xfId="0" applyFont="1" applyAlignment="1">
      <alignment horizontal="center"/>
    </xf>
    <xf numFmtId="0" fontId="1" fillId="0" borderId="1" xfId="0" applyFont="1" applyBorder="1" applyAlignment="1">
      <alignment horizontal="center"/>
    </xf>
    <xf numFmtId="9" fontId="1" fillId="0" borderId="1" xfId="0" applyNumberFormat="1" applyFont="1" applyBorder="1" applyAlignment="1">
      <alignment horizontal="center"/>
    </xf>
    <xf numFmtId="0" fontId="1" fillId="0" borderId="7" xfId="0" applyFont="1" applyBorder="1" applyAlignment="1">
      <alignment horizontal="center"/>
    </xf>
    <xf numFmtId="0" fontId="0" fillId="0" borderId="4" xfId="0" applyBorder="1"/>
    <xf numFmtId="0" fontId="0" fillId="0" borderId="6" xfId="0" applyBorder="1" applyAlignment="1">
      <alignment horizontal="center"/>
    </xf>
    <xf numFmtId="9" fontId="0" fillId="0" borderId="6" xfId="0" applyNumberFormat="1" applyBorder="1" applyAlignment="1">
      <alignment horizontal="center"/>
    </xf>
    <xf numFmtId="0" fontId="0" fillId="0" borderId="6" xfId="0" applyBorder="1"/>
    <xf numFmtId="0" fontId="2" fillId="0" borderId="0" xfId="29" applyFill="1" applyBorder="1" applyAlignment="1" applyProtection="1">
      <alignment horizontal="center"/>
    </xf>
    <xf numFmtId="0" fontId="0" fillId="0" borderId="15" xfId="0" applyBorder="1"/>
    <xf numFmtId="0" fontId="0" fillId="0" borderId="3" xfId="0" applyBorder="1" applyAlignment="1">
      <alignment horizontal="center"/>
    </xf>
    <xf numFmtId="9" fontId="1" fillId="0" borderId="3" xfId="0" applyNumberFormat="1" applyFont="1" applyBorder="1" applyAlignment="1">
      <alignment horizontal="center"/>
    </xf>
    <xf numFmtId="0" fontId="1" fillId="0" borderId="3" xfId="0" applyFont="1" applyBorder="1" applyAlignment="1">
      <alignment horizontal="center"/>
    </xf>
    <xf numFmtId="0" fontId="1" fillId="0" borderId="3" xfId="0" applyFont="1" applyBorder="1"/>
    <xf numFmtId="0" fontId="1" fillId="0" borderId="13" xfId="0" applyFont="1" applyBorder="1" applyAlignment="1">
      <alignment horizontal="center"/>
    </xf>
    <xf numFmtId="14" fontId="1" fillId="0" borderId="8" xfId="0" quotePrefix="1" applyNumberFormat="1" applyFont="1" applyBorder="1" applyAlignment="1">
      <alignment horizontal="center"/>
    </xf>
    <xf numFmtId="14" fontId="1" fillId="0" borderId="1" xfId="0" applyNumberFormat="1" applyFont="1" applyBorder="1" applyAlignment="1">
      <alignment horizontal="center"/>
    </xf>
    <xf numFmtId="0" fontId="2" fillId="0" borderId="15" xfId="29" applyFill="1" applyBorder="1" applyAlignment="1" applyProtection="1"/>
    <xf numFmtId="0" fontId="2" fillId="0" borderId="9" xfId="29" applyBorder="1" applyAlignment="1" applyProtection="1"/>
    <xf numFmtId="0" fontId="0" fillId="0" borderId="8" xfId="0" applyBorder="1"/>
    <xf numFmtId="0" fontId="52" fillId="8" borderId="0" xfId="0" applyFont="1" applyFill="1"/>
    <xf numFmtId="0" fontId="1" fillId="0" borderId="9" xfId="29" applyFont="1" applyBorder="1" applyAlignment="1" applyProtection="1"/>
  </cellXfs>
  <cellStyles count="61">
    <cellStyle name="_Comma" xfId="2" xr:uid="{00000000-0005-0000-0000-000001000000}"/>
    <cellStyle name="_Currency" xfId="3" xr:uid="{00000000-0005-0000-0000-000002000000}"/>
    <cellStyle name="_CurrencySpace" xfId="4" xr:uid="{00000000-0005-0000-0000-000003000000}"/>
    <cellStyle name="_Multiple" xfId="5" xr:uid="{00000000-0005-0000-0000-000004000000}"/>
    <cellStyle name="_MultipleSpace" xfId="6" xr:uid="{00000000-0005-0000-0000-000005000000}"/>
    <cellStyle name="_Percent" xfId="7" xr:uid="{00000000-0005-0000-0000-000006000000}"/>
    <cellStyle name="_PercentSpace" xfId="8" xr:uid="{00000000-0005-0000-0000-000007000000}"/>
    <cellStyle name="$" xfId="1" xr:uid="{00000000-0005-0000-0000-000000000000}"/>
    <cellStyle name="Actual data" xfId="9" xr:uid="{00000000-0005-0000-0000-000008000000}"/>
    <cellStyle name="Actual year" xfId="10" xr:uid="{00000000-0005-0000-0000-000009000000}"/>
    <cellStyle name="Actuals Cells" xfId="11" xr:uid="{00000000-0005-0000-0000-00000A000000}"/>
    <cellStyle name="Adj L1" xfId="12" xr:uid="{00000000-0005-0000-0000-00000B000000}"/>
    <cellStyle name="Adj L2" xfId="13" xr:uid="{00000000-0005-0000-0000-00000C000000}"/>
    <cellStyle name="Adj L3" xfId="14" xr:uid="{00000000-0005-0000-0000-00000D000000}"/>
    <cellStyle name="Adj Space" xfId="15" xr:uid="{00000000-0005-0000-0000-00000E000000}"/>
    <cellStyle name="ArialNormal" xfId="16" xr:uid="{00000000-0005-0000-0000-00000F000000}"/>
    <cellStyle name="Blank" xfId="17" xr:uid="{00000000-0005-0000-0000-000010000000}"/>
    <cellStyle name="Calc Cells" xfId="18" xr:uid="{00000000-0005-0000-0000-000011000000}"/>
    <cellStyle name="Company name" xfId="19" xr:uid="{00000000-0005-0000-0000-000012000000}"/>
    <cellStyle name="Dollar" xfId="20" xr:uid="{00000000-0005-0000-0000-000013000000}"/>
    <cellStyle name="Download" xfId="21" xr:uid="{00000000-0005-0000-0000-000014000000}"/>
    <cellStyle name="External File Cells" xfId="22" xr:uid="{00000000-0005-0000-0000-000015000000}"/>
    <cellStyle name="Forecast Cells" xfId="23" xr:uid="{00000000-0005-0000-0000-000016000000}"/>
    <cellStyle name="G1_1999 figures" xfId="24" xr:uid="{00000000-0005-0000-0000-000017000000}"/>
    <cellStyle name="H_1998_col_head" xfId="25" xr:uid="{00000000-0005-0000-0000-000018000000}"/>
    <cellStyle name="H_1999_col_head" xfId="26" xr:uid="{00000000-0005-0000-0000-000019000000}"/>
    <cellStyle name="H1_1998 figures" xfId="27" xr:uid="{00000000-0005-0000-0000-00001A000000}"/>
    <cellStyle name="Heading1" xfId="28" xr:uid="{00000000-0005-0000-0000-00001B000000}"/>
    <cellStyle name="Hyperlink" xfId="29" builtinId="8"/>
    <cellStyle name="Input" xfId="30" builtinId="20" customBuiltin="1"/>
    <cellStyle name="Input Cells" xfId="31" xr:uid="{00000000-0005-0000-0000-00001E000000}"/>
    <cellStyle name="Mainhead" xfId="32" xr:uid="{00000000-0005-0000-0000-00001F000000}"/>
    <cellStyle name="multiple" xfId="33" xr:uid="{00000000-0005-0000-0000-000020000000}"/>
    <cellStyle name="Normal" xfId="0" builtinId="0"/>
    <cellStyle name="Normal Cells" xfId="34" xr:uid="{00000000-0005-0000-0000-000022000000}"/>
    <cellStyle name="Normal_wye db" xfId="35" xr:uid="{00000000-0005-0000-0000-000023000000}"/>
    <cellStyle name="Number" xfId="36" xr:uid="{00000000-0005-0000-0000-000024000000}"/>
    <cellStyle name="Original L1" xfId="37" xr:uid="{00000000-0005-0000-0000-000025000000}"/>
    <cellStyle name="Original L2" xfId="38" xr:uid="{00000000-0005-0000-0000-000026000000}"/>
    <cellStyle name="Original L3" xfId="39" xr:uid="{00000000-0005-0000-0000-000027000000}"/>
    <cellStyle name="Original Space" xfId="40" xr:uid="{00000000-0005-0000-0000-000028000000}"/>
    <cellStyle name="Page header" xfId="41" xr:uid="{00000000-0005-0000-0000-000029000000}"/>
    <cellStyle name="Price" xfId="42" xr:uid="{00000000-0005-0000-0000-00002A000000}"/>
    <cellStyle name="Reuters Cells" xfId="43" xr:uid="{00000000-0005-0000-0000-00002B000000}"/>
    <cellStyle name="ShadedCells_Database" xfId="44" xr:uid="{00000000-0005-0000-0000-00002C000000}"/>
    <cellStyle name="Space" xfId="45" xr:uid="{00000000-0005-0000-0000-00002D000000}"/>
    <cellStyle name="Style 1" xfId="46" xr:uid="{00000000-0005-0000-0000-00002E000000}"/>
    <cellStyle name="Style D green" xfId="47" xr:uid="{00000000-0005-0000-0000-00002F000000}"/>
    <cellStyle name="Style E" xfId="48" xr:uid="{00000000-0005-0000-0000-000030000000}"/>
    <cellStyle name="Style H" xfId="49" xr:uid="{00000000-0005-0000-0000-000031000000}"/>
    <cellStyle name="Sub total" xfId="50" xr:uid="{00000000-0005-0000-0000-000032000000}"/>
    <cellStyle name="Table end" xfId="51" xr:uid="{00000000-0005-0000-0000-000033000000}"/>
    <cellStyle name="Table head" xfId="52" xr:uid="{00000000-0005-0000-0000-000034000000}"/>
    <cellStyle name="table text bold" xfId="53" xr:uid="{00000000-0005-0000-0000-000035000000}"/>
    <cellStyle name="table text bold green" xfId="54" xr:uid="{00000000-0005-0000-0000-000036000000}"/>
    <cellStyle name="table text light" xfId="55" xr:uid="{00000000-0005-0000-0000-000037000000}"/>
    <cellStyle name="Titles" xfId="56" xr:uid="{00000000-0005-0000-0000-000038000000}"/>
    <cellStyle name="Upload Only" xfId="57" xr:uid="{00000000-0005-0000-0000-000039000000}"/>
    <cellStyle name="x" xfId="58" xr:uid="{00000000-0005-0000-0000-00003A000000}"/>
    <cellStyle name="Year" xfId="59" xr:uid="{00000000-0005-0000-0000-00003B000000}"/>
    <cellStyle name="yen" xfId="60" xr:uid="{00000000-0005-0000-0000-00003C000000}"/>
  </cellStyles>
  <dxfs count="0"/>
  <tableStyles count="1" defaultTableStyle="TableStyleMedium9" defaultPivotStyle="PivotStyleLight16">
    <tableStyle name="Invisible" pivot="0" table="0" count="0" xr9:uid="{E0C10780-BC58-477B-A90A-CF1AF797E93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2.xml"/><Relationship Id="rId47" Type="http://schemas.microsoft.com/office/2017/10/relationships/person" Target="persons/person.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112</xdr:col>
      <xdr:colOff>48281</xdr:colOff>
      <xdr:row>0</xdr:row>
      <xdr:rowOff>0</xdr:rowOff>
    </xdr:from>
    <xdr:to>
      <xdr:col>112</xdr:col>
      <xdr:colOff>48281</xdr:colOff>
      <xdr:row>206</xdr:row>
      <xdr:rowOff>47625</xdr:rowOff>
    </xdr:to>
    <xdr:sp macro="" textlink="">
      <xdr:nvSpPr>
        <xdr:cNvPr id="1738" name="Line 39">
          <a:extLst>
            <a:ext uri="{FF2B5EF4-FFF2-40B4-BE49-F238E27FC236}">
              <a16:creationId xmlns:a16="http://schemas.microsoft.com/office/drawing/2014/main" id="{00000000-0008-0000-0400-0000CA060000}"/>
            </a:ext>
          </a:extLst>
        </xdr:cNvPr>
        <xdr:cNvSpPr>
          <a:spLocks noChangeShapeType="1"/>
        </xdr:cNvSpPr>
      </xdr:nvSpPr>
      <xdr:spPr bwMode="auto">
        <a:xfrm flipH="1">
          <a:off x="53250333" y="0"/>
          <a:ext cx="0" cy="33877797"/>
        </a:xfrm>
        <a:prstGeom prst="line">
          <a:avLst/>
        </a:prstGeom>
        <a:noFill/>
        <a:ln w="9525">
          <a:solidFill>
            <a:srgbClr val="000000"/>
          </a:solidFill>
          <a:round/>
          <a:headEnd/>
          <a:tailEnd/>
        </a:ln>
      </xdr:spPr>
      <xdr:txBody>
        <a:bodyPr/>
        <a:lstStyle/>
        <a:p>
          <a:r>
            <a:rPr lang="en-US"/>
            <a:t>O</a:t>
          </a:r>
        </a:p>
      </xdr:txBody>
    </xdr:sp>
    <xdr:clientData/>
  </xdr:twoCellAnchor>
  <xdr:twoCellAnchor>
    <xdr:from>
      <xdr:col>154</xdr:col>
      <xdr:colOff>35144</xdr:colOff>
      <xdr:row>0</xdr:row>
      <xdr:rowOff>26276</xdr:rowOff>
    </xdr:from>
    <xdr:to>
      <xdr:col>154</xdr:col>
      <xdr:colOff>35144</xdr:colOff>
      <xdr:row>206</xdr:row>
      <xdr:rowOff>73901</xdr:rowOff>
    </xdr:to>
    <xdr:sp macro="" textlink="">
      <xdr:nvSpPr>
        <xdr:cNvPr id="1739" name="Line 39">
          <a:extLst>
            <a:ext uri="{FF2B5EF4-FFF2-40B4-BE49-F238E27FC236}">
              <a16:creationId xmlns:a16="http://schemas.microsoft.com/office/drawing/2014/main" id="{00000000-0008-0000-0400-0000CB060000}"/>
            </a:ext>
          </a:extLst>
        </xdr:cNvPr>
        <xdr:cNvSpPr>
          <a:spLocks noChangeShapeType="1"/>
        </xdr:cNvSpPr>
      </xdr:nvSpPr>
      <xdr:spPr bwMode="auto">
        <a:xfrm flipH="1">
          <a:off x="68779368" y="26276"/>
          <a:ext cx="0" cy="32071332"/>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428625</xdr:colOff>
      <xdr:row>2</xdr:row>
      <xdr:rowOff>5953</xdr:rowOff>
    </xdr:from>
    <xdr:to>
      <xdr:col>15</xdr:col>
      <xdr:colOff>240506</xdr:colOff>
      <xdr:row>19</xdr:row>
      <xdr:rowOff>110728</xdr:rowOff>
    </xdr:to>
    <xdr:pic>
      <xdr:nvPicPr>
        <xdr:cNvPr id="2" name="Picture 1">
          <a:extLst>
            <a:ext uri="{FF2B5EF4-FFF2-40B4-BE49-F238E27FC236}">
              <a16:creationId xmlns:a16="http://schemas.microsoft.com/office/drawing/2014/main" id="{DBFF80A1-2130-FAB5-F1D7-A1EB547E2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17469" y="327422"/>
          <a:ext cx="2847975" cy="2837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xdr:colOff>
      <xdr:row>1</xdr:row>
      <xdr:rowOff>19050</xdr:rowOff>
    </xdr:from>
    <xdr:to>
      <xdr:col>15</xdr:col>
      <xdr:colOff>19050</xdr:colOff>
      <xdr:row>66</xdr:row>
      <xdr:rowOff>95250</xdr:rowOff>
    </xdr:to>
    <xdr:sp macro="" textlink="">
      <xdr:nvSpPr>
        <xdr:cNvPr id="11586" name="Line 3">
          <a:extLst>
            <a:ext uri="{FF2B5EF4-FFF2-40B4-BE49-F238E27FC236}">
              <a16:creationId xmlns:a16="http://schemas.microsoft.com/office/drawing/2014/main" id="{00000000-0008-0000-1300-0000422D0000}"/>
            </a:ext>
          </a:extLst>
        </xdr:cNvPr>
        <xdr:cNvSpPr>
          <a:spLocks noChangeShapeType="1"/>
        </xdr:cNvSpPr>
      </xdr:nvSpPr>
      <xdr:spPr bwMode="auto">
        <a:xfrm>
          <a:off x="10287000" y="180975"/>
          <a:ext cx="0" cy="1060132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resln01s/res1/Pharmaceuticals/TRACEM/EXCEL/ROCHE/Roch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Oil/NEW_TEAM/Company%20models/BPA_ARCOwi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uation"/>
      <sheetName val="ROCHE"/>
      <sheetName val="Old Valuation"/>
      <sheetName val="Hill Samuel"/>
      <sheetName val="NoteXpress"/>
      <sheetName val="Bus Seg"/>
      <sheetName val="Financial "/>
      <sheetName val="Geographic"/>
      <sheetName val="Divisional breakdown"/>
      <sheetName val="Pharma"/>
      <sheetName val="Quarters"/>
      <sheetName val="Interims"/>
      <sheetName val="CashFlow"/>
      <sheetName val="OLD divisional"/>
      <sheetName val="Liq Funds"/>
      <sheetName val="Standard Qs Sheet"/>
      <sheetName val="Qtrly Product Sales"/>
      <sheetName val="Sensitivity multiples"/>
      <sheetName val="DCF"/>
      <sheetName val="BSheet"/>
      <sheetName val="Financials"/>
      <sheetName val="Roche ex-Genentech"/>
      <sheetName val="Sum of the Parts"/>
      <sheetName val="Pharma Only"/>
      <sheetName val="Discounted CashFlow"/>
      <sheetName val="ex-F&amp;F"/>
      <sheetName val="Therapeutic Areas"/>
      <sheetName val="Sheet1"/>
      <sheetName val="Xenical"/>
      <sheetName val="Genentech"/>
      <sheetName val="Product Buffer Sheet"/>
      <sheetName val="Genentech Phasing"/>
      <sheetName val="Chart1"/>
      <sheetName val="Charts"/>
      <sheetName val="Conversion"/>
      <sheetName val="Quarterly product sales"/>
      <sheetName val="Quantum"/>
      <sheetName val="Pharma Half Year"/>
      <sheetName val="Div'l Analysis"/>
      <sheetName val="half year results"/>
      <sheetName val="EVA"/>
      <sheetName val="R&amp;D"/>
      <sheetName val="EVA Calculations"/>
      <sheetName val="Historical Division"/>
      <sheetName val="Valuations"/>
      <sheetName val="#REF"/>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
      <sheetName val="Figures"/>
      <sheetName val="projections"/>
      <sheetName val="Targets &amp; Cost cutting"/>
      <sheetName val="eval"/>
      <sheetName val="dayval"/>
      <sheetName val="debt"/>
      <sheetName val="dcf"/>
      <sheetName val="Oildisc"/>
      <sheetName val="assms"/>
      <sheetName val="chem"/>
      <sheetName val="r&amp;m"/>
      <sheetName val="Gas&amp;Power"/>
      <sheetName val="group e&amp;p"/>
      <sheetName val="ARCO_E&amp;P"/>
      <sheetName val="USA"/>
      <sheetName val="UK"/>
      <sheetName val="Europe"/>
      <sheetName val="RoW"/>
      <sheetName val="prodprofile"/>
      <sheetName val="lr"/>
      <sheetName val="SOP"/>
      <sheetName val="Amoco Cost saving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Model"/>
      <sheetName val="Viagra"/>
      <sheetName val="Norvasc"/>
      <sheetName val="Lyrica"/>
      <sheetName val="Lipitor"/>
      <sheetName val="Geodon"/>
      <sheetName val="Detrol"/>
      <sheetName val="VTRS"/>
    </sheetNames>
    <definedNames>
      <definedName name="Choices_Wrapper" refersTo="#REF!"/>
    </definedNames>
    <sheetDataSet>
      <sheetData sheetId="0">
        <row r="3">
          <cell r="M3">
            <v>1196.8139590000001</v>
          </cell>
        </row>
      </sheetData>
      <sheetData sheetId="1"/>
      <sheetData sheetId="2">
        <row r="10">
          <cell r="C10">
            <v>1000</v>
          </cell>
          <cell r="D10">
            <v>1103</v>
          </cell>
        </row>
        <row r="11">
          <cell r="C11">
            <v>735</v>
          </cell>
          <cell r="D11">
            <v>776</v>
          </cell>
        </row>
      </sheetData>
      <sheetData sheetId="3"/>
      <sheetData sheetId="4"/>
      <sheetData sheetId="5"/>
      <sheetData sheetId="6"/>
      <sheetData sheetId="7"/>
      <sheetData sheetId="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8BD8153B-0117-43D0-8A87-E841916A0FE6}"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3" dT="2022-09-10T10:06:10.06" personId="{8BD8153B-0117-43D0-8A87-E841916A0FE6}" id="{154F75CA-566D-42A1-A813-F79321C3D1E4}">
    <text>50% gross profit split</text>
  </threadedComment>
  <threadedComment ref="E44" dT="2022-10-31T17:19:42.38" personId="{8BD8153B-0117-43D0-8A87-E841916A0FE6}" id="{601D1754-10CA-4089-93FE-DA3F51237801}">
    <text>Launch in 7/2023 as per ABBV agreement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EX3" dT="2022-07-28T12:13:26.35" personId="{8BD8153B-0117-43D0-8A87-E841916A0FE6}" id="{84619DFB-4711-4734-8BDB-59429D2A9D19}">
    <text>Q222: guidance 32B
Q122: guidance 32B
Q421: raised guidance to 32B</text>
  </threadedComment>
  <threadedComment ref="EX6" dT="2022-07-28T12:13:47.69" personId="{8BD8153B-0117-43D0-8A87-E841916A0FE6}" id="{45AEFC7D-A021-47F4-9CEF-2FBFFFE1803C}">
    <text>Q222 guidance: 22B
Q122 guidance: 22B
Q421: provides 22B guidance for 2022</text>
  </threadedComment>
  <threadedComment ref="CW47" dT="2022-11-01T15:49:31.29" personId="{8BD8153B-0117-43D0-8A87-E841916A0FE6}" id="{92701E07-5169-41B3-B74F-F4AFE676C3F6}">
    <text>45</text>
  </threadedComment>
  <threadedComment ref="CN104" dT="2022-10-31T06:57:39.90" personId="{8BD8153B-0117-43D0-8A87-E841916A0FE6}" id="{8C26E110-6481-4D73-BF8E-53E4485CB950}">
    <text>587m Upjohn, 544m IM</text>
  </threadedComment>
  <threadedComment ref="CR104" dT="2022-10-31T06:57:19.62" personId="{8BD8153B-0117-43D0-8A87-E841916A0FE6}" id="{F114C7E8-BDF8-4C17-9587-85359FA5F189}">
    <text>476 Upjohn, 498 IM</text>
  </threadedComment>
  <threadedComment ref="CL113" dT="2023-01-31T06:01:10.03" personId="{8BD8153B-0117-43D0-8A87-E841916A0FE6}" id="{625364AC-DBD4-4C9B-A808-FD7855062013}">
    <text>13976m reported in Q419</text>
  </threadedComment>
  <threadedComment ref="CM113" dT="2023-01-31T05:48:23.25" personId="{8BD8153B-0117-43D0-8A87-E841916A0FE6}" id="{381C40E4-2BA2-4890-8F4C-5FB1390BA157}">
    <text>13118 reported in Q120</text>
  </threadedComment>
  <threadedComment ref="CN113" dT="2023-01-31T05:29:33.52" personId="{8BD8153B-0117-43D0-8A87-E841916A0FE6}" id="{D95F06EC-887E-48F9-A281-9FF35471D707}">
    <text>13624m reported in Q220</text>
  </threadedComment>
  <threadedComment ref="CP113" dT="2023-01-31T06:00:55.43" personId="{8BD8153B-0117-43D0-8A87-E841916A0FE6}" id="{3B9681AC-1CA5-48AA-AE92-0C898D9A6BBD}">
    <text>12688 reported Q419</text>
  </threadedComment>
  <threadedComment ref="CQ113" dT="2023-01-31T05:48:31.34" personId="{8BD8153B-0117-43D0-8A87-E841916A0FE6}" id="{0A40F869-B59E-4E7D-9978-4ACEFA94CC99}">
    <text>12028 reported in Q120</text>
  </threadedComment>
  <threadedComment ref="CT113" dT="2022-11-01T06:38:38.96" personId="{8BD8153B-0117-43D0-8A87-E841916A0FE6}" id="{2E73EF3E-B155-4CB0-B1B8-64827B17AE45}">
    <text>11634 actual</text>
  </threadedComment>
  <threadedComment ref="CU113" dT="2022-10-31T16:50:55.91" personId="{8BD8153B-0117-43D0-8A87-E841916A0FE6}" id="{5B977ABB-05DC-46E5-A0DD-1422ADEB185D}">
    <text>14,516m actual</text>
  </threadedComment>
  <threadedComment ref="CV113" dT="2022-10-31T16:18:04.19" personId="{8BD8153B-0117-43D0-8A87-E841916A0FE6}" id="{04F6E407-DF3F-4005-BE84-D6EDBFAFD027}">
    <text>18,899 actual</text>
  </threadedComment>
  <threadedComment ref="CW113" dT="2023-01-31T03:38:14.59" personId="{8BD8153B-0117-43D0-8A87-E841916A0FE6}" id="{5FB45385-89C7-4BE5-ADD1-E22B80F29A50}">
    <text>24035 reported</text>
  </threadedComment>
  <threadedComment ref="CX113" dT="2022-11-01T06:38:28.36" personId="{8BD8153B-0117-43D0-8A87-E841916A0FE6}" id="{9EF3741A-AD26-4402-9213-20DBFB37A1FD}">
    <text>23838 actual</text>
  </threadedComment>
  <threadedComment ref="CZ113" dT="2022-09-10T08:32:54.04" personId="{8BD8153B-0117-43D0-8A87-E841916A0FE6}" id="{ADD4F94A-0E76-4AB0-909B-364AC463E9C6}">
    <text>27742 actual</text>
  </threadedComment>
  <threadedComment ref="EW113" dT="2022-11-01T06:22:58.56" personId="{8BD8153B-0117-43D0-8A87-E841916A0FE6}" id="{683B9782-E7EA-4C42-9B71-E1DDCE9C7C9C}">
    <text>81288 actual</text>
  </threadedComment>
  <threadedComment ref="EX113" dT="2022-07-28T12:12:42.48" personId="{8BD8153B-0117-43D0-8A87-E841916A0FE6}" id="{20FF6B80-522A-44AC-BB2D-CF6072448AA8}">
    <text>Q222: reaffirms guidance 98-102B (+2B operationally due to FX)
Q122: reaffirms guidance 98-120B
Q421: initiates 98-102B guidance</text>
  </threadedComment>
  <threadedComment ref="EY113" dT="2023-01-31T15:23:38.91" personId="{8BD8153B-0117-43D0-8A87-E841916A0FE6}" id="{AF36EEB3-AD93-43FB-8166-0D23195CDA8B}">
    <text>67-71B 2023 guidance given Q422</text>
  </threadedComment>
  <threadedComment ref="FF113" dT="2023-01-31T15:08:31.46" personId="{8BD8153B-0117-43D0-8A87-E841916A0FE6}" id="{969812BA-06E1-416F-B0AC-89AE4AAFFFF7}">
    <text>84B guidance</text>
  </threadedComment>
  <threadedComment ref="EX116" dT="2022-09-10T09:59:07.41" personId="{8BD8153B-0117-43D0-8A87-E841916A0FE6}" id="{822253A5-163B-40A6-9913-D31DD8980881}">
    <text>Q222 guidance: 12.2-13.2B
Q122 guidance: 12.5-13.5B
Q421 guidance: 12.5-13.5B</text>
  </threadedComment>
  <threadedComment ref="EY116" dT="2023-01-31T15:26:26.00" personId="{8BD8153B-0117-43D0-8A87-E841916A0FE6}" id="{9F40A5AC-9928-48A5-9E23-B4A80250E7FF}">
    <text>13.8-14.8 guidance given in Q422</text>
  </threadedComment>
  <threadedComment ref="CU117" dT="2022-11-01T05:52:07.99" personId="{8BD8153B-0117-43D0-8A87-E841916A0FE6}" id="{46AB17C8-C512-4F83-8DD5-5EAEF0B5D575}">
    <text>1994m actual</text>
  </threadedComment>
  <threadedComment ref="CY117" dT="2022-11-01T05:52:00.93" personId="{8BD8153B-0117-43D0-8A87-E841916A0FE6}" id="{93230A79-7458-4246-8AC9-E1155292A69B}">
    <text>2301m actual</text>
  </threadedComment>
  <threadedComment ref="EX117" dT="2022-09-10T09:59:17.41" personId="{8BD8153B-0117-43D0-8A87-E841916A0FE6}" id="{38FB92C4-0C09-430D-BE45-40E02FCCBC59}">
    <text>Q2 guidance: 11.5-12.0B
Q1 guidance: 11.0-12.0B from 10.5-11.5B
Q421 guidance: 10.5-11.5B for 2022</text>
  </threadedComment>
  <threadedComment ref="EY117" dT="2023-01-31T15:26:35.71" personId="{8BD8153B-0117-43D0-8A87-E841916A0FE6}" id="{7018CE06-4564-4CAD-88ED-A0333810FE65}">
    <text>12.4-13.4B guidance given in Q422</text>
  </threadedComment>
  <threadedComment ref="CW118" dT="2023-01-31T05:19:08.72" personId="{8BD8153B-0117-43D0-8A87-E841916A0FE6}" id="{67784DD6-0C5D-42FA-B372-2E2835E5D2EE}">
    <text>10172 adjNI</text>
  </threadedComment>
  <threadedComment ref="CU119" dT="2022-11-01T05:49:42.76" personId="{8BD8153B-0117-43D0-8A87-E841916A0FE6}" id="{4CCFFF11-76ED-4A92-B203-F80F8F84CD8F}">
    <text>336m net interest expense
176m royalty income
62m consumer JV income</text>
  </threadedComment>
  <threadedComment ref="CV119" dT="2022-10-31T16:32:22.41" personId="{8BD8153B-0117-43D0-8A87-E841916A0FE6}" id="{4B315500-6997-4A05-A1D1-EDD2C3592B09}">
    <text>GAAP: +1343
Interest: -303
Royalty +212
Consumer +140
Co NG suggestion: +576m</text>
  </threadedComment>
  <threadedComment ref="EX119" dT="2022-09-10T10:00:13.15" personId="{8BD8153B-0117-43D0-8A87-E841916A0FE6}" id="{4720E812-008D-402E-B4B6-D6BD80C8F06D}">
    <text>Q222 guidance: 1.9B</text>
  </threadedComment>
  <threadedComment ref="EY123" dT="2023-01-31T15:26:48.00" personId="{8BD8153B-0117-43D0-8A87-E841916A0FE6}" id="{C71154CD-B193-48F5-98B8-CBB12861830C}">
    <text>15% tax rate</text>
  </threadedComment>
  <threadedComment ref="CL124" dT="2023-01-31T06:02:53.45" personId="{8BD8153B-0117-43D0-8A87-E841916A0FE6}" id="{C8AA044E-FA5E-4CC5-8D6A-64602A7EBFF5}">
    <text>3760m adj NI reported Q419</text>
  </threadedComment>
  <threadedComment ref="CM124" dT="2023-01-31T05:50:46.24" personId="{8BD8153B-0117-43D0-8A87-E841916A0FE6}" id="{02C69F6A-87D0-4343-A820-E516E23F0AA9}">
    <text>4891 adj NI reported in Q120</text>
  </threadedComment>
  <threadedComment ref="CP124" dT="2023-01-31T06:03:00.84" personId="{8BD8153B-0117-43D0-8A87-E841916A0FE6}" id="{6BC32560-7662-4B3C-8E98-0AA8576B4B3D}">
    <text>3108 adj NI</text>
  </threadedComment>
  <threadedComment ref="CQ124" dT="2023-01-31T05:49:54.66" personId="{8BD8153B-0117-43D0-8A87-E841916A0FE6}" id="{8E0BD8B7-C3CF-4B39-90AB-693BF63011AF}">
    <text>4514 adj NI</text>
  </threadedComment>
  <threadedComment ref="CT124" dT="2022-11-01T06:39:34.26" personId="{8BD8153B-0117-43D0-8A87-E841916A0FE6}" id="{6B079B41-3EE7-4D38-B0F0-E4FA7F0A7D53}">
    <text>2434 actual adj NI</text>
  </threadedComment>
  <threadedComment ref="CU124" dT="2022-10-31T16:51:17.69" personId="{8BD8153B-0117-43D0-8A87-E841916A0FE6}" id="{2FB486A7-B6E4-40F0-A4B2-CC7F5B3BC176}">
    <text>Adj NI 5351</text>
  </threadedComment>
  <threadedComment ref="CV124" dT="2022-09-10T09:52:01.14" personId="{8BD8153B-0117-43D0-8A87-E841916A0FE6}" id="{02FB5D7C-5EC6-47C8-9D46-15A2174DAF41}">
    <text>6023 adj NI</text>
  </threadedComment>
  <threadedComment ref="CW124" dT="2023-01-31T05:18:16.93" personId="{8BD8153B-0117-43D0-8A87-E841916A0FE6}" id="{500ED52D-07B6-4964-A0B2-D1384FE70B9D}">
    <text>adjNI 7279</text>
  </threadedComment>
  <threadedComment ref="CX124" dT="2022-11-01T06:39:26.50" personId="{8BD8153B-0117-43D0-8A87-E841916A0FE6}" id="{9DFCE4AC-161F-43AA-A5AB-C8983ABAFBA3}">
    <text>6239 actual adj NI</text>
  </threadedComment>
  <threadedComment ref="CY124" dT="2022-10-31T16:51:11.02" personId="{8BD8153B-0117-43D0-8A87-E841916A0FE6}" id="{6DFAC4C1-483E-4590-8089-9E06BB38D01F}">
    <text>Adj NI 9338</text>
  </threadedComment>
  <threadedComment ref="CZ124" dT="2022-09-10T09:52:06.16" personId="{8BD8153B-0117-43D0-8A87-E841916A0FE6}" id="{5A7E375B-6B0C-465E-8DCE-F0D8D2D9FB85}">
    <text>11656 adj NI</text>
  </threadedComment>
  <threadedComment ref="DA124" dT="2023-01-31T05:19:53.90" personId="{8BD8153B-0117-43D0-8A87-E841916A0FE6}" id="{7E12C946-D1C8-4A58-9389-97116F73151B}">
    <text>10172 adj NI</text>
  </threadedComment>
  <threadedComment ref="DB124" dT="2023-01-31T14:50:54.82" personId="{8BD8153B-0117-43D0-8A87-E841916A0FE6}" id="{736AD51E-31A5-45A4-9277-9389BB8FD1C6}">
    <text>6551 adj NI</text>
  </threadedComment>
  <threadedComment ref="EV124" dT="2022-11-01T06:40:22.31" personId="{8BD8153B-0117-43D0-8A87-E841916A0FE6}" id="{F1A75182-2AD9-4C39-A2E8-2FB6BD2B738D}">
    <text>12727 actual adj NI</text>
  </threadedComment>
  <threadedComment ref="EW124" dT="2022-11-01T06:40:11.49" personId="{8BD8153B-0117-43D0-8A87-E841916A0FE6}" id="{1A06BA9C-FB50-4468-A663-D7931EBDA294}">
    <text>25236 actual adj NI</text>
  </threadedComment>
  <threadedComment ref="CT125" dT="2022-11-01T06:39:45.39" personId="{8BD8153B-0117-43D0-8A87-E841916A0FE6}" id="{2F9D2393-8AEA-4796-A6DA-5AFFCA0EF366}">
    <text>0.43 actual adj EPS</text>
  </threadedComment>
  <threadedComment ref="CV125" dT="2022-09-10T09:51:50.56" personId="{8BD8153B-0117-43D0-8A87-E841916A0FE6}" id="{658EE746-4F28-4C60-B8C3-3A30A6E66FA3}">
    <text>1.06 adj EPS</text>
  </threadedComment>
  <threadedComment ref="CX125" dT="2022-11-01T06:19:42.77" personId="{8BD8153B-0117-43D0-8A87-E841916A0FE6}" id="{8F79B299-B54A-4806-8985-467AD571F338}">
    <text>1.08 adj EPS</text>
  </threadedComment>
  <threadedComment ref="CY125" dT="2022-10-31T16:43:53.53" personId="{8BD8153B-0117-43D0-8A87-E841916A0FE6}" id="{B24CBC24-6DCB-4417-9096-2FB81F15C1A3}">
    <text>Adj EPS 1.62</text>
  </threadedComment>
  <threadedComment ref="CZ125" dT="2022-09-10T08:34:04.98" personId="{8BD8153B-0117-43D0-8A87-E841916A0FE6}" id="{7CB0AF66-05C0-4684-A6E1-72A5FC4846D9}">
    <text>Adj EPS 2.04</text>
  </threadedComment>
  <threadedComment ref="EV125" dT="2022-11-01T06:40:52.96" personId="{8BD8153B-0117-43D0-8A87-E841916A0FE6}" id="{B148E439-FDE1-4124-8004-0292797A56CD}">
    <text>Actual adj 2.26 EPS</text>
  </threadedComment>
  <threadedComment ref="EW125" dT="2022-09-10T09:56:42.39" personId="{8BD8153B-0117-43D0-8A87-E841916A0FE6}" id="{05DE658F-B4BD-4BDE-A3A5-1A693980BEA7}">
    <text>Q222: adjusted to 4.06
FY21 reported adj EPS 4.42</text>
  </threadedComment>
  <threadedComment ref="EX125" dT="2022-09-10T08:57:45.57" personId="{8BD8153B-0117-43D0-8A87-E841916A0FE6}" id="{D39B9572-0A26-460A-B42B-E9D8BFEDA417}">
    <text>Q222: raised EPS guidance to 6.30-6.45 (+0.24 operationally) from 6.25-6.45
Q122: 6.25-6.45 reflecting 0.11 IPR&amp;D from 6.35-6.55
Q421: 6.35-6.55 for 2022</text>
  </threadedComment>
  <threadedComment ref="EX126" dT="2022-09-10T09:58:16.72" personId="{8BD8153B-0117-43D0-8A87-E841916A0FE6}" id="{55A6C5B1-AEE7-4F4D-9994-CF51133E5C48}">
    <text>Q222: 5750m guidance
Q122: 5750m guidance</text>
  </threadedComment>
  <threadedComment ref="EX128" dT="2022-09-10T09:58:41.52" personId="{8BD8153B-0117-43D0-8A87-E841916A0FE6}" id="{7CF40854-9B4F-46C3-A4C7-AF8958B1AEBE}">
    <text>Q222 guidance: 66-68%
Q122 guidance: 66-68% from 65.8%-67.8%
Q421: 65.8%-67.8%</text>
  </threadedComment>
  <threadedComment ref="EY128" dT="2023-01-31T15:26:01.73" personId="{8BD8153B-0117-43D0-8A87-E841916A0FE6}" id="{AF75AD33-DCB9-440E-A0F0-2EE7BB39C3AF}">
    <text>70-72% guidance given Q422</text>
  </threadedComment>
  <threadedComment ref="EX132" dT="2022-11-01T08:02:19.34" personId="{8BD8153B-0117-43D0-8A87-E841916A0FE6}" id="{8F724064-5364-484A-8426-B15ACC4FE5C0}">
    <text>16% tax rate adj NI</text>
  </threadedComment>
  <threadedComment ref="CZ138" dT="2022-09-10T10:04:21.47" personId="{8BD8153B-0117-43D0-8A87-E841916A0FE6}" id="{C627D00D-EDA3-4474-A055-13323D4F203C}">
    <text>+1% excluding COVID</text>
  </threadedComment>
  <threadedComment ref="EW138" dT="2022-11-01T06:17:14.94" personId="{8BD8153B-0117-43D0-8A87-E841916A0FE6}" id="{C587F16D-80B0-468A-95C1-4CD8861AEDCB}">
    <text>6% excluding COVID</text>
  </threadedComment>
  <threadedComment ref="CY187" dT="2023-01-31T04:19:21.84" personId="{8BD8153B-0117-43D0-8A87-E841916A0FE6}" id="{1F116209-3EE9-4C63-87AE-EE843ECBE2D6}">
    <text>6.2B for Arena</text>
  </threadedComment>
  <threadedComment ref="CZ187" dT="2023-01-31T04:19:10.03" personId="{8BD8153B-0117-43D0-8A87-E841916A0FE6}" id="{121341D8-EA0B-4ABB-AA64-EFD11C1B846D}">
    <text>436m for ReViral</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www.asco.org/portal/site/ASCO/menuitem.34d60f5624ba07fd506fe310ee37a01d/?vgnextoid=76f8201eb61a7010VgnVCM100000ed730ad1RCRD&amp;vmview=abst_detail_view&amp;confID=40&amp;index=y&amp;abstractID=34861"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Diseases/RA.xl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PFE/Varenicline%20for%20tobacco%20dependence%20-%20NEJM%202008.pdf"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Diseases/HCV/HCV.xl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hyperlink" Target="HIV.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natap.org/2009/EASL/EASL_34.htm"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5"/>
  <dimension ref="A1:I68"/>
  <sheetViews>
    <sheetView workbookViewId="0">
      <selection activeCell="A2" sqref="A2"/>
    </sheetView>
  </sheetViews>
  <sheetFormatPr baseColWidth="10" defaultColWidth="8.83203125" defaultRowHeight="13"/>
  <cols>
    <col min="1" max="1" width="14" bestFit="1" customWidth="1"/>
    <col min="2" max="2" width="14.6640625" bestFit="1" customWidth="1"/>
    <col min="3" max="4" width="13.1640625" bestFit="1" customWidth="1"/>
    <col min="5" max="5" width="5.5" bestFit="1" customWidth="1"/>
    <col min="6" max="6" width="2.6640625" bestFit="1" customWidth="1"/>
    <col min="7" max="7" width="10.5" bestFit="1" customWidth="1"/>
    <col min="8" max="8" width="4.83203125" bestFit="1" customWidth="1"/>
    <col min="9" max="9" width="19.5" bestFit="1" customWidth="1"/>
  </cols>
  <sheetData>
    <row r="1" spans="1:9">
      <c r="A1" s="16" t="s">
        <v>0</v>
      </c>
    </row>
    <row r="2" spans="1:9">
      <c r="A2" s="16" t="s">
        <v>1236</v>
      </c>
    </row>
    <row r="3" spans="1:9">
      <c r="B3" s="41" t="s">
        <v>9</v>
      </c>
      <c r="C3" s="42" t="s">
        <v>1237</v>
      </c>
      <c r="D3" s="42" t="s">
        <v>1238</v>
      </c>
      <c r="E3" s="43">
        <v>1</v>
      </c>
      <c r="F3" s="42" t="s">
        <v>114</v>
      </c>
      <c r="G3" s="42" t="s">
        <v>1239</v>
      </c>
      <c r="H3" s="42" t="s">
        <v>141</v>
      </c>
    </row>
    <row r="4" spans="1:9">
      <c r="B4" s="27" t="s">
        <v>10</v>
      </c>
      <c r="C4" s="11" t="s">
        <v>1240</v>
      </c>
      <c r="D4" s="11" t="s">
        <v>1241</v>
      </c>
      <c r="E4" s="28">
        <v>1</v>
      </c>
      <c r="F4" s="11" t="s">
        <v>136</v>
      </c>
      <c r="G4" s="11" t="s">
        <v>1242</v>
      </c>
      <c r="H4" s="11"/>
      <c r="I4" s="29" t="s">
        <v>1243</v>
      </c>
    </row>
    <row r="5" spans="1:9">
      <c r="B5" s="102" t="s">
        <v>11</v>
      </c>
    </row>
    <row r="6" spans="1:9">
      <c r="B6" s="102" t="s">
        <v>12</v>
      </c>
    </row>
    <row r="7" spans="1:9">
      <c r="B7" s="102" t="s">
        <v>13</v>
      </c>
    </row>
    <row r="8" spans="1:9">
      <c r="B8" s="4" t="s">
        <v>14</v>
      </c>
      <c r="D8" s="102" t="s">
        <v>1244</v>
      </c>
    </row>
    <row r="9" spans="1:9">
      <c r="B9" s="4" t="s">
        <v>15</v>
      </c>
      <c r="D9" s="102" t="s">
        <v>1245</v>
      </c>
      <c r="E9" s="102" t="s">
        <v>1246</v>
      </c>
    </row>
    <row r="10" spans="1:9">
      <c r="B10" s="4" t="s">
        <v>16</v>
      </c>
      <c r="D10" s="102" t="s">
        <v>1245</v>
      </c>
      <c r="E10" s="102" t="s">
        <v>1246</v>
      </c>
    </row>
    <row r="11" spans="1:9">
      <c r="B11" s="4" t="s">
        <v>17</v>
      </c>
    </row>
    <row r="12" spans="1:9">
      <c r="B12" s="4" t="s">
        <v>18</v>
      </c>
      <c r="C12" s="102" t="s">
        <v>387</v>
      </c>
      <c r="E12" s="102" t="s">
        <v>113</v>
      </c>
    </row>
    <row r="13" spans="1:9">
      <c r="B13" t="s">
        <v>19</v>
      </c>
      <c r="C13" s="102" t="s">
        <v>151</v>
      </c>
    </row>
    <row r="14" spans="1:9">
      <c r="B14" s="4" t="s">
        <v>20</v>
      </c>
      <c r="H14" s="102" t="s">
        <v>141</v>
      </c>
    </row>
    <row r="15" spans="1:9">
      <c r="B15" s="4" t="s">
        <v>21</v>
      </c>
      <c r="C15" t="s">
        <v>151</v>
      </c>
      <c r="D15" s="102" t="s">
        <v>1247</v>
      </c>
    </row>
    <row r="16" spans="1:9">
      <c r="B16" s="4" t="s">
        <v>22</v>
      </c>
      <c r="C16" t="s">
        <v>1248</v>
      </c>
      <c r="D16" t="s">
        <v>1249</v>
      </c>
    </row>
    <row r="17" spans="2:4">
      <c r="B17" s="4" t="s">
        <v>23</v>
      </c>
      <c r="C17" t="s">
        <v>1248</v>
      </c>
      <c r="D17" t="s">
        <v>1250</v>
      </c>
    </row>
    <row r="18" spans="2:4">
      <c r="B18" s="4" t="s">
        <v>24</v>
      </c>
      <c r="C18" t="s">
        <v>1251</v>
      </c>
      <c r="D18" t="s">
        <v>1252</v>
      </c>
    </row>
    <row r="19" spans="2:4">
      <c r="B19" s="4" t="s">
        <v>25</v>
      </c>
      <c r="C19" t="s">
        <v>1251</v>
      </c>
      <c r="D19" t="s">
        <v>1252</v>
      </c>
    </row>
    <row r="20" spans="2:4">
      <c r="B20" s="4" t="s">
        <v>26</v>
      </c>
      <c r="C20" t="s">
        <v>1253</v>
      </c>
    </row>
    <row r="21" spans="2:4">
      <c r="B21" s="4" t="s">
        <v>27</v>
      </c>
      <c r="C21" t="s">
        <v>1254</v>
      </c>
    </row>
    <row r="22" spans="2:4">
      <c r="B22" s="4" t="s">
        <v>28</v>
      </c>
      <c r="C22" t="s">
        <v>1255</v>
      </c>
      <c r="D22" t="s">
        <v>1256</v>
      </c>
    </row>
    <row r="23" spans="2:4">
      <c r="B23" s="4" t="s">
        <v>29</v>
      </c>
      <c r="C23" t="s">
        <v>1257</v>
      </c>
      <c r="D23" t="s">
        <v>1258</v>
      </c>
    </row>
    <row r="24" spans="2:4">
      <c r="B24" s="4" t="s">
        <v>30</v>
      </c>
      <c r="C24" t="s">
        <v>1259</v>
      </c>
    </row>
    <row r="25" spans="2:4">
      <c r="B25" s="4" t="s">
        <v>31</v>
      </c>
      <c r="C25" t="s">
        <v>1260</v>
      </c>
    </row>
    <row r="26" spans="2:4">
      <c r="B26" s="4" t="s">
        <v>32</v>
      </c>
      <c r="C26" t="s">
        <v>1261</v>
      </c>
    </row>
    <row r="27" spans="2:4">
      <c r="B27" s="4" t="s">
        <v>33</v>
      </c>
      <c r="C27" t="s">
        <v>1262</v>
      </c>
      <c r="D27" t="s">
        <v>1263</v>
      </c>
    </row>
    <row r="28" spans="2:4">
      <c r="B28" s="4" t="s">
        <v>34</v>
      </c>
      <c r="C28" t="s">
        <v>151</v>
      </c>
      <c r="D28" t="s">
        <v>1264</v>
      </c>
    </row>
    <row r="29" spans="2:4">
      <c r="B29" s="4" t="s">
        <v>35</v>
      </c>
      <c r="C29" t="s">
        <v>151</v>
      </c>
      <c r="D29" t="s">
        <v>1265</v>
      </c>
    </row>
    <row r="30" spans="2:4">
      <c r="B30" s="4" t="s">
        <v>36</v>
      </c>
      <c r="C30" t="s">
        <v>151</v>
      </c>
      <c r="D30" t="s">
        <v>1266</v>
      </c>
    </row>
    <row r="31" spans="2:4">
      <c r="B31" s="14" t="s">
        <v>37</v>
      </c>
      <c r="C31" s="102" t="s">
        <v>151</v>
      </c>
      <c r="D31" s="102" t="s">
        <v>1267</v>
      </c>
    </row>
    <row r="32" spans="2:4">
      <c r="B32" s="14" t="s">
        <v>38</v>
      </c>
      <c r="C32" s="102" t="s">
        <v>151</v>
      </c>
      <c r="D32" s="102" t="s">
        <v>1268</v>
      </c>
    </row>
    <row r="33" spans="2:4">
      <c r="B33" s="14" t="s">
        <v>39</v>
      </c>
      <c r="C33" s="102" t="s">
        <v>151</v>
      </c>
      <c r="D33" s="102" t="s">
        <v>1269</v>
      </c>
    </row>
    <row r="34" spans="2:4">
      <c r="B34" s="14" t="s">
        <v>40</v>
      </c>
      <c r="C34" s="102" t="s">
        <v>151</v>
      </c>
      <c r="D34" s="102" t="s">
        <v>1270</v>
      </c>
    </row>
    <row r="35" spans="2:4">
      <c r="B35" s="14" t="s">
        <v>41</v>
      </c>
      <c r="C35" s="102" t="s">
        <v>1271</v>
      </c>
      <c r="D35" s="102" t="s">
        <v>1272</v>
      </c>
    </row>
    <row r="36" spans="2:4">
      <c r="B36" s="14" t="s">
        <v>42</v>
      </c>
      <c r="C36" s="102" t="s">
        <v>151</v>
      </c>
      <c r="D36" s="102" t="s">
        <v>1273</v>
      </c>
    </row>
    <row r="37" spans="2:4">
      <c r="B37" s="14" t="s">
        <v>43</v>
      </c>
      <c r="C37" s="102" t="s">
        <v>151</v>
      </c>
      <c r="D37" s="102" t="s">
        <v>1274</v>
      </c>
    </row>
    <row r="38" spans="2:4">
      <c r="B38" s="14" t="s">
        <v>44</v>
      </c>
      <c r="C38" s="102" t="s">
        <v>164</v>
      </c>
    </row>
    <row r="39" spans="2:4">
      <c r="B39" s="14" t="s">
        <v>45</v>
      </c>
      <c r="C39" s="102" t="s">
        <v>376</v>
      </c>
      <c r="D39" s="102" t="s">
        <v>1275</v>
      </c>
    </row>
    <row r="40" spans="2:4">
      <c r="B40" s="14" t="s">
        <v>46</v>
      </c>
      <c r="C40" s="102" t="s">
        <v>169</v>
      </c>
      <c r="D40" s="102" t="s">
        <v>1276</v>
      </c>
    </row>
    <row r="41" spans="2:4">
      <c r="B41" s="14" t="s">
        <v>47</v>
      </c>
      <c r="C41" s="102" t="s">
        <v>169</v>
      </c>
    </row>
    <row r="42" spans="2:4">
      <c r="B42" s="14" t="s">
        <v>48</v>
      </c>
      <c r="C42" s="102" t="s">
        <v>169</v>
      </c>
    </row>
    <row r="43" spans="2:4">
      <c r="B43" s="14" t="s">
        <v>49</v>
      </c>
      <c r="C43" s="102" t="s">
        <v>157</v>
      </c>
      <c r="D43" s="102" t="s">
        <v>1277</v>
      </c>
    </row>
    <row r="44" spans="2:4">
      <c r="B44" s="14" t="s">
        <v>50</v>
      </c>
      <c r="C44" s="102" t="s">
        <v>1278</v>
      </c>
      <c r="D44" s="102" t="s">
        <v>1279</v>
      </c>
    </row>
    <row r="45" spans="2:4">
      <c r="B45" s="14" t="s">
        <v>51</v>
      </c>
      <c r="C45" s="102" t="s">
        <v>486</v>
      </c>
      <c r="D45" s="102" t="s">
        <v>1280</v>
      </c>
    </row>
    <row r="46" spans="2:4">
      <c r="B46" s="14" t="s">
        <v>52</v>
      </c>
      <c r="C46" s="102" t="s">
        <v>1281</v>
      </c>
      <c r="D46" s="102" t="s">
        <v>164</v>
      </c>
    </row>
    <row r="47" spans="2:4">
      <c r="B47" s="14" t="s">
        <v>53</v>
      </c>
      <c r="C47" s="102" t="s">
        <v>149</v>
      </c>
      <c r="D47" s="102" t="s">
        <v>164</v>
      </c>
    </row>
    <row r="48" spans="2:4">
      <c r="B48" s="14" t="s">
        <v>54</v>
      </c>
      <c r="C48" s="102" t="s">
        <v>160</v>
      </c>
      <c r="D48" s="102" t="s">
        <v>1282</v>
      </c>
    </row>
    <row r="49" spans="2:5">
      <c r="B49" s="14" t="s">
        <v>55</v>
      </c>
      <c r="C49" s="102" t="s">
        <v>160</v>
      </c>
    </row>
    <row r="50" spans="2:5">
      <c r="B50" s="14" t="s">
        <v>56</v>
      </c>
      <c r="C50" s="102" t="s">
        <v>151</v>
      </c>
      <c r="D50" s="102" t="s">
        <v>1283</v>
      </c>
    </row>
    <row r="51" spans="2:5">
      <c r="B51" s="14" t="s">
        <v>57</v>
      </c>
      <c r="C51" s="102" t="s">
        <v>402</v>
      </c>
      <c r="D51" s="102" t="s">
        <v>1284</v>
      </c>
    </row>
    <row r="52" spans="2:5">
      <c r="B52" s="14" t="s">
        <v>58</v>
      </c>
      <c r="C52" s="102" t="s">
        <v>151</v>
      </c>
      <c r="D52" s="102" t="s">
        <v>1285</v>
      </c>
    </row>
    <row r="53" spans="2:5">
      <c r="B53" s="14" t="s">
        <v>59</v>
      </c>
      <c r="C53" s="102" t="s">
        <v>157</v>
      </c>
      <c r="D53" s="102" t="s">
        <v>1286</v>
      </c>
    </row>
    <row r="54" spans="2:5">
      <c r="B54" s="14" t="s">
        <v>60</v>
      </c>
      <c r="C54" s="102" t="s">
        <v>1287</v>
      </c>
      <c r="D54" s="102" t="s">
        <v>376</v>
      </c>
    </row>
    <row r="55" spans="2:5">
      <c r="B55" s="14" t="s">
        <v>61</v>
      </c>
      <c r="C55" s="102" t="s">
        <v>1288</v>
      </c>
      <c r="D55" s="102" t="s">
        <v>1289</v>
      </c>
    </row>
    <row r="56" spans="2:5">
      <c r="B56" s="14" t="s">
        <v>62</v>
      </c>
      <c r="C56" s="102" t="s">
        <v>379</v>
      </c>
    </row>
    <row r="57" spans="2:5">
      <c r="B57" s="14" t="s">
        <v>1290</v>
      </c>
      <c r="C57" s="102" t="s">
        <v>157</v>
      </c>
      <c r="D57" s="102" t="s">
        <v>1291</v>
      </c>
      <c r="E57" s="102" t="s">
        <v>1292</v>
      </c>
    </row>
    <row r="58" spans="2:5">
      <c r="B58" s="14" t="s">
        <v>65</v>
      </c>
      <c r="C58" s="102" t="s">
        <v>228</v>
      </c>
      <c r="D58" s="102" t="s">
        <v>229</v>
      </c>
    </row>
    <row r="59" spans="2:5">
      <c r="B59" s="14" t="s">
        <v>66</v>
      </c>
      <c r="C59" s="102" t="s">
        <v>1293</v>
      </c>
      <c r="D59" s="102" t="s">
        <v>149</v>
      </c>
    </row>
    <row r="60" spans="2:5">
      <c r="B60" s="14" t="s">
        <v>67</v>
      </c>
      <c r="C60" s="102" t="s">
        <v>169</v>
      </c>
      <c r="D60" s="102" t="s">
        <v>1294</v>
      </c>
    </row>
    <row r="61" spans="2:5">
      <c r="B61" s="14" t="s">
        <v>68</v>
      </c>
      <c r="C61" s="102" t="s">
        <v>1295</v>
      </c>
    </row>
    <row r="62" spans="2:5">
      <c r="B62" s="14" t="s">
        <v>69</v>
      </c>
      <c r="C62" s="102" t="s">
        <v>1296</v>
      </c>
      <c r="D62" s="102" t="s">
        <v>1297</v>
      </c>
    </row>
    <row r="63" spans="2:5">
      <c r="B63" s="14" t="s">
        <v>70</v>
      </c>
      <c r="C63" s="102" t="s">
        <v>1254</v>
      </c>
    </row>
    <row r="64" spans="2:5">
      <c r="B64" s="14" t="s">
        <v>71</v>
      </c>
      <c r="C64" s="102" t="s">
        <v>1298</v>
      </c>
    </row>
    <row r="65" spans="2:4">
      <c r="B65" s="14" t="s">
        <v>72</v>
      </c>
      <c r="C65" s="102" t="s">
        <v>1299</v>
      </c>
    </row>
    <row r="66" spans="2:4">
      <c r="B66" s="14" t="s">
        <v>73</v>
      </c>
      <c r="C66" s="102" t="s">
        <v>1300</v>
      </c>
      <c r="D66" s="102" t="s">
        <v>345</v>
      </c>
    </row>
    <row r="67" spans="2:4">
      <c r="B67" s="14" t="s">
        <v>74</v>
      </c>
      <c r="C67" s="102" t="s">
        <v>486</v>
      </c>
      <c r="D67" s="102" t="s">
        <v>1301</v>
      </c>
    </row>
    <row r="68" spans="2:4">
      <c r="B68" s="14" t="s">
        <v>75</v>
      </c>
      <c r="C68" s="102" t="s">
        <v>228</v>
      </c>
      <c r="D68" s="102" t="s">
        <v>1302</v>
      </c>
    </row>
  </sheetData>
  <hyperlinks>
    <hyperlink ref="A1" location="Main!A1" display="Main" xr:uid="{00000000-0004-0000-2400-000000000000}"/>
    <hyperlink ref="A2" location="'Master Pipeline'!A1" display="Master Pipeline" xr:uid="{00000000-0004-0000-24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A7EF1-DF07-4E61-B682-49A4899F9BA4}">
  <sheetPr codeName="Sheet9"/>
  <dimension ref="A1:C15"/>
  <sheetViews>
    <sheetView zoomScale="150" zoomScaleNormal="150" workbookViewId="0">
      <selection activeCell="A7" sqref="A7"/>
    </sheetView>
  </sheetViews>
  <sheetFormatPr baseColWidth="10" defaultColWidth="8.83203125" defaultRowHeight="13"/>
  <cols>
    <col min="1" max="1" width="5" bestFit="1" customWidth="1"/>
    <col min="2" max="2" width="12" bestFit="1" customWidth="1"/>
  </cols>
  <sheetData>
    <row r="1" spans="1:3">
      <c r="A1" s="16" t="s">
        <v>0</v>
      </c>
    </row>
    <row r="2" spans="1:3">
      <c r="B2" s="102" t="s">
        <v>1398</v>
      </c>
      <c r="C2" s="102" t="s">
        <v>1467</v>
      </c>
    </row>
    <row r="3" spans="1:3">
      <c r="B3" s="102" t="s">
        <v>1399</v>
      </c>
      <c r="C3" s="102" t="s">
        <v>1468</v>
      </c>
    </row>
    <row r="4" spans="1:3">
      <c r="B4" s="102" t="s">
        <v>1438</v>
      </c>
      <c r="C4" s="102" t="s">
        <v>1439</v>
      </c>
    </row>
    <row r="5" spans="1:3">
      <c r="B5" s="102"/>
      <c r="C5" s="102" t="s">
        <v>1470</v>
      </c>
    </row>
    <row r="6" spans="1:3">
      <c r="B6" s="102" t="s">
        <v>885</v>
      </c>
      <c r="C6" s="102" t="s">
        <v>1540</v>
      </c>
    </row>
    <row r="7" spans="1:3">
      <c r="B7" s="102" t="s">
        <v>933</v>
      </c>
    </row>
    <row r="8" spans="1:3">
      <c r="C8" s="38" t="s">
        <v>1535</v>
      </c>
    </row>
    <row r="9" spans="1:3">
      <c r="C9" s="102" t="s">
        <v>1469</v>
      </c>
    </row>
    <row r="11" spans="1:3">
      <c r="C11" s="38" t="s">
        <v>1536</v>
      </c>
    </row>
    <row r="13" spans="1:3">
      <c r="C13" s="38" t="s">
        <v>1539</v>
      </c>
    </row>
    <row r="14" spans="1:3">
      <c r="C14" s="102" t="s">
        <v>1537</v>
      </c>
    </row>
    <row r="15" spans="1:3">
      <c r="C15" s="102" t="s">
        <v>1538</v>
      </c>
    </row>
  </sheetData>
  <hyperlinks>
    <hyperlink ref="A1" location="Main!A1" display="Main" xr:uid="{0D34A44C-390E-4D95-9A20-B049345450C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0">
    <pageSetUpPr fitToPage="1"/>
  </sheetPr>
  <dimension ref="A1:C81"/>
  <sheetViews>
    <sheetView workbookViewId="0"/>
  </sheetViews>
  <sheetFormatPr baseColWidth="10" defaultColWidth="9.1640625" defaultRowHeight="13"/>
  <cols>
    <col min="1" max="1" width="5" style="4" bestFit="1" customWidth="1"/>
    <col min="2" max="2" width="12.83203125" style="4" bestFit="1" customWidth="1"/>
    <col min="3" max="16384" width="9.1640625" style="4"/>
  </cols>
  <sheetData>
    <row r="1" spans="1:3">
      <c r="A1" s="13" t="s">
        <v>0</v>
      </c>
    </row>
    <row r="2" spans="1:3">
      <c r="B2" s="4" t="s">
        <v>2</v>
      </c>
      <c r="C2" s="4" t="s">
        <v>1193</v>
      </c>
    </row>
    <row r="3" spans="1:3">
      <c r="B3" s="4" t="s">
        <v>3</v>
      </c>
      <c r="C3" s="4" t="s">
        <v>1194</v>
      </c>
    </row>
    <row r="4" spans="1:3">
      <c r="B4" s="4" t="s">
        <v>5</v>
      </c>
      <c r="C4" s="4" t="s">
        <v>1195</v>
      </c>
    </row>
    <row r="5" spans="1:3">
      <c r="B5" s="4" t="s">
        <v>6</v>
      </c>
      <c r="C5" s="4" t="s">
        <v>1196</v>
      </c>
    </row>
    <row r="6" spans="1:3">
      <c r="B6" s="4" t="s">
        <v>295</v>
      </c>
      <c r="C6" s="4" t="s">
        <v>1197</v>
      </c>
    </row>
    <row r="7" spans="1:3">
      <c r="B7" s="4" t="s">
        <v>885</v>
      </c>
      <c r="C7" s="4" t="s">
        <v>1198</v>
      </c>
    </row>
    <row r="8" spans="1:3">
      <c r="C8" s="4" t="s">
        <v>1199</v>
      </c>
    </row>
    <row r="9" spans="1:3">
      <c r="C9" s="4" t="s">
        <v>1200</v>
      </c>
    </row>
    <row r="10" spans="1:3">
      <c r="B10" s="4" t="s">
        <v>889</v>
      </c>
      <c r="C10" s="4" t="s">
        <v>1201</v>
      </c>
    </row>
    <row r="11" spans="1:3">
      <c r="B11" s="4" t="s">
        <v>1005</v>
      </c>
      <c r="C11" s="4" t="s">
        <v>1202</v>
      </c>
    </row>
    <row r="12" spans="1:3">
      <c r="B12" s="4" t="s">
        <v>933</v>
      </c>
    </row>
    <row r="14" spans="1:3" s="31" customFormat="1">
      <c r="C14" s="34" t="s">
        <v>1203</v>
      </c>
    </row>
    <row r="16" spans="1:3">
      <c r="C16" s="22" t="s">
        <v>1204</v>
      </c>
    </row>
    <row r="17" spans="3:3">
      <c r="C17" s="22" t="s">
        <v>1205</v>
      </c>
    </row>
    <row r="18" spans="3:3">
      <c r="C18" s="22" t="s">
        <v>1206</v>
      </c>
    </row>
    <row r="19" spans="3:3">
      <c r="C19" s="14" t="s">
        <v>1207</v>
      </c>
    </row>
    <row r="21" spans="3:3">
      <c r="C21" s="4" t="s">
        <v>1208</v>
      </c>
    </row>
    <row r="23" spans="3:3">
      <c r="C23" s="22" t="s">
        <v>1209</v>
      </c>
    </row>
    <row r="24" spans="3:3">
      <c r="C24" s="4" t="s">
        <v>1210</v>
      </c>
    </row>
    <row r="25" spans="3:3">
      <c r="C25" s="4" t="s">
        <v>1211</v>
      </c>
    </row>
    <row r="27" spans="3:3">
      <c r="C27" s="22" t="s">
        <v>1212</v>
      </c>
    </row>
    <row r="28" spans="3:3">
      <c r="C28" s="4" t="s">
        <v>1213</v>
      </c>
    </row>
    <row r="29" spans="3:3">
      <c r="C29" s="4" t="s">
        <v>1214</v>
      </c>
    </row>
    <row r="30" spans="3:3">
      <c r="C30" s="4" t="s">
        <v>1215</v>
      </c>
    </row>
    <row r="32" spans="3:3">
      <c r="C32" s="22" t="s">
        <v>1216</v>
      </c>
    </row>
    <row r="33" spans="3:3">
      <c r="C33" s="4" t="s">
        <v>1217</v>
      </c>
    </row>
    <row r="34" spans="3:3">
      <c r="C34" s="4" t="s">
        <v>1218</v>
      </c>
    </row>
    <row r="36" spans="3:3">
      <c r="C36" s="22" t="s">
        <v>1219</v>
      </c>
    </row>
    <row r="37" spans="3:3">
      <c r="C37" s="4" t="s">
        <v>1220</v>
      </c>
    </row>
    <row r="38" spans="3:3">
      <c r="C38" s="4" t="s">
        <v>1221</v>
      </c>
    </row>
    <row r="39" spans="3:3" ht="14.25" customHeight="1"/>
    <row r="40" spans="3:3" ht="11.25" customHeight="1">
      <c r="C40" s="22" t="s">
        <v>1222</v>
      </c>
    </row>
    <row r="41" spans="3:3" ht="11.25" customHeight="1">
      <c r="C41" s="14" t="s">
        <v>1223</v>
      </c>
    </row>
    <row r="42" spans="3:3" ht="11.25" customHeight="1">
      <c r="C42" s="14" t="s">
        <v>1224</v>
      </c>
    </row>
    <row r="45" spans="3:3" s="31" customFormat="1">
      <c r="C45" s="34" t="s">
        <v>1225</v>
      </c>
    </row>
    <row r="46" spans="3:3" s="31" customFormat="1"/>
    <row r="47" spans="3:3" s="31" customFormat="1">
      <c r="C47" s="34" t="s">
        <v>1226</v>
      </c>
    </row>
    <row r="49" spans="3:3">
      <c r="C49" s="22" t="s">
        <v>1227</v>
      </c>
    </row>
    <row r="50" spans="3:3">
      <c r="C50" s="14" t="s">
        <v>1228</v>
      </c>
    </row>
    <row r="51" spans="3:3">
      <c r="C51" s="4" t="s">
        <v>1229</v>
      </c>
    </row>
    <row r="52" spans="3:3">
      <c r="C52" s="4" t="s">
        <v>1230</v>
      </c>
    </row>
    <row r="62" spans="3:3">
      <c r="C62" s="14"/>
    </row>
    <row r="80" spans="3:3">
      <c r="C80" s="22" t="s">
        <v>1231</v>
      </c>
    </row>
    <row r="81" spans="3:3">
      <c r="C81" s="4" t="s">
        <v>1232</v>
      </c>
    </row>
  </sheetData>
  <phoneticPr fontId="3" type="noConversion"/>
  <hyperlinks>
    <hyperlink ref="A1" location="Main!A1" display="Main" xr:uid="{00000000-0004-0000-2200-000000000000}"/>
  </hyperlinks>
  <pageMargins left="0.75" right="0.75" top="1" bottom="1" header="0.5" footer="0.5"/>
  <pageSetup scale="47" orientation="landscape"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AC40"/>
  <sheetViews>
    <sheetView zoomScale="130" zoomScaleNormal="130" workbookViewId="0"/>
  </sheetViews>
  <sheetFormatPr baseColWidth="10" defaultColWidth="8.83203125" defaultRowHeight="13"/>
  <cols>
    <col min="1" max="1" width="5" bestFit="1" customWidth="1"/>
    <col min="2" max="2" width="18.33203125" bestFit="1" customWidth="1"/>
    <col min="3" max="29" width="9.1640625" style="113"/>
  </cols>
  <sheetData>
    <row r="1" spans="1:29">
      <c r="A1" s="16" t="s">
        <v>0</v>
      </c>
      <c r="C1"/>
    </row>
    <row r="2" spans="1:29">
      <c r="B2" s="102" t="s">
        <v>2</v>
      </c>
      <c r="C2" s="102" t="s">
        <v>1541</v>
      </c>
    </row>
    <row r="3" spans="1:29">
      <c r="B3" s="102" t="s">
        <v>3</v>
      </c>
      <c r="C3" s="102" t="s">
        <v>887</v>
      </c>
    </row>
    <row r="4" spans="1:29">
      <c r="B4" s="102" t="s">
        <v>5</v>
      </c>
      <c r="C4" s="102" t="s">
        <v>1518</v>
      </c>
    </row>
    <row r="5" spans="1:29">
      <c r="B5" s="102" t="s">
        <v>6</v>
      </c>
      <c r="C5" s="102" t="s">
        <v>324</v>
      </c>
    </row>
    <row r="6" spans="1:29">
      <c r="B6" s="102" t="s">
        <v>888</v>
      </c>
      <c r="C6" s="102" t="s">
        <v>326</v>
      </c>
    </row>
    <row r="7" spans="1:29">
      <c r="B7" s="102" t="s">
        <v>1438</v>
      </c>
      <c r="C7" s="102" t="s">
        <v>890</v>
      </c>
    </row>
    <row r="8" spans="1:29">
      <c r="B8" s="102"/>
      <c r="C8" s="102" t="s">
        <v>891</v>
      </c>
    </row>
    <row r="9" spans="1:29">
      <c r="B9" s="102"/>
      <c r="C9" s="102" t="s">
        <v>1542</v>
      </c>
    </row>
    <row r="10" spans="1:29">
      <c r="B10" s="102" t="s">
        <v>297</v>
      </c>
      <c r="C10" s="102" t="s">
        <v>892</v>
      </c>
    </row>
    <row r="11" spans="1:29">
      <c r="B11" s="102" t="s">
        <v>295</v>
      </c>
      <c r="C11" s="102" t="s">
        <v>893</v>
      </c>
    </row>
    <row r="12" spans="1:29">
      <c r="B12" s="102" t="s">
        <v>894</v>
      </c>
      <c r="C12" s="102" t="s">
        <v>895</v>
      </c>
    </row>
    <row r="13" spans="1:29">
      <c r="B13" s="102" t="s">
        <v>896</v>
      </c>
      <c r="C13"/>
    </row>
    <row r="15" spans="1:29">
      <c r="C15" s="114">
        <v>2005</v>
      </c>
      <c r="D15" s="114">
        <v>2006</v>
      </c>
      <c r="E15" s="114">
        <v>2007</v>
      </c>
      <c r="F15" s="114">
        <v>2008</v>
      </c>
      <c r="G15" s="114">
        <v>2009</v>
      </c>
      <c r="H15" s="114">
        <v>2010</v>
      </c>
      <c r="I15" s="114">
        <f>H15+1</f>
        <v>2011</v>
      </c>
      <c r="J15" s="114">
        <f t="shared" ref="J15:R15" si="0">I15+1</f>
        <v>2012</v>
      </c>
      <c r="K15" s="114">
        <f t="shared" si="0"/>
        <v>2013</v>
      </c>
      <c r="L15" s="114">
        <f t="shared" si="0"/>
        <v>2014</v>
      </c>
      <c r="M15" s="114">
        <f t="shared" si="0"/>
        <v>2015</v>
      </c>
      <c r="N15" s="114">
        <f t="shared" si="0"/>
        <v>2016</v>
      </c>
      <c r="O15" s="114">
        <f t="shared" si="0"/>
        <v>2017</v>
      </c>
      <c r="P15" s="114">
        <f t="shared" si="0"/>
        <v>2018</v>
      </c>
      <c r="Q15" s="114">
        <f t="shared" si="0"/>
        <v>2019</v>
      </c>
      <c r="R15" s="114">
        <f t="shared" si="0"/>
        <v>2020</v>
      </c>
      <c r="T15" s="112" t="s">
        <v>580</v>
      </c>
      <c r="U15" s="112" t="s">
        <v>581</v>
      </c>
      <c r="V15" s="112" t="s">
        <v>582</v>
      </c>
      <c r="W15" s="112" t="s">
        <v>583</v>
      </c>
      <c r="X15" s="112" t="s">
        <v>584</v>
      </c>
      <c r="Y15" s="112" t="s">
        <v>585</v>
      </c>
      <c r="Z15" s="112" t="s">
        <v>586</v>
      </c>
      <c r="AA15" s="112" t="s">
        <v>587</v>
      </c>
      <c r="AB15" s="112" t="s">
        <v>588</v>
      </c>
      <c r="AC15" s="112" t="s">
        <v>589</v>
      </c>
    </row>
    <row r="16" spans="1:29" s="118" customFormat="1">
      <c r="B16" s="118" t="s">
        <v>897</v>
      </c>
      <c r="C16" s="121">
        <v>1508</v>
      </c>
      <c r="D16" s="121">
        <v>1961</v>
      </c>
      <c r="E16" s="121">
        <v>2439</v>
      </c>
      <c r="F16" s="121">
        <v>2716</v>
      </c>
      <c r="G16" s="121">
        <v>2888</v>
      </c>
      <c r="H16" s="121">
        <f t="shared" ref="H16:H24" si="1">SUM(U16:X16)</f>
        <v>3669</v>
      </c>
      <c r="I16" s="121">
        <f>SUM(Y16:AB16)</f>
        <v>4145</v>
      </c>
      <c r="J16" s="119"/>
      <c r="K16" s="119"/>
      <c r="L16" s="119"/>
      <c r="M16" s="119"/>
      <c r="N16" s="119"/>
      <c r="O16" s="119"/>
      <c r="P16" s="119"/>
      <c r="Q16" s="119"/>
      <c r="R16" s="119"/>
      <c r="S16" s="119"/>
      <c r="T16" s="121">
        <f t="shared" ref="T16:W18" si="2">+T19+T22</f>
        <v>287</v>
      </c>
      <c r="U16" s="121">
        <f t="shared" si="2"/>
        <v>806</v>
      </c>
      <c r="V16" s="121">
        <f t="shared" si="2"/>
        <v>900</v>
      </c>
      <c r="W16" s="121">
        <f t="shared" si="2"/>
        <v>914</v>
      </c>
      <c r="X16" s="121">
        <f t="shared" ref="X16" si="3">+X19+X22</f>
        <v>1049</v>
      </c>
      <c r="Y16" s="121">
        <f>+Y19+Y22</f>
        <v>1149</v>
      </c>
      <c r="Z16" s="121">
        <f t="shared" ref="Z16:AC18" si="4">+Z19+Z22</f>
        <v>976</v>
      </c>
      <c r="AA16" s="121">
        <f t="shared" si="4"/>
        <v>1104</v>
      </c>
      <c r="AB16" s="121">
        <f t="shared" si="4"/>
        <v>916</v>
      </c>
      <c r="AC16" s="121">
        <f t="shared" si="4"/>
        <v>1079</v>
      </c>
    </row>
    <row r="17" spans="2:29">
      <c r="B17" s="102" t="s">
        <v>898</v>
      </c>
      <c r="C17" s="115"/>
      <c r="D17" s="115"/>
      <c r="E17" s="115"/>
      <c r="F17" s="115"/>
      <c r="G17" s="115"/>
      <c r="H17" s="122">
        <f t="shared" si="1"/>
        <v>1975</v>
      </c>
      <c r="I17" s="122">
        <f t="shared" ref="I17:I24" si="5">SUM(Y17:AB17)</f>
        <v>1928</v>
      </c>
      <c r="T17" s="115">
        <f t="shared" si="2"/>
        <v>144</v>
      </c>
      <c r="U17" s="115">
        <f t="shared" si="2"/>
        <v>389</v>
      </c>
      <c r="V17" s="115">
        <f t="shared" si="2"/>
        <v>516</v>
      </c>
      <c r="W17" s="115">
        <f t="shared" si="2"/>
        <v>540</v>
      </c>
      <c r="X17" s="115">
        <f t="shared" ref="X17" si="6">+X20+X23</f>
        <v>530</v>
      </c>
      <c r="Y17" s="115">
        <f>+Y20+Y23</f>
        <v>651</v>
      </c>
      <c r="Z17" s="115">
        <f t="shared" si="4"/>
        <v>428</v>
      </c>
      <c r="AA17" s="115">
        <f t="shared" si="4"/>
        <v>454</v>
      </c>
      <c r="AB17" s="115">
        <f>+AB20+AB23</f>
        <v>395</v>
      </c>
      <c r="AC17" s="115">
        <f t="shared" si="4"/>
        <v>554</v>
      </c>
    </row>
    <row r="18" spans="2:29">
      <c r="B18" s="102" t="s">
        <v>899</v>
      </c>
      <c r="C18" s="115"/>
      <c r="D18" s="115"/>
      <c r="E18" s="115"/>
      <c r="F18" s="115"/>
      <c r="G18" s="115"/>
      <c r="H18" s="122">
        <f t="shared" si="1"/>
        <v>1694</v>
      </c>
      <c r="I18" s="122">
        <f t="shared" si="5"/>
        <v>2217</v>
      </c>
      <c r="T18" s="115">
        <f t="shared" si="2"/>
        <v>143</v>
      </c>
      <c r="U18" s="115">
        <f t="shared" si="2"/>
        <v>417</v>
      </c>
      <c r="V18" s="115">
        <f t="shared" si="2"/>
        <v>384</v>
      </c>
      <c r="W18" s="115">
        <f t="shared" si="2"/>
        <v>374</v>
      </c>
      <c r="X18" s="115">
        <f t="shared" ref="X18" si="7">+X21+X24</f>
        <v>519</v>
      </c>
      <c r="Y18" s="115">
        <f>+Y21+Y24</f>
        <v>498</v>
      </c>
      <c r="Z18" s="115">
        <f t="shared" si="4"/>
        <v>548</v>
      </c>
      <c r="AA18" s="115">
        <f t="shared" si="4"/>
        <v>650</v>
      </c>
      <c r="AB18" s="115">
        <f>+AB21+AB24</f>
        <v>521</v>
      </c>
      <c r="AC18" s="115">
        <f t="shared" si="4"/>
        <v>525</v>
      </c>
    </row>
    <row r="19" spans="2:29" s="118" customFormat="1">
      <c r="B19" s="118" t="s">
        <v>900</v>
      </c>
      <c r="C19" s="119"/>
      <c r="D19" s="119"/>
      <c r="E19" s="119"/>
      <c r="F19" s="119"/>
      <c r="G19" s="119"/>
      <c r="H19" s="121">
        <f t="shared" si="1"/>
        <v>2416</v>
      </c>
      <c r="I19" s="121">
        <f t="shared" si="5"/>
        <v>3657</v>
      </c>
      <c r="J19" s="119"/>
      <c r="K19" s="119"/>
      <c r="L19" s="119"/>
      <c r="M19" s="119"/>
      <c r="N19" s="119"/>
      <c r="O19" s="119"/>
      <c r="P19" s="119"/>
      <c r="Q19" s="119"/>
      <c r="R19" s="119"/>
      <c r="S19" s="119"/>
      <c r="T19" s="121">
        <f>T20+T21</f>
        <v>0</v>
      </c>
      <c r="U19" s="121">
        <f>U20+U21</f>
        <v>286</v>
      </c>
      <c r="V19" s="121">
        <f>V20+V21</f>
        <v>569</v>
      </c>
      <c r="W19" s="121">
        <f>W20+W21</f>
        <v>735</v>
      </c>
      <c r="X19" s="121">
        <f t="shared" ref="X19:AB19" si="8">X20+X21</f>
        <v>826</v>
      </c>
      <c r="Y19" s="121">
        <f t="shared" si="8"/>
        <v>996</v>
      </c>
      <c r="Z19" s="121">
        <f t="shared" si="8"/>
        <v>821</v>
      </c>
      <c r="AA19" s="121">
        <f t="shared" si="8"/>
        <v>1006</v>
      </c>
      <c r="AB19" s="121">
        <f t="shared" si="8"/>
        <v>834</v>
      </c>
      <c r="AC19" s="121">
        <f>AC20+AC21</f>
        <v>941</v>
      </c>
    </row>
    <row r="20" spans="2:29">
      <c r="B20" s="102" t="s">
        <v>901</v>
      </c>
      <c r="H20" s="122">
        <f t="shared" si="1"/>
        <v>1761</v>
      </c>
      <c r="I20" s="122">
        <f t="shared" si="5"/>
        <v>1928</v>
      </c>
      <c r="T20" s="113">
        <v>0</v>
      </c>
      <c r="U20" s="113">
        <v>208</v>
      </c>
      <c r="V20" s="113">
        <v>483</v>
      </c>
      <c r="W20" s="113">
        <v>540</v>
      </c>
      <c r="X20" s="113">
        <v>530</v>
      </c>
      <c r="Y20" s="115">
        <v>651</v>
      </c>
      <c r="Z20" s="115">
        <v>428</v>
      </c>
      <c r="AA20" s="115">
        <v>454</v>
      </c>
      <c r="AB20" s="115">
        <v>395</v>
      </c>
      <c r="AC20" s="115">
        <v>554</v>
      </c>
    </row>
    <row r="21" spans="2:29">
      <c r="B21" s="102" t="s">
        <v>902</v>
      </c>
      <c r="H21" s="122">
        <f t="shared" si="1"/>
        <v>655</v>
      </c>
      <c r="I21" s="122">
        <f t="shared" si="5"/>
        <v>1729</v>
      </c>
      <c r="T21" s="113">
        <v>0</v>
      </c>
      <c r="U21" s="113">
        <v>78</v>
      </c>
      <c r="V21" s="113">
        <v>86</v>
      </c>
      <c r="W21" s="113">
        <v>195</v>
      </c>
      <c r="X21" s="113">
        <v>296</v>
      </c>
      <c r="Y21" s="115">
        <v>345</v>
      </c>
      <c r="Z21" s="115">
        <v>393</v>
      </c>
      <c r="AA21" s="115">
        <v>552</v>
      </c>
      <c r="AB21" s="115">
        <v>439</v>
      </c>
      <c r="AC21" s="115">
        <v>387</v>
      </c>
    </row>
    <row r="22" spans="2:29" s="118" customFormat="1">
      <c r="B22" s="118" t="s">
        <v>903</v>
      </c>
      <c r="C22" s="119"/>
      <c r="D22" s="119"/>
      <c r="E22" s="119"/>
      <c r="F22" s="119"/>
      <c r="G22" s="119"/>
      <c r="H22" s="121">
        <f t="shared" si="1"/>
        <v>1253</v>
      </c>
      <c r="I22" s="121">
        <f t="shared" si="5"/>
        <v>488</v>
      </c>
      <c r="J22" s="119"/>
      <c r="K22" s="119"/>
      <c r="L22" s="119"/>
      <c r="M22" s="119"/>
      <c r="N22" s="119"/>
      <c r="O22" s="119"/>
      <c r="P22" s="119"/>
      <c r="Q22" s="119"/>
      <c r="R22" s="119"/>
      <c r="S22" s="119"/>
      <c r="T22" s="121">
        <f>T23+T24</f>
        <v>287</v>
      </c>
      <c r="U22" s="121">
        <f>U23+U24</f>
        <v>520</v>
      </c>
      <c r="V22" s="121">
        <f>V23+V24</f>
        <v>331</v>
      </c>
      <c r="W22" s="121">
        <f>W23+W24</f>
        <v>179</v>
      </c>
      <c r="X22" s="121">
        <f t="shared" ref="X22:AB22" si="9">X23+X24</f>
        <v>223</v>
      </c>
      <c r="Y22" s="121">
        <f t="shared" si="9"/>
        <v>153</v>
      </c>
      <c r="Z22" s="121">
        <f t="shared" si="9"/>
        <v>155</v>
      </c>
      <c r="AA22" s="121">
        <f t="shared" si="9"/>
        <v>98</v>
      </c>
      <c r="AB22" s="121">
        <f t="shared" si="9"/>
        <v>82</v>
      </c>
      <c r="AC22" s="121">
        <f>AC23+AC24</f>
        <v>138</v>
      </c>
    </row>
    <row r="23" spans="2:29">
      <c r="B23" s="102" t="s">
        <v>904</v>
      </c>
      <c r="H23" s="122">
        <f t="shared" si="1"/>
        <v>214</v>
      </c>
      <c r="I23" s="122">
        <f t="shared" si="5"/>
        <v>0</v>
      </c>
      <c r="T23" s="113">
        <v>144</v>
      </c>
      <c r="U23" s="113">
        <v>181</v>
      </c>
      <c r="V23" s="113">
        <v>33</v>
      </c>
      <c r="W23" s="113">
        <v>0</v>
      </c>
      <c r="X23" s="113">
        <v>0</v>
      </c>
      <c r="Y23" s="115">
        <v>0</v>
      </c>
      <c r="Z23" s="115">
        <v>0</v>
      </c>
      <c r="AA23" s="115">
        <v>0</v>
      </c>
      <c r="AB23" s="115">
        <v>0</v>
      </c>
      <c r="AC23" s="115">
        <v>0</v>
      </c>
    </row>
    <row r="24" spans="2:29">
      <c r="B24" s="102" t="s">
        <v>905</v>
      </c>
      <c r="H24" s="122">
        <f t="shared" si="1"/>
        <v>1039</v>
      </c>
      <c r="I24" s="122">
        <f t="shared" si="5"/>
        <v>488</v>
      </c>
      <c r="T24" s="113">
        <v>143</v>
      </c>
      <c r="U24" s="113">
        <v>339</v>
      </c>
      <c r="V24" s="113">
        <v>298</v>
      </c>
      <c r="W24" s="113">
        <v>179</v>
      </c>
      <c r="X24" s="113">
        <v>223</v>
      </c>
      <c r="Y24" s="115">
        <v>153</v>
      </c>
      <c r="Z24" s="115">
        <v>155</v>
      </c>
      <c r="AA24" s="115">
        <v>98</v>
      </c>
      <c r="AB24" s="115">
        <v>82</v>
      </c>
      <c r="AC24" s="115">
        <v>138</v>
      </c>
    </row>
    <row r="25" spans="2:29">
      <c r="H25" s="122"/>
    </row>
    <row r="26" spans="2:29" s="118" customFormat="1">
      <c r="B26" s="118" t="s">
        <v>906</v>
      </c>
      <c r="C26" s="119"/>
      <c r="D26" s="119"/>
      <c r="E26" s="119"/>
      <c r="F26" s="119"/>
      <c r="G26" s="119"/>
      <c r="H26" s="119"/>
      <c r="I26" s="119"/>
      <c r="J26" s="119"/>
      <c r="K26" s="119"/>
      <c r="L26" s="119"/>
      <c r="M26" s="119"/>
      <c r="N26" s="119"/>
      <c r="O26" s="119"/>
      <c r="P26" s="119"/>
      <c r="Q26" s="119"/>
      <c r="R26" s="119"/>
      <c r="S26" s="119"/>
      <c r="T26" s="119"/>
      <c r="U26" s="119"/>
      <c r="V26" s="120"/>
      <c r="W26" s="120"/>
      <c r="X26" s="120">
        <f>X16/T16-1</f>
        <v>2.6550522648083623</v>
      </c>
      <c r="Y26" s="120">
        <f t="shared" ref="Y26:AB34" si="10">Y16/U16-1</f>
        <v>0.42555831265508681</v>
      </c>
      <c r="Z26" s="120">
        <f t="shared" si="10"/>
        <v>8.4444444444444544E-2</v>
      </c>
      <c r="AA26" s="120">
        <f t="shared" si="10"/>
        <v>0.20787746170678334</v>
      </c>
      <c r="AB26" s="120">
        <f t="shared" si="10"/>
        <v>-0.12678741658722592</v>
      </c>
      <c r="AC26" s="120">
        <f>AC16/Y16-1</f>
        <v>-6.0922541340295955E-2</v>
      </c>
    </row>
    <row r="27" spans="2:29">
      <c r="B27" s="102" t="s">
        <v>907</v>
      </c>
      <c r="V27" s="116"/>
      <c r="W27" s="116"/>
      <c r="X27" s="116">
        <f>X17/T17-1</f>
        <v>2.6805555555555554</v>
      </c>
      <c r="Y27" s="116">
        <f>Y17/U17-1</f>
        <v>0.67352185089974292</v>
      </c>
      <c r="Z27" s="116">
        <f>Z17/V17-1</f>
        <v>-0.1705426356589147</v>
      </c>
      <c r="AA27" s="116">
        <f>AA17/W17-1</f>
        <v>-0.15925925925925921</v>
      </c>
      <c r="AB27" s="116">
        <f>AB17/X17-1</f>
        <v>-0.25471698113207553</v>
      </c>
      <c r="AC27" s="116">
        <f>AC17/Y17-1</f>
        <v>-0.14900153609831024</v>
      </c>
    </row>
    <row r="28" spans="2:29">
      <c r="B28" s="102" t="s">
        <v>908</v>
      </c>
      <c r="V28" s="116"/>
      <c r="W28" s="116"/>
      <c r="X28" s="116">
        <f>X18/T18-1</f>
        <v>2.6293706293706292</v>
      </c>
      <c r="Y28" s="116">
        <f t="shared" si="10"/>
        <v>0.19424460431654667</v>
      </c>
      <c r="Z28" s="116">
        <f t="shared" si="10"/>
        <v>0.42708333333333326</v>
      </c>
      <c r="AA28" s="116">
        <f t="shared" si="10"/>
        <v>0.73796791443850274</v>
      </c>
      <c r="AB28" s="116">
        <f t="shared" si="10"/>
        <v>3.8535645472062008E-3</v>
      </c>
      <c r="AC28" s="116">
        <f t="shared" ref="AC28:AC34" si="11">AC18/Y18-1</f>
        <v>5.4216867469879526E-2</v>
      </c>
    </row>
    <row r="29" spans="2:29">
      <c r="B29" s="102" t="s">
        <v>909</v>
      </c>
      <c r="V29" s="116"/>
      <c r="W29" s="116"/>
      <c r="X29" s="117" t="s">
        <v>605</v>
      </c>
      <c r="Y29" s="116">
        <f t="shared" si="10"/>
        <v>2.4825174825174825</v>
      </c>
      <c r="Z29" s="116">
        <f t="shared" si="10"/>
        <v>0.4428822495606326</v>
      </c>
      <c r="AA29" s="116">
        <f t="shared" si="10"/>
        <v>0.36870748299319733</v>
      </c>
      <c r="AB29" s="116">
        <f t="shared" si="10"/>
        <v>9.6852300242131761E-3</v>
      </c>
      <c r="AC29" s="116">
        <f t="shared" si="11"/>
        <v>-5.5220883534136567E-2</v>
      </c>
    </row>
    <row r="30" spans="2:29">
      <c r="B30" s="102" t="s">
        <v>910</v>
      </c>
      <c r="V30" s="116"/>
      <c r="W30" s="116"/>
      <c r="X30" s="117" t="s">
        <v>605</v>
      </c>
      <c r="Y30" s="116">
        <f t="shared" si="10"/>
        <v>2.1298076923076925</v>
      </c>
      <c r="Z30" s="116">
        <f t="shared" si="10"/>
        <v>-0.11387163561076608</v>
      </c>
      <c r="AA30" s="116">
        <f t="shared" si="10"/>
        <v>-0.15925925925925921</v>
      </c>
      <c r="AB30" s="116">
        <f t="shared" si="10"/>
        <v>-0.25471698113207553</v>
      </c>
      <c r="AC30" s="116">
        <f t="shared" si="11"/>
        <v>-0.14900153609831024</v>
      </c>
    </row>
    <row r="31" spans="2:29">
      <c r="B31" s="102" t="s">
        <v>911</v>
      </c>
      <c r="V31" s="116"/>
      <c r="W31" s="116"/>
      <c r="X31" s="117" t="s">
        <v>605</v>
      </c>
      <c r="Y31" s="116">
        <f t="shared" si="10"/>
        <v>3.4230769230769234</v>
      </c>
      <c r="Z31" s="116">
        <f t="shared" si="10"/>
        <v>3.5697674418604652</v>
      </c>
      <c r="AA31" s="116">
        <f t="shared" si="10"/>
        <v>1.8307692307692309</v>
      </c>
      <c r="AB31" s="116">
        <f t="shared" si="10"/>
        <v>0.48310810810810811</v>
      </c>
      <c r="AC31" s="116">
        <f t="shared" si="11"/>
        <v>0.12173913043478257</v>
      </c>
    </row>
    <row r="32" spans="2:29">
      <c r="B32" s="102" t="s">
        <v>912</v>
      </c>
      <c r="V32" s="116"/>
      <c r="W32" s="116"/>
      <c r="X32" s="116">
        <f>X22/T22-1</f>
        <v>-0.22299651567944256</v>
      </c>
      <c r="Y32" s="116">
        <f>Y22/U22-1</f>
        <v>-0.7057692307692307</v>
      </c>
      <c r="Z32" s="116">
        <f t="shared" si="10"/>
        <v>-0.53172205438066467</v>
      </c>
      <c r="AA32" s="116">
        <f t="shared" si="10"/>
        <v>-0.45251396648044695</v>
      </c>
      <c r="AB32" s="116">
        <f t="shared" si="10"/>
        <v>-0.63228699551569512</v>
      </c>
      <c r="AC32" s="116">
        <f t="shared" si="11"/>
        <v>-9.8039215686274495E-2</v>
      </c>
    </row>
    <row r="33" spans="2:29">
      <c r="B33" s="102" t="s">
        <v>913</v>
      </c>
      <c r="X33" s="117" t="s">
        <v>605</v>
      </c>
      <c r="Y33" s="117" t="s">
        <v>605</v>
      </c>
      <c r="Z33" s="117" t="s">
        <v>605</v>
      </c>
      <c r="AA33" s="117" t="s">
        <v>605</v>
      </c>
      <c r="AB33" s="117" t="s">
        <v>605</v>
      </c>
      <c r="AC33" s="117" t="s">
        <v>605</v>
      </c>
    </row>
    <row r="34" spans="2:29">
      <c r="B34" s="102" t="s">
        <v>914</v>
      </c>
      <c r="X34" s="116">
        <f t="shared" ref="X34:Y34" si="12">X24/T24-1</f>
        <v>0.55944055944055937</v>
      </c>
      <c r="Y34" s="116">
        <f t="shared" si="12"/>
        <v>-0.54867256637168138</v>
      </c>
      <c r="Z34" s="116">
        <f t="shared" si="10"/>
        <v>-0.47986577181208057</v>
      </c>
      <c r="AA34" s="116">
        <f t="shared" si="10"/>
        <v>-0.45251396648044695</v>
      </c>
      <c r="AB34" s="116">
        <f t="shared" si="10"/>
        <v>-0.63228699551569512</v>
      </c>
      <c r="AC34" s="116">
        <f t="shared" si="11"/>
        <v>-9.8039215686274495E-2</v>
      </c>
    </row>
    <row r="36" spans="2:29">
      <c r="B36" s="102" t="s">
        <v>915</v>
      </c>
      <c r="H36" s="113">
        <v>102.03</v>
      </c>
      <c r="I36" s="113">
        <v>102.03</v>
      </c>
    </row>
    <row r="37" spans="2:29">
      <c r="B37" s="102" t="s">
        <v>916</v>
      </c>
      <c r="H37" s="115">
        <f t="shared" ref="H37" si="13">H20/H36*1000</f>
        <v>17259.629520729199</v>
      </c>
      <c r="I37" s="115">
        <f>I20/I36*1000</f>
        <v>18896.403018719982</v>
      </c>
    </row>
    <row r="39" spans="2:29">
      <c r="B39" s="102" t="s">
        <v>917</v>
      </c>
      <c r="H39" s="115">
        <v>4000</v>
      </c>
      <c r="I39" s="115">
        <v>4000</v>
      </c>
    </row>
    <row r="40" spans="2:29">
      <c r="B40" s="102" t="s">
        <v>918</v>
      </c>
      <c r="H40" s="115">
        <f>H39*H36/1000</f>
        <v>408.12</v>
      </c>
      <c r="I40" s="115">
        <f>I39*I36/1000</f>
        <v>408.12</v>
      </c>
    </row>
  </sheetData>
  <hyperlinks>
    <hyperlink ref="A1" location="Main!A1" display="Main" xr:uid="{00000000-0004-0000-0600-000000000000}"/>
  </hyperlink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pageSetUpPr fitToPage="1"/>
  </sheetPr>
  <dimension ref="A1:C58"/>
  <sheetViews>
    <sheetView zoomScale="115" workbookViewId="0"/>
  </sheetViews>
  <sheetFormatPr baseColWidth="10" defaultColWidth="9.1640625" defaultRowHeight="13"/>
  <cols>
    <col min="1" max="1" width="5.1640625" style="4" customWidth="1"/>
    <col min="2" max="2" width="12.83203125" style="4" customWidth="1"/>
    <col min="3" max="3" width="18.33203125" style="4" customWidth="1"/>
    <col min="4" max="4" width="4" style="4" customWidth="1"/>
    <col min="5" max="5" width="13.5" style="4" customWidth="1"/>
    <col min="6" max="6" width="10.1640625" style="4" customWidth="1"/>
    <col min="7" max="16384" width="9.1640625" style="4"/>
  </cols>
  <sheetData>
    <row r="1" spans="1:3">
      <c r="A1" s="13" t="s">
        <v>0</v>
      </c>
    </row>
    <row r="2" spans="1:3">
      <c r="B2" s="4" t="s">
        <v>2</v>
      </c>
      <c r="C2" s="14" t="s">
        <v>1451</v>
      </c>
    </row>
    <row r="3" spans="1:3">
      <c r="B3" s="4" t="s">
        <v>3</v>
      </c>
      <c r="C3" s="14" t="s">
        <v>1450</v>
      </c>
    </row>
    <row r="4" spans="1:3">
      <c r="B4" s="4" t="s">
        <v>5</v>
      </c>
      <c r="C4" s="4" t="s">
        <v>925</v>
      </c>
    </row>
    <row r="5" spans="1:3">
      <c r="B5" s="4" t="s">
        <v>4</v>
      </c>
      <c r="C5" s="4" t="s">
        <v>926</v>
      </c>
    </row>
    <row r="6" spans="1:3">
      <c r="C6" s="4" t="s">
        <v>927</v>
      </c>
    </row>
    <row r="7" spans="1:3">
      <c r="B7" s="4" t="s">
        <v>6</v>
      </c>
      <c r="C7" s="4" t="s">
        <v>928</v>
      </c>
    </row>
    <row r="8" spans="1:3">
      <c r="B8" s="4" t="s">
        <v>885</v>
      </c>
      <c r="C8" s="31"/>
    </row>
    <row r="9" spans="1:3">
      <c r="B9" s="4" t="s">
        <v>295</v>
      </c>
      <c r="C9" s="4" t="s">
        <v>929</v>
      </c>
    </row>
    <row r="10" spans="1:3">
      <c r="B10" s="4" t="s">
        <v>889</v>
      </c>
      <c r="C10" s="4" t="s">
        <v>930</v>
      </c>
    </row>
    <row r="11" spans="1:3">
      <c r="B11" s="4" t="s">
        <v>297</v>
      </c>
      <c r="C11" s="32" t="s">
        <v>931</v>
      </c>
    </row>
    <row r="12" spans="1:3">
      <c r="C12" s="4" t="s">
        <v>932</v>
      </c>
    </row>
    <row r="13" spans="1:3">
      <c r="B13" s="4" t="s">
        <v>933</v>
      </c>
    </row>
    <row r="14" spans="1:3">
      <c r="C14" s="22" t="s">
        <v>934</v>
      </c>
    </row>
    <row r="15" spans="1:3">
      <c r="C15" s="4" t="s">
        <v>935</v>
      </c>
    </row>
    <row r="17" spans="3:3">
      <c r="C17" s="22" t="s">
        <v>936</v>
      </c>
    </row>
    <row r="18" spans="3:3">
      <c r="C18" s="4" t="s">
        <v>937</v>
      </c>
    </row>
    <row r="19" spans="3:3">
      <c r="C19" s="4" t="s">
        <v>938</v>
      </c>
    </row>
    <row r="21" spans="3:3">
      <c r="C21" s="22" t="s">
        <v>939</v>
      </c>
    </row>
    <row r="22" spans="3:3">
      <c r="C22" s="132" t="s">
        <v>940</v>
      </c>
    </row>
    <row r="23" spans="3:3">
      <c r="C23" s="4" t="s">
        <v>941</v>
      </c>
    </row>
    <row r="24" spans="3:3">
      <c r="C24" s="4" t="s">
        <v>942</v>
      </c>
    </row>
    <row r="26" spans="3:3">
      <c r="C26" s="15" t="s">
        <v>943</v>
      </c>
    </row>
    <row r="27" spans="3:3">
      <c r="C27" s="4" t="s">
        <v>944</v>
      </c>
    </row>
    <row r="28" spans="3:3">
      <c r="C28" s="4" t="s">
        <v>945</v>
      </c>
    </row>
    <row r="29" spans="3:3">
      <c r="C29" s="4" t="s">
        <v>946</v>
      </c>
    </row>
    <row r="30" spans="3:3">
      <c r="C30" s="4" t="s">
        <v>947</v>
      </c>
    </row>
    <row r="32" spans="3:3">
      <c r="C32" s="15" t="s">
        <v>948</v>
      </c>
    </row>
    <row r="33" spans="3:3">
      <c r="C33" s="4" t="s">
        <v>949</v>
      </c>
    </row>
    <row r="34" spans="3:3">
      <c r="C34" s="31" t="s">
        <v>950</v>
      </c>
    </row>
    <row r="35" spans="3:3">
      <c r="C35" s="4" t="s">
        <v>951</v>
      </c>
    </row>
    <row r="36" spans="3:3">
      <c r="C36" s="4" t="s">
        <v>952</v>
      </c>
    </row>
    <row r="37" spans="3:3">
      <c r="C37" s="4" t="s">
        <v>953</v>
      </c>
    </row>
    <row r="39" spans="3:3">
      <c r="C39" s="22" t="s">
        <v>954</v>
      </c>
    </row>
    <row r="40" spans="3:3">
      <c r="C40" s="14" t="s">
        <v>955</v>
      </c>
    </row>
    <row r="41" spans="3:3">
      <c r="C41" s="4" t="s">
        <v>956</v>
      </c>
    </row>
    <row r="42" spans="3:3">
      <c r="C42" s="4" t="s">
        <v>957</v>
      </c>
    </row>
    <row r="43" spans="3:3">
      <c r="C43" s="4" t="s">
        <v>958</v>
      </c>
    </row>
    <row r="44" spans="3:3">
      <c r="C44" s="33" t="s">
        <v>959</v>
      </c>
    </row>
    <row r="45" spans="3:3">
      <c r="C45" s="5" t="s">
        <v>960</v>
      </c>
    </row>
    <row r="46" spans="3:3">
      <c r="C46" s="5" t="s">
        <v>961</v>
      </c>
    </row>
    <row r="47" spans="3:3">
      <c r="C47" s="14" t="s">
        <v>962</v>
      </c>
    </row>
    <row r="49" spans="3:3">
      <c r="C49" s="22" t="s">
        <v>963</v>
      </c>
    </row>
    <row r="50" spans="3:3">
      <c r="C50" s="4" t="s">
        <v>964</v>
      </c>
    </row>
    <row r="52" spans="3:3">
      <c r="C52" s="22" t="s">
        <v>965</v>
      </c>
    </row>
    <row r="53" spans="3:3">
      <c r="C53" s="4" t="s">
        <v>966</v>
      </c>
    </row>
    <row r="54" spans="3:3">
      <c r="C54" s="4" t="s">
        <v>967</v>
      </c>
    </row>
    <row r="56" spans="3:3">
      <c r="C56" s="22" t="s">
        <v>968</v>
      </c>
    </row>
    <row r="57" spans="3:3">
      <c r="C57" s="13" t="s">
        <v>969</v>
      </c>
    </row>
    <row r="58" spans="3:3">
      <c r="C58" s="4" t="s">
        <v>970</v>
      </c>
    </row>
  </sheetData>
  <phoneticPr fontId="3" type="noConversion"/>
  <hyperlinks>
    <hyperlink ref="A1" location="Main!A1" display="Main!A1" xr:uid="{00000000-0004-0000-0800-000000000000}"/>
    <hyperlink ref="C11" display="http://www.wipo.int/pctdb/en/fetch.jsp?LANG=ENG&amp;DBSELECT=PCT&amp;SERVER_TYPE=19&amp;SORT=1205778-KEY&amp;TYPE_FIELD=256&amp;IDB=0&amp;IDOC=974492&amp;C=00&amp;ELEMENT_SET=BASICHTML-ENG&amp;RESULT=1&amp;TOTAL=1&amp;START=1&amp;DISP=25&amp;FORM=SEP-0/HITNUM,B-ENG,DP,MC,PA,ABSUM-ENG&amp;SEARCH_IA=US2000018263" xr:uid="{00000000-0004-0000-0800-000001000000}"/>
    <hyperlink ref="C57" r:id="rId1" xr:uid="{00000000-0004-0000-0800-000002000000}"/>
  </hyperlinks>
  <pageMargins left="0.75" right="0.75" top="1" bottom="1" header="0.5" footer="0.5"/>
  <pageSetup paperSize="9" scale="40" orientation="landscape" horizontalDpi="200" verticalDpi="200"/>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8"/>
  <dimension ref="A1:C15"/>
  <sheetViews>
    <sheetView workbookViewId="0"/>
  </sheetViews>
  <sheetFormatPr baseColWidth="10" defaultColWidth="9.1640625" defaultRowHeight="13"/>
  <cols>
    <col min="1" max="1" width="5" style="4" bestFit="1" customWidth="1"/>
    <col min="2" max="2" width="12.83203125" style="4" bestFit="1" customWidth="1"/>
    <col min="3" max="16384" width="9.1640625" style="4"/>
  </cols>
  <sheetData>
    <row r="1" spans="1:3">
      <c r="A1" s="13" t="s">
        <v>0</v>
      </c>
    </row>
    <row r="2" spans="1:3">
      <c r="B2" s="4" t="s">
        <v>2</v>
      </c>
      <c r="C2" s="14" t="s">
        <v>1484</v>
      </c>
    </row>
    <row r="3" spans="1:3">
      <c r="B3" s="14" t="s">
        <v>3</v>
      </c>
      <c r="C3" s="14" t="s">
        <v>1176</v>
      </c>
    </row>
    <row r="4" spans="1:3">
      <c r="B4" s="4" t="s">
        <v>5</v>
      </c>
      <c r="C4" s="13" t="s">
        <v>302</v>
      </c>
    </row>
    <row r="5" spans="1:3">
      <c r="B5" s="4" t="s">
        <v>6</v>
      </c>
      <c r="C5" s="4" t="s">
        <v>1177</v>
      </c>
    </row>
    <row r="6" spans="1:3">
      <c r="B6" s="4" t="s">
        <v>994</v>
      </c>
      <c r="C6" s="4" t="s">
        <v>1178</v>
      </c>
    </row>
    <row r="7" spans="1:3">
      <c r="B7" s="4" t="s">
        <v>295</v>
      </c>
      <c r="C7" s="4" t="s">
        <v>1179</v>
      </c>
    </row>
    <row r="8" spans="1:3">
      <c r="B8" s="14" t="s">
        <v>885</v>
      </c>
      <c r="C8" s="14" t="s">
        <v>1180</v>
      </c>
    </row>
    <row r="9" spans="1:3">
      <c r="B9" s="4" t="s">
        <v>933</v>
      </c>
    </row>
    <row r="10" spans="1:3">
      <c r="C10" s="22" t="s">
        <v>1181</v>
      </c>
    </row>
    <row r="11" spans="1:3">
      <c r="C11" s="4" t="s">
        <v>218</v>
      </c>
    </row>
    <row r="13" spans="1:3">
      <c r="C13" s="22" t="s">
        <v>1182</v>
      </c>
    </row>
    <row r="14" spans="1:3">
      <c r="C14" s="4" t="s">
        <v>1183</v>
      </c>
    </row>
    <row r="15" spans="1:3">
      <c r="C15" s="4" t="s">
        <v>218</v>
      </c>
    </row>
  </sheetData>
  <phoneticPr fontId="3" type="noConversion"/>
  <hyperlinks>
    <hyperlink ref="C4" r:id="rId1" xr:uid="{00000000-0004-0000-1C00-000000000000}"/>
    <hyperlink ref="A1" location="Main!A1" display="Main" xr:uid="{00000000-0004-0000-1C00-000001000000}"/>
  </hyperlink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46"/>
  <sheetViews>
    <sheetView workbookViewId="0"/>
  </sheetViews>
  <sheetFormatPr baseColWidth="10" defaultColWidth="9.1640625" defaultRowHeight="13"/>
  <cols>
    <col min="1" max="1" width="5" style="4" bestFit="1" customWidth="1"/>
    <col min="2" max="2" width="12.83203125" style="4" bestFit="1" customWidth="1"/>
    <col min="3" max="16384" width="9.1640625" style="4"/>
  </cols>
  <sheetData>
    <row r="1" spans="1:8">
      <c r="A1" s="13" t="s">
        <v>0</v>
      </c>
    </row>
    <row r="2" spans="1:8">
      <c r="B2" s="4" t="s">
        <v>2</v>
      </c>
      <c r="C2" s="4" t="s">
        <v>971</v>
      </c>
    </row>
    <row r="3" spans="1:8">
      <c r="B3" s="4" t="s">
        <v>3</v>
      </c>
      <c r="C3" s="4" t="s">
        <v>972</v>
      </c>
    </row>
    <row r="4" spans="1:8">
      <c r="B4" s="4" t="s">
        <v>6</v>
      </c>
      <c r="C4" s="4" t="s">
        <v>973</v>
      </c>
    </row>
    <row r="5" spans="1:8">
      <c r="C5" s="4" t="s">
        <v>974</v>
      </c>
    </row>
    <row r="6" spans="1:8">
      <c r="C6" s="4" t="s">
        <v>975</v>
      </c>
    </row>
    <row r="7" spans="1:8">
      <c r="B7" s="4" t="s">
        <v>976</v>
      </c>
      <c r="C7" s="4" t="s">
        <v>977</v>
      </c>
    </row>
    <row r="8" spans="1:8">
      <c r="B8" s="4" t="s">
        <v>273</v>
      </c>
      <c r="C8" s="4" t="s">
        <v>978</v>
      </c>
    </row>
    <row r="9" spans="1:8">
      <c r="C9" s="4" t="s">
        <v>979</v>
      </c>
    </row>
    <row r="10" spans="1:8">
      <c r="B10" s="4" t="s">
        <v>980</v>
      </c>
      <c r="C10" s="4" t="s">
        <v>981</v>
      </c>
    </row>
    <row r="11" spans="1:8">
      <c r="C11" s="4">
        <v>1995</v>
      </c>
      <c r="D11" s="4">
        <v>1999</v>
      </c>
      <c r="E11" s="4">
        <v>2001</v>
      </c>
      <c r="F11" s="4">
        <v>2002</v>
      </c>
      <c r="G11" s="4">
        <v>2003</v>
      </c>
      <c r="H11" s="4">
        <v>2004</v>
      </c>
    </row>
    <row r="12" spans="1:8">
      <c r="C12" s="4">
        <v>24.6</v>
      </c>
      <c r="D12" s="4">
        <v>23.3</v>
      </c>
      <c r="E12" s="4">
        <v>22.6</v>
      </c>
      <c r="F12" s="4">
        <v>22.3</v>
      </c>
      <c r="G12" s="4">
        <v>21.5</v>
      </c>
      <c r="H12" s="4">
        <v>20.8</v>
      </c>
    </row>
    <row r="13" spans="1:8">
      <c r="C13" s="4" t="s">
        <v>982</v>
      </c>
    </row>
    <row r="14" spans="1:8">
      <c r="C14" s="4" t="s">
        <v>983</v>
      </c>
    </row>
    <row r="15" spans="1:8">
      <c r="C15" s="4" t="s">
        <v>984</v>
      </c>
    </row>
    <row r="16" spans="1:8">
      <c r="B16" s="4" t="s">
        <v>297</v>
      </c>
      <c r="C16" s="4" t="s">
        <v>985</v>
      </c>
    </row>
    <row r="17" spans="2:3">
      <c r="B17" s="4" t="s">
        <v>986</v>
      </c>
      <c r="C17" s="4" t="s">
        <v>987</v>
      </c>
    </row>
    <row r="18" spans="2:3">
      <c r="B18" s="4" t="s">
        <v>603</v>
      </c>
      <c r="C18" s="4" t="s">
        <v>988</v>
      </c>
    </row>
    <row r="19" spans="2:3">
      <c r="B19" s="4" t="s">
        <v>921</v>
      </c>
      <c r="C19" s="4" t="s">
        <v>989</v>
      </c>
    </row>
    <row r="20" spans="2:3">
      <c r="C20" s="4" t="s">
        <v>990</v>
      </c>
    </row>
    <row r="21" spans="2:3">
      <c r="B21" s="4" t="s">
        <v>295</v>
      </c>
      <c r="C21" s="4" t="s">
        <v>991</v>
      </c>
    </row>
    <row r="22" spans="2:3">
      <c r="B22" s="4" t="s">
        <v>992</v>
      </c>
      <c r="C22" s="4" t="s">
        <v>993</v>
      </c>
    </row>
    <row r="23" spans="2:3">
      <c r="B23" s="4" t="s">
        <v>994</v>
      </c>
      <c r="C23" s="13" t="s">
        <v>995</v>
      </c>
    </row>
    <row r="24" spans="2:3">
      <c r="B24" s="4" t="s">
        <v>996</v>
      </c>
      <c r="C24" s="4" t="s">
        <v>997</v>
      </c>
    </row>
    <row r="25" spans="2:3">
      <c r="B25" s="4" t="s">
        <v>933</v>
      </c>
    </row>
    <row r="26" spans="2:3">
      <c r="C26" s="22" t="s">
        <v>998</v>
      </c>
    </row>
    <row r="27" spans="2:3">
      <c r="C27" s="4" t="s">
        <v>999</v>
      </c>
    </row>
    <row r="28" spans="2:3">
      <c r="C28" s="4" t="s">
        <v>1000</v>
      </c>
    </row>
    <row r="29" spans="2:3">
      <c r="C29" s="4" t="s">
        <v>1001</v>
      </c>
    </row>
    <row r="30" spans="2:3">
      <c r="C30" s="4" t="s">
        <v>1002</v>
      </c>
    </row>
    <row r="31" spans="2:3">
      <c r="C31" s="4" t="s">
        <v>1003</v>
      </c>
    </row>
    <row r="32" spans="2:3">
      <c r="C32" s="4" t="s">
        <v>1004</v>
      </c>
    </row>
    <row r="37" spans="2:4">
      <c r="B37" s="21">
        <v>40130</v>
      </c>
      <c r="D37" s="20">
        <v>63426</v>
      </c>
    </row>
    <row r="38" spans="2:4">
      <c r="B38" s="21">
        <f>+B37-7</f>
        <v>40123</v>
      </c>
      <c r="D38" s="20">
        <v>67278</v>
      </c>
    </row>
    <row r="39" spans="2:4">
      <c r="B39" s="21">
        <f t="shared" ref="B39:B45" si="0">+B38-7</f>
        <v>40116</v>
      </c>
      <c r="D39" s="20">
        <v>65729</v>
      </c>
    </row>
    <row r="40" spans="2:4">
      <c r="B40" s="21">
        <f t="shared" si="0"/>
        <v>40109</v>
      </c>
      <c r="D40" s="20">
        <v>66093</v>
      </c>
    </row>
    <row r="41" spans="2:4">
      <c r="B41" s="21">
        <f t="shared" si="0"/>
        <v>40102</v>
      </c>
      <c r="D41" s="20">
        <v>65550</v>
      </c>
    </row>
    <row r="42" spans="2:4">
      <c r="B42" s="21">
        <f t="shared" si="0"/>
        <v>40095</v>
      </c>
      <c r="D42" s="20">
        <v>71143</v>
      </c>
    </row>
    <row r="43" spans="2:4">
      <c r="B43" s="21">
        <f t="shared" si="0"/>
        <v>40088</v>
      </c>
      <c r="D43" s="20">
        <v>74816</v>
      </c>
    </row>
    <row r="44" spans="2:4">
      <c r="B44" s="21">
        <f t="shared" si="0"/>
        <v>40081</v>
      </c>
      <c r="D44" s="20">
        <v>72361</v>
      </c>
    </row>
    <row r="45" spans="2:4">
      <c r="B45" s="21">
        <f t="shared" si="0"/>
        <v>40074</v>
      </c>
      <c r="D45" s="20"/>
    </row>
    <row r="46" spans="2:4">
      <c r="B46" s="21">
        <v>39759</v>
      </c>
      <c r="C46" s="20">
        <v>64589</v>
      </c>
      <c r="D46" s="20">
        <v>83261</v>
      </c>
    </row>
  </sheetData>
  <phoneticPr fontId="3" type="noConversion"/>
  <hyperlinks>
    <hyperlink ref="A1" location="Main!A1" display="Main" xr:uid="{00000000-0004-0000-0900-000000000000}"/>
    <hyperlink ref="C23" r:id="rId1" xr:uid="{00000000-0004-0000-0900-000001000000}"/>
  </hyperlinks>
  <pageMargins left="0.75" right="0.75" top="1" bottom="1" header="0.5" footer="0.5"/>
  <pageSetup orientation="portrait" r:id="rId2"/>
  <headerFooter alignWithMargins="0"/>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AK59"/>
  <sheetViews>
    <sheetView zoomScaleNormal="100" workbookViewId="0">
      <pane xSplit="2" ySplit="3" topLeftCell="C4" activePane="bottomRight" state="frozen"/>
      <selection pane="topRight" activeCell="C1" sqref="C1"/>
      <selection pane="bottomLeft" activeCell="A4" sqref="A4"/>
      <selection pane="bottomRight" activeCell="N34" sqref="N34"/>
    </sheetView>
  </sheetViews>
  <sheetFormatPr baseColWidth="10" defaultColWidth="9.1640625" defaultRowHeight="13"/>
  <cols>
    <col min="1" max="1" width="9.1640625" style="4"/>
    <col min="2" max="2" width="19.1640625" style="4" bestFit="1" customWidth="1"/>
    <col min="3" max="5" width="9.1640625" style="4"/>
    <col min="6" max="6" width="11.1640625" style="4" bestFit="1" customWidth="1"/>
    <col min="7" max="11" width="9.1640625" style="4"/>
    <col min="12" max="12" width="12.5" style="4" bestFit="1" customWidth="1"/>
    <col min="13" max="13" width="9.1640625" style="4"/>
    <col min="14" max="14" width="9.33203125" style="4" bestFit="1" customWidth="1"/>
    <col min="15" max="15" width="10.5" style="4" bestFit="1" customWidth="1"/>
    <col min="16" max="17" width="9.5" style="4" bestFit="1" customWidth="1"/>
    <col min="18" max="21" width="9.5" style="6" bestFit="1" customWidth="1"/>
    <col min="22" max="23" width="10.1640625" style="6" bestFit="1" customWidth="1"/>
    <col min="24" max="37" width="10.5" style="6" bestFit="1" customWidth="1"/>
    <col min="38" max="16384" width="9.1640625" style="4"/>
  </cols>
  <sheetData>
    <row r="1" spans="1:37">
      <c r="A1" s="13" t="s">
        <v>0</v>
      </c>
    </row>
    <row r="2" spans="1:37">
      <c r="A2" s="13" t="s">
        <v>681</v>
      </c>
    </row>
    <row r="3" spans="1:37">
      <c r="B3" s="6"/>
      <c r="C3" s="6">
        <v>2006</v>
      </c>
      <c r="D3" s="6">
        <v>2007</v>
      </c>
      <c r="E3" s="6">
        <v>2008</v>
      </c>
      <c r="F3" s="6">
        <v>2009</v>
      </c>
      <c r="G3" s="6">
        <v>2010</v>
      </c>
      <c r="H3" s="6">
        <v>2011</v>
      </c>
      <c r="I3" s="6">
        <v>2012</v>
      </c>
      <c r="J3" s="6">
        <v>2013</v>
      </c>
      <c r="K3" s="6"/>
      <c r="L3" s="6" t="s">
        <v>567</v>
      </c>
      <c r="M3" s="6" t="s">
        <v>568</v>
      </c>
      <c r="N3" s="6" t="s">
        <v>569</v>
      </c>
      <c r="O3" s="6" t="s">
        <v>570</v>
      </c>
      <c r="P3" s="6" t="s">
        <v>571</v>
      </c>
      <c r="Q3" s="6" t="s">
        <v>572</v>
      </c>
      <c r="R3" s="6" t="s">
        <v>573</v>
      </c>
      <c r="S3" s="6" t="s">
        <v>574</v>
      </c>
      <c r="T3" s="6" t="s">
        <v>575</v>
      </c>
      <c r="U3" s="6" t="s">
        <v>576</v>
      </c>
      <c r="V3" s="6" t="s">
        <v>577</v>
      </c>
      <c r="W3" s="6" t="s">
        <v>578</v>
      </c>
      <c r="X3" s="6" t="s">
        <v>579</v>
      </c>
      <c r="Y3" s="6" t="s">
        <v>580</v>
      </c>
      <c r="Z3" s="6" t="s">
        <v>581</v>
      </c>
      <c r="AA3" s="6" t="s">
        <v>582</v>
      </c>
      <c r="AB3" s="6" t="s">
        <v>583</v>
      </c>
      <c r="AC3" s="6" t="s">
        <v>584</v>
      </c>
      <c r="AD3" s="6" t="s">
        <v>585</v>
      </c>
      <c r="AE3" s="6" t="s">
        <v>586</v>
      </c>
      <c r="AF3" s="6" t="s">
        <v>587</v>
      </c>
      <c r="AG3" s="6" t="s">
        <v>588</v>
      </c>
      <c r="AH3" s="6" t="s">
        <v>589</v>
      </c>
      <c r="AI3" s="6" t="s">
        <v>590</v>
      </c>
      <c r="AJ3" s="6" t="s">
        <v>591</v>
      </c>
      <c r="AK3" s="6" t="s">
        <v>592</v>
      </c>
    </row>
    <row r="4" spans="1:37">
      <c r="C4" s="6"/>
      <c r="D4" s="6"/>
      <c r="E4" s="6"/>
      <c r="F4" s="6"/>
      <c r="G4" s="6"/>
      <c r="H4" s="6"/>
      <c r="I4" s="6"/>
      <c r="J4" s="6"/>
      <c r="K4" s="6"/>
      <c r="L4" s="6"/>
      <c r="M4" s="6"/>
      <c r="N4" s="6"/>
      <c r="O4" s="6"/>
      <c r="P4" s="6"/>
      <c r="Q4" s="6"/>
    </row>
    <row r="5" spans="1:37">
      <c r="B5" s="4" t="s">
        <v>1132</v>
      </c>
      <c r="C5" s="6"/>
      <c r="D5" s="6"/>
      <c r="E5" s="6"/>
      <c r="F5" s="6"/>
      <c r="G5" s="6"/>
      <c r="H5" s="6"/>
      <c r="I5" s="6"/>
      <c r="J5" s="6"/>
      <c r="K5" s="6"/>
      <c r="L5" s="19">
        <f>L15*1000000/L13</f>
        <v>316250</v>
      </c>
      <c r="M5" s="19">
        <f>M15*1000000/M13</f>
        <v>586500</v>
      </c>
      <c r="N5" s="19">
        <f>N15*1000000/N13</f>
        <v>1319625</v>
      </c>
      <c r="O5" s="19">
        <f>O15*1000000/O13</f>
        <v>1533333.3333333333</v>
      </c>
      <c r="P5" s="6">
        <v>1972000</v>
      </c>
      <c r="Q5" s="6">
        <v>2500000</v>
      </c>
      <c r="R5" s="6">
        <v>2500000</v>
      </c>
      <c r="S5" s="6">
        <v>2500000</v>
      </c>
      <c r="T5" s="6">
        <v>2500000</v>
      </c>
      <c r="U5" s="6">
        <v>2500000</v>
      </c>
      <c r="V5" s="6">
        <v>2500000</v>
      </c>
      <c r="W5" s="6">
        <v>2000000</v>
      </c>
      <c r="X5" s="6">
        <v>2000000</v>
      </c>
      <c r="Y5" s="6">
        <v>2000000</v>
      </c>
      <c r="Z5" s="6">
        <v>2000000</v>
      </c>
      <c r="AA5" s="6">
        <v>1500000</v>
      </c>
      <c r="AB5" s="6">
        <v>1500000</v>
      </c>
      <c r="AC5" s="6">
        <v>1500000</v>
      </c>
      <c r="AD5" s="6">
        <v>1000000</v>
      </c>
      <c r="AE5" s="6">
        <v>1000000</v>
      </c>
      <c r="AF5" s="6">
        <v>1000000</v>
      </c>
      <c r="AG5" s="6">
        <v>1000000</v>
      </c>
      <c r="AH5" s="6">
        <v>500000</v>
      </c>
      <c r="AI5" s="6">
        <v>500000</v>
      </c>
      <c r="AJ5" s="6">
        <v>500000</v>
      </c>
      <c r="AK5" s="6">
        <v>500000</v>
      </c>
    </row>
    <row r="6" spans="1:37">
      <c r="B6" s="4" t="s">
        <v>1133</v>
      </c>
      <c r="C6" s="6"/>
      <c r="D6" s="6"/>
      <c r="E6" s="6"/>
      <c r="F6" s="6"/>
      <c r="G6" s="6"/>
      <c r="H6" s="6"/>
      <c r="I6" s="6"/>
      <c r="J6" s="6"/>
      <c r="K6" s="6"/>
      <c r="L6" s="35">
        <v>2</v>
      </c>
      <c r="M6" s="35">
        <v>2</v>
      </c>
      <c r="N6" s="35">
        <v>2</v>
      </c>
      <c r="O6" s="35">
        <v>2</v>
      </c>
      <c r="P6" s="6">
        <v>2</v>
      </c>
      <c r="Q6" s="6">
        <v>2</v>
      </c>
      <c r="R6" s="6">
        <v>2</v>
      </c>
      <c r="S6" s="6">
        <v>2</v>
      </c>
      <c r="T6" s="6">
        <v>2</v>
      </c>
      <c r="U6" s="6">
        <v>2</v>
      </c>
      <c r="V6" s="6">
        <v>2</v>
      </c>
      <c r="W6" s="6">
        <v>2</v>
      </c>
      <c r="X6" s="6">
        <v>2</v>
      </c>
      <c r="Y6" s="6">
        <v>2</v>
      </c>
      <c r="Z6" s="6">
        <v>2</v>
      </c>
      <c r="AA6" s="6">
        <v>2</v>
      </c>
      <c r="AB6" s="6">
        <v>2</v>
      </c>
      <c r="AC6" s="6">
        <v>2</v>
      </c>
      <c r="AD6" s="6">
        <v>2</v>
      </c>
      <c r="AE6" s="6">
        <v>2</v>
      </c>
      <c r="AF6" s="6">
        <v>2</v>
      </c>
      <c r="AG6" s="6">
        <v>2</v>
      </c>
      <c r="AH6" s="6">
        <v>2</v>
      </c>
      <c r="AI6" s="6">
        <v>2</v>
      </c>
      <c r="AJ6" s="6">
        <v>2</v>
      </c>
      <c r="AK6" s="6">
        <v>2</v>
      </c>
    </row>
    <row r="7" spans="1:37">
      <c r="B7" s="4" t="s">
        <v>1134</v>
      </c>
      <c r="C7" s="6"/>
      <c r="D7" s="6"/>
      <c r="E7" s="6"/>
      <c r="F7" s="6"/>
      <c r="G7" s="6"/>
      <c r="H7" s="6"/>
      <c r="I7" s="6"/>
      <c r="J7" s="6"/>
      <c r="K7" s="6"/>
      <c r="L7" s="19">
        <f>L5/L6</f>
        <v>158125</v>
      </c>
      <c r="M7" s="19">
        <f>M5/M6</f>
        <v>293250</v>
      </c>
      <c r="N7" s="19">
        <f>N5/N6</f>
        <v>659812.5</v>
      </c>
      <c r="O7" s="19">
        <f>O5/O6</f>
        <v>766666.66666666663</v>
      </c>
      <c r="P7" s="19">
        <f>P5/P6</f>
        <v>986000</v>
      </c>
      <c r="Q7" s="19">
        <f t="shared" ref="Q7:AK7" si="0">Q5/Q6</f>
        <v>1250000</v>
      </c>
      <c r="R7" s="19">
        <f t="shared" si="0"/>
        <v>1250000</v>
      </c>
      <c r="S7" s="19">
        <f t="shared" si="0"/>
        <v>1250000</v>
      </c>
      <c r="T7" s="19">
        <f t="shared" si="0"/>
        <v>1250000</v>
      </c>
      <c r="U7" s="19">
        <f t="shared" si="0"/>
        <v>1250000</v>
      </c>
      <c r="V7" s="19">
        <f t="shared" si="0"/>
        <v>1250000</v>
      </c>
      <c r="W7" s="19">
        <f t="shared" si="0"/>
        <v>1000000</v>
      </c>
      <c r="X7" s="19">
        <f t="shared" si="0"/>
        <v>1000000</v>
      </c>
      <c r="Y7" s="19">
        <f t="shared" si="0"/>
        <v>1000000</v>
      </c>
      <c r="Z7" s="19">
        <f t="shared" si="0"/>
        <v>1000000</v>
      </c>
      <c r="AA7" s="19">
        <f t="shared" si="0"/>
        <v>750000</v>
      </c>
      <c r="AB7" s="19">
        <f t="shared" si="0"/>
        <v>750000</v>
      </c>
      <c r="AC7" s="19">
        <f t="shared" si="0"/>
        <v>750000</v>
      </c>
      <c r="AD7" s="19">
        <f t="shared" si="0"/>
        <v>500000</v>
      </c>
      <c r="AE7" s="19">
        <f t="shared" si="0"/>
        <v>500000</v>
      </c>
      <c r="AF7" s="19">
        <f t="shared" si="0"/>
        <v>500000</v>
      </c>
      <c r="AG7" s="19">
        <f t="shared" si="0"/>
        <v>500000</v>
      </c>
      <c r="AH7" s="19">
        <f t="shared" si="0"/>
        <v>250000</v>
      </c>
      <c r="AI7" s="19">
        <f t="shared" si="0"/>
        <v>250000</v>
      </c>
      <c r="AJ7" s="19">
        <f t="shared" si="0"/>
        <v>250000</v>
      </c>
      <c r="AK7" s="19">
        <f t="shared" si="0"/>
        <v>250000</v>
      </c>
    </row>
    <row r="8" spans="1:37">
      <c r="B8" s="4" t="s">
        <v>1135</v>
      </c>
      <c r="C8" s="6"/>
      <c r="D8" s="6"/>
      <c r="E8" s="6"/>
      <c r="F8" s="6"/>
      <c r="G8" s="6"/>
      <c r="H8" s="6"/>
      <c r="I8" s="6"/>
      <c r="J8" s="6"/>
      <c r="K8" s="6"/>
      <c r="L8" s="19"/>
      <c r="M8" s="19"/>
      <c r="N8" s="19"/>
      <c r="O8" s="19">
        <f>SUM(L7:O7)</f>
        <v>1877854.1666666665</v>
      </c>
      <c r="P8" s="19">
        <f>O8+P7</f>
        <v>2863854.1666666665</v>
      </c>
      <c r="Q8" s="19">
        <f t="shared" ref="Q8:Z8" si="1">P8+Q7</f>
        <v>4113854.1666666665</v>
      </c>
      <c r="R8" s="19">
        <f t="shared" si="1"/>
        <v>5363854.166666666</v>
      </c>
      <c r="S8" s="19">
        <f t="shared" si="1"/>
        <v>6613854.166666666</v>
      </c>
      <c r="T8" s="19">
        <f t="shared" si="1"/>
        <v>7863854.166666666</v>
      </c>
      <c r="U8" s="19">
        <f t="shared" si="1"/>
        <v>9113854.166666666</v>
      </c>
      <c r="V8" s="19">
        <f t="shared" si="1"/>
        <v>10363854.166666666</v>
      </c>
      <c r="W8" s="19">
        <f t="shared" si="1"/>
        <v>11363854.166666666</v>
      </c>
      <c r="X8" s="19">
        <f t="shared" si="1"/>
        <v>12363854.166666666</v>
      </c>
      <c r="Y8" s="19">
        <f t="shared" si="1"/>
        <v>13363854.166666666</v>
      </c>
      <c r="Z8" s="19">
        <f t="shared" si="1"/>
        <v>14363854.166666666</v>
      </c>
      <c r="AA8" s="19">
        <f t="shared" ref="AA8:AK8" si="2">Z8+AA7</f>
        <v>15113854.166666666</v>
      </c>
      <c r="AB8" s="19">
        <f t="shared" si="2"/>
        <v>15863854.166666666</v>
      </c>
      <c r="AC8" s="19">
        <f t="shared" si="2"/>
        <v>16613854.166666666</v>
      </c>
      <c r="AD8" s="19">
        <f t="shared" si="2"/>
        <v>17113854.166666664</v>
      </c>
      <c r="AE8" s="19">
        <f t="shared" si="2"/>
        <v>17613854.166666664</v>
      </c>
      <c r="AF8" s="19">
        <f t="shared" si="2"/>
        <v>18113854.166666664</v>
      </c>
      <c r="AG8" s="19">
        <f t="shared" si="2"/>
        <v>18613854.166666664</v>
      </c>
      <c r="AH8" s="19">
        <f t="shared" si="2"/>
        <v>18863854.166666664</v>
      </c>
      <c r="AI8" s="19">
        <f t="shared" si="2"/>
        <v>19113854.166666664</v>
      </c>
      <c r="AJ8" s="19">
        <f t="shared" si="2"/>
        <v>19363854.166666664</v>
      </c>
      <c r="AK8" s="19">
        <f t="shared" si="2"/>
        <v>19613854.166666664</v>
      </c>
    </row>
    <row r="9" spans="1:37">
      <c r="B9" s="4" t="s">
        <v>1136</v>
      </c>
      <c r="C9" s="6"/>
      <c r="D9" s="6"/>
      <c r="E9" s="6"/>
      <c r="F9" s="6"/>
      <c r="G9" s="6"/>
      <c r="H9" s="6"/>
      <c r="I9" s="6"/>
      <c r="J9" s="6"/>
      <c r="K9" s="6"/>
      <c r="L9" s="19"/>
      <c r="M9" s="19"/>
      <c r="N9" s="19"/>
      <c r="O9" s="7">
        <v>0.05</v>
      </c>
      <c r="P9" s="6"/>
      <c r="Q9" s="6"/>
    </row>
    <row r="10" spans="1:37">
      <c r="B10" s="4" t="s">
        <v>1137</v>
      </c>
      <c r="C10" s="6"/>
      <c r="D10" s="6"/>
      <c r="E10" s="6"/>
      <c r="F10" s="6"/>
      <c r="G10" s="6"/>
      <c r="H10" s="6"/>
      <c r="I10" s="6"/>
      <c r="J10" s="6"/>
      <c r="K10" s="6"/>
      <c r="L10" s="19"/>
      <c r="M10" s="19"/>
      <c r="N10" s="19"/>
      <c r="O10" s="19">
        <v>50000000</v>
      </c>
      <c r="P10" s="6"/>
      <c r="Q10" s="6"/>
    </row>
    <row r="11" spans="1:37">
      <c r="B11" s="4" t="s">
        <v>1138</v>
      </c>
      <c r="C11" s="6"/>
      <c r="D11" s="6"/>
      <c r="E11" s="6"/>
      <c r="F11" s="6"/>
      <c r="G11" s="6"/>
      <c r="H11" s="6"/>
      <c r="I11" s="6"/>
      <c r="J11" s="6"/>
      <c r="K11" s="6"/>
      <c r="L11" s="19"/>
      <c r="M11" s="19"/>
      <c r="N11" s="19"/>
      <c r="O11" s="19"/>
      <c r="P11" s="6"/>
      <c r="Q11" s="6"/>
    </row>
    <row r="12" spans="1:37">
      <c r="B12" s="4" t="s">
        <v>1139</v>
      </c>
      <c r="C12" s="6"/>
      <c r="D12" s="6"/>
      <c r="E12" s="6"/>
      <c r="F12" s="6"/>
      <c r="G12" s="6"/>
      <c r="H12" s="6"/>
      <c r="I12" s="6"/>
      <c r="J12" s="6"/>
      <c r="K12" s="6"/>
      <c r="L12" s="19"/>
      <c r="M12" s="19"/>
      <c r="N12" s="19"/>
      <c r="O12" s="19"/>
      <c r="P12" s="6"/>
      <c r="Q12" s="6"/>
    </row>
    <row r="13" spans="1:37">
      <c r="B13" s="4" t="s">
        <v>1140</v>
      </c>
      <c r="C13" s="6"/>
      <c r="D13" s="6"/>
      <c r="E13" s="6"/>
      <c r="F13" s="6"/>
      <c r="G13" s="6"/>
      <c r="H13" s="6"/>
      <c r="I13" s="6"/>
      <c r="J13" s="6"/>
      <c r="K13" s="6"/>
      <c r="L13" s="24">
        <f>120/1.15</f>
        <v>104.34782608695653</v>
      </c>
      <c r="M13" s="24">
        <f>L13</f>
        <v>104.34782608695653</v>
      </c>
      <c r="N13" s="24">
        <f>M13</f>
        <v>104.34782608695653</v>
      </c>
      <c r="O13" s="24">
        <f>N13</f>
        <v>104.34782608695653</v>
      </c>
      <c r="P13" s="11">
        <v>104</v>
      </c>
      <c r="Q13" s="6">
        <v>104</v>
      </c>
      <c r="R13" s="6">
        <f>Q13*1.05</f>
        <v>109.2</v>
      </c>
      <c r="S13" s="6">
        <f>R13</f>
        <v>109.2</v>
      </c>
      <c r="T13" s="6">
        <f>S13</f>
        <v>109.2</v>
      </c>
      <c r="U13" s="6">
        <f>T13</f>
        <v>109.2</v>
      </c>
      <c r="V13" s="6">
        <f>U13*1.05</f>
        <v>114.66000000000001</v>
      </c>
      <c r="W13" s="6">
        <f>V13</f>
        <v>114.66000000000001</v>
      </c>
      <c r="X13" s="6">
        <f>W13</f>
        <v>114.66000000000001</v>
      </c>
      <c r="Y13" s="6">
        <f>X13</f>
        <v>114.66000000000001</v>
      </c>
      <c r="Z13" s="6">
        <f>Y13*1.05</f>
        <v>120.39300000000001</v>
      </c>
      <c r="AA13" s="6">
        <f>Z13</f>
        <v>120.39300000000001</v>
      </c>
      <c r="AB13" s="6">
        <f>AA13</f>
        <v>120.39300000000001</v>
      </c>
      <c r="AC13" s="6">
        <f>AB13</f>
        <v>120.39300000000001</v>
      </c>
      <c r="AD13" s="6">
        <f>AC13*1.05</f>
        <v>126.41265000000003</v>
      </c>
      <c r="AE13" s="6">
        <f>AD13</f>
        <v>126.41265000000003</v>
      </c>
      <c r="AF13" s="6">
        <f>AE13</f>
        <v>126.41265000000003</v>
      </c>
      <c r="AG13" s="6">
        <f>AF13</f>
        <v>126.41265000000003</v>
      </c>
      <c r="AH13" s="6">
        <f>AG13*1.05</f>
        <v>132.73328250000003</v>
      </c>
      <c r="AI13" s="6">
        <f>AH13</f>
        <v>132.73328250000003</v>
      </c>
      <c r="AJ13" s="6">
        <f>AI13</f>
        <v>132.73328250000003</v>
      </c>
      <c r="AK13" s="6">
        <f>AJ13</f>
        <v>132.73328250000003</v>
      </c>
    </row>
    <row r="14" spans="1:37">
      <c r="B14" s="4" t="s">
        <v>1141</v>
      </c>
      <c r="C14" s="6"/>
      <c r="D14" s="6"/>
      <c r="E14" s="6"/>
      <c r="F14" s="6"/>
      <c r="G14" s="6"/>
      <c r="H14" s="6"/>
      <c r="I14" s="6"/>
      <c r="J14" s="6"/>
      <c r="K14" s="6"/>
      <c r="L14" s="6">
        <v>33</v>
      </c>
      <c r="M14" s="6">
        <v>68</v>
      </c>
      <c r="N14" s="6">
        <v>162</v>
      </c>
      <c r="O14" s="6">
        <v>200</v>
      </c>
      <c r="P14" s="19">
        <f>P15+P16</f>
        <v>285.08799999999997</v>
      </c>
      <c r="Q14" s="6"/>
    </row>
    <row r="15" spans="1:37">
      <c r="B15" s="4" t="s">
        <v>1142</v>
      </c>
      <c r="C15" s="6"/>
      <c r="D15" s="6"/>
      <c r="E15" s="6"/>
      <c r="F15" s="6"/>
      <c r="G15" s="6"/>
      <c r="H15" s="6"/>
      <c r="I15" s="6"/>
      <c r="J15" s="6"/>
      <c r="K15" s="6"/>
      <c r="L15" s="24">
        <f>L14*1</f>
        <v>33</v>
      </c>
      <c r="M15" s="24">
        <f>M14*0.9</f>
        <v>61.2</v>
      </c>
      <c r="N15" s="24">
        <f>N14*0.85</f>
        <v>137.69999999999999</v>
      </c>
      <c r="O15" s="24">
        <f>O14*0.8</f>
        <v>160</v>
      </c>
      <c r="P15" s="24">
        <f t="shared" ref="P15:AK15" si="3">P13*P5/1000000</f>
        <v>205.08799999999999</v>
      </c>
      <c r="Q15" s="24">
        <f t="shared" si="3"/>
        <v>260</v>
      </c>
      <c r="R15" s="24">
        <f t="shared" si="3"/>
        <v>273</v>
      </c>
      <c r="S15" s="24">
        <f t="shared" si="3"/>
        <v>273</v>
      </c>
      <c r="T15" s="24">
        <f t="shared" si="3"/>
        <v>273</v>
      </c>
      <c r="U15" s="24">
        <f t="shared" si="3"/>
        <v>273</v>
      </c>
      <c r="V15" s="24">
        <f t="shared" si="3"/>
        <v>286.64999999999998</v>
      </c>
      <c r="W15" s="24">
        <f t="shared" si="3"/>
        <v>229.32000000000002</v>
      </c>
      <c r="X15" s="24">
        <f t="shared" si="3"/>
        <v>229.32000000000002</v>
      </c>
      <c r="Y15" s="24">
        <f t="shared" si="3"/>
        <v>229.32000000000002</v>
      </c>
      <c r="Z15" s="24">
        <f t="shared" si="3"/>
        <v>240.78600000000003</v>
      </c>
      <c r="AA15" s="24">
        <f t="shared" si="3"/>
        <v>180.58950000000004</v>
      </c>
      <c r="AB15" s="24">
        <f t="shared" si="3"/>
        <v>180.58950000000004</v>
      </c>
      <c r="AC15" s="24">
        <f t="shared" si="3"/>
        <v>180.58950000000004</v>
      </c>
      <c r="AD15" s="24">
        <f t="shared" si="3"/>
        <v>126.41265000000003</v>
      </c>
      <c r="AE15" s="24">
        <f t="shared" si="3"/>
        <v>126.41265000000003</v>
      </c>
      <c r="AF15" s="24">
        <f t="shared" si="3"/>
        <v>126.41265000000003</v>
      </c>
      <c r="AG15" s="24">
        <f t="shared" si="3"/>
        <v>126.41265000000003</v>
      </c>
      <c r="AH15" s="24">
        <f t="shared" si="3"/>
        <v>66.366641250000015</v>
      </c>
      <c r="AI15" s="24">
        <f t="shared" si="3"/>
        <v>66.366641250000015</v>
      </c>
      <c r="AJ15" s="24">
        <f t="shared" si="3"/>
        <v>66.366641250000015</v>
      </c>
      <c r="AK15" s="24">
        <f t="shared" si="3"/>
        <v>66.366641250000015</v>
      </c>
    </row>
    <row r="16" spans="1:37">
      <c r="B16" s="4" t="s">
        <v>1143</v>
      </c>
      <c r="C16" s="6"/>
      <c r="D16" s="6"/>
      <c r="E16" s="6"/>
      <c r="F16" s="6"/>
      <c r="G16" s="6"/>
      <c r="H16" s="6"/>
      <c r="I16" s="6"/>
      <c r="J16" s="6"/>
      <c r="K16" s="6"/>
      <c r="L16" s="19">
        <f>L14*0</f>
        <v>0</v>
      </c>
      <c r="M16" s="19">
        <f>M14*0.1</f>
        <v>6.8000000000000007</v>
      </c>
      <c r="N16" s="19">
        <f>N14*0.15</f>
        <v>24.3</v>
      </c>
      <c r="O16" s="19">
        <f>O14*0.2</f>
        <v>40</v>
      </c>
      <c r="P16" s="19">
        <v>80</v>
      </c>
      <c r="Q16" s="6"/>
    </row>
    <row r="17" spans="2:17">
      <c r="C17" s="6"/>
      <c r="D17" s="6"/>
      <c r="E17" s="6"/>
      <c r="F17" s="6"/>
      <c r="G17" s="6"/>
      <c r="H17" s="6"/>
      <c r="I17" s="6"/>
      <c r="J17" s="6"/>
      <c r="K17" s="6"/>
      <c r="L17" s="6"/>
      <c r="M17" s="6"/>
      <c r="N17" s="6"/>
      <c r="O17" s="6"/>
      <c r="P17" s="6"/>
      <c r="Q17" s="6"/>
    </row>
    <row r="18" spans="2:17">
      <c r="C18" s="6"/>
      <c r="D18" s="6"/>
      <c r="E18" s="6"/>
      <c r="F18" s="6"/>
      <c r="G18" s="6"/>
      <c r="H18" s="6"/>
      <c r="I18" s="6"/>
      <c r="J18" s="6"/>
      <c r="K18" s="6"/>
      <c r="L18" s="6"/>
      <c r="M18" s="6"/>
      <c r="N18" s="6"/>
      <c r="O18" s="6"/>
      <c r="P18" s="6"/>
      <c r="Q18" s="6"/>
    </row>
    <row r="19" spans="2:17">
      <c r="C19" s="6"/>
      <c r="D19" s="6"/>
      <c r="E19" s="6"/>
      <c r="F19" s="6"/>
      <c r="G19" s="6"/>
      <c r="H19" s="6"/>
      <c r="I19" s="6"/>
      <c r="J19" s="6"/>
      <c r="K19" s="6"/>
    </row>
    <row r="22" spans="2:17">
      <c r="B22" s="4" t="s">
        <v>922</v>
      </c>
    </row>
    <row r="23" spans="2:17">
      <c r="C23" s="6" t="s">
        <v>923</v>
      </c>
      <c r="D23" s="6" t="s">
        <v>924</v>
      </c>
    </row>
    <row r="24" spans="2:17">
      <c r="B24" s="21">
        <v>39311</v>
      </c>
      <c r="C24" s="19"/>
      <c r="D24" s="19"/>
    </row>
    <row r="25" spans="2:17">
      <c r="B25" s="21">
        <v>39304</v>
      </c>
      <c r="C25" s="19">
        <v>126522</v>
      </c>
      <c r="D25" s="19">
        <v>151719</v>
      </c>
      <c r="F25" s="20">
        <f>D25*13</f>
        <v>1972347</v>
      </c>
    </row>
    <row r="26" spans="2:17">
      <c r="B26" s="21">
        <v>39297</v>
      </c>
      <c r="C26" s="19"/>
      <c r="D26" s="19"/>
    </row>
    <row r="27" spans="2:17">
      <c r="B27" s="21">
        <v>39290</v>
      </c>
      <c r="C27" s="19">
        <v>127225</v>
      </c>
      <c r="D27" s="19">
        <v>151313</v>
      </c>
      <c r="F27" s="20">
        <f>D27*52/3</f>
        <v>2622758.6666666665</v>
      </c>
    </row>
    <row r="28" spans="2:17">
      <c r="B28" s="21">
        <f>B27-7</f>
        <v>39283</v>
      </c>
      <c r="C28" s="19">
        <v>130489</v>
      </c>
      <c r="D28" s="19">
        <v>155053</v>
      </c>
    </row>
    <row r="29" spans="2:17">
      <c r="B29" s="21">
        <f>B28-7</f>
        <v>39276</v>
      </c>
      <c r="C29" s="19">
        <v>127900</v>
      </c>
      <c r="D29" s="19">
        <v>152449</v>
      </c>
    </row>
    <row r="30" spans="2:17">
      <c r="B30" s="21">
        <v>39241</v>
      </c>
      <c r="C30" s="19">
        <v>126421</v>
      </c>
      <c r="D30" s="19">
        <v>149128</v>
      </c>
    </row>
    <row r="31" spans="2:17">
      <c r="B31" s="21">
        <f>B30-7</f>
        <v>39234</v>
      </c>
      <c r="C31" s="19"/>
      <c r="D31" s="19"/>
    </row>
    <row r="32" spans="2:17">
      <c r="B32" s="21">
        <v>39192</v>
      </c>
      <c r="C32" s="19">
        <v>122319</v>
      </c>
      <c r="D32" s="19">
        <v>141371</v>
      </c>
    </row>
    <row r="33" spans="2:4">
      <c r="C33" s="19"/>
      <c r="D33" s="19"/>
    </row>
    <row r="34" spans="2:4">
      <c r="B34" s="21">
        <v>39108</v>
      </c>
      <c r="C34" s="19">
        <v>92668</v>
      </c>
      <c r="D34" s="19">
        <v>101749</v>
      </c>
    </row>
    <row r="35" spans="2:4">
      <c r="B35" s="21">
        <v>39101</v>
      </c>
      <c r="C35" s="19"/>
      <c r="D35" s="19"/>
    </row>
    <row r="36" spans="2:4">
      <c r="B36" s="21">
        <v>39094</v>
      </c>
      <c r="C36" s="19">
        <v>89432</v>
      </c>
      <c r="D36" s="19">
        <v>97757</v>
      </c>
    </row>
    <row r="37" spans="2:4">
      <c r="B37" s="21">
        <v>39087</v>
      </c>
      <c r="C37" s="19">
        <v>73901</v>
      </c>
      <c r="D37" s="19">
        <v>87569</v>
      </c>
    </row>
    <row r="38" spans="2:4">
      <c r="B38" s="21">
        <v>39080</v>
      </c>
      <c r="C38" s="19">
        <v>55190</v>
      </c>
      <c r="D38" s="19">
        <v>61920</v>
      </c>
    </row>
    <row r="39" spans="2:4">
      <c r="B39" s="21">
        <v>39073</v>
      </c>
      <c r="C39" s="19"/>
      <c r="D39" s="19"/>
    </row>
    <row r="40" spans="2:4">
      <c r="B40" s="21">
        <v>39066</v>
      </c>
      <c r="C40" s="19">
        <v>61128</v>
      </c>
      <c r="D40" s="19"/>
    </row>
    <row r="41" spans="2:4">
      <c r="B41" s="21">
        <v>39059</v>
      </c>
      <c r="C41" s="19"/>
      <c r="D41" s="19"/>
    </row>
    <row r="42" spans="2:4">
      <c r="B42" s="21">
        <v>39052</v>
      </c>
      <c r="C42" s="19"/>
      <c r="D42" s="19"/>
    </row>
    <row r="43" spans="2:4">
      <c r="B43" s="21">
        <v>39045</v>
      </c>
      <c r="C43" s="19"/>
      <c r="D43" s="19"/>
    </row>
    <row r="44" spans="2:4">
      <c r="B44" s="21">
        <v>39038</v>
      </c>
      <c r="C44" s="19"/>
      <c r="D44" s="19"/>
    </row>
    <row r="45" spans="2:4">
      <c r="B45" s="21">
        <v>39031</v>
      </c>
      <c r="C45" s="19">
        <v>46009</v>
      </c>
      <c r="D45" s="19">
        <v>49589</v>
      </c>
    </row>
    <row r="46" spans="2:4">
      <c r="B46" s="21">
        <v>39024</v>
      </c>
      <c r="C46" s="19"/>
      <c r="D46" s="19"/>
    </row>
    <row r="47" spans="2:4">
      <c r="B47" s="21">
        <v>39017</v>
      </c>
      <c r="C47" s="19"/>
      <c r="D47" s="19"/>
    </row>
    <row r="48" spans="2:4">
      <c r="B48" s="21">
        <v>39010</v>
      </c>
      <c r="C48" s="19"/>
      <c r="D48" s="19"/>
    </row>
    <row r="49" spans="2:4">
      <c r="B49" s="21">
        <v>39003</v>
      </c>
      <c r="C49" s="19"/>
      <c r="D49" s="19"/>
    </row>
    <row r="50" spans="2:4">
      <c r="B50" s="21">
        <v>38996</v>
      </c>
      <c r="C50" s="19"/>
      <c r="D50" s="19"/>
    </row>
    <row r="51" spans="2:4">
      <c r="B51" s="21">
        <v>38989</v>
      </c>
      <c r="C51" s="19"/>
      <c r="D51" s="19"/>
    </row>
    <row r="52" spans="2:4">
      <c r="B52" s="21">
        <v>38982</v>
      </c>
      <c r="C52" s="19"/>
      <c r="D52" s="19"/>
    </row>
    <row r="53" spans="2:4">
      <c r="B53" s="21">
        <v>38975</v>
      </c>
      <c r="C53" s="19"/>
      <c r="D53" s="19"/>
    </row>
    <row r="54" spans="2:4">
      <c r="B54" s="21">
        <v>38968</v>
      </c>
      <c r="C54" s="19"/>
      <c r="D54" s="19"/>
    </row>
    <row r="55" spans="2:4">
      <c r="B55" s="21">
        <v>38961</v>
      </c>
      <c r="C55" s="19"/>
      <c r="D55" s="19"/>
    </row>
    <row r="56" spans="2:4">
      <c r="B56" s="21">
        <v>38954</v>
      </c>
      <c r="C56" s="19"/>
      <c r="D56" s="19"/>
    </row>
    <row r="57" spans="2:4">
      <c r="B57" s="21">
        <v>38947</v>
      </c>
      <c r="C57" s="19"/>
      <c r="D57" s="19"/>
    </row>
    <row r="58" spans="2:4">
      <c r="B58" s="21">
        <v>38940</v>
      </c>
      <c r="C58" s="19"/>
      <c r="D58" s="19"/>
    </row>
    <row r="59" spans="2:4">
      <c r="B59" s="21">
        <v>38933</v>
      </c>
      <c r="C59" s="19"/>
      <c r="D59" s="19"/>
    </row>
  </sheetData>
  <phoneticPr fontId="3" type="noConversion"/>
  <hyperlinks>
    <hyperlink ref="A2" location="Chantix!A1" display="Chantix" xr:uid="{00000000-0004-0000-1300-000000000000}"/>
    <hyperlink ref="A1" location="Main!A1" display="Main" xr:uid="{00000000-0004-0000-1300-000001000000}"/>
  </hyperlinks>
  <pageMargins left="0.75" right="0.75" top="1" bottom="1" header="0.5" footer="0.5"/>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E9A7A-A973-4466-9DA7-7E8A77544512}">
  <dimension ref="A1:C7"/>
  <sheetViews>
    <sheetView workbookViewId="0"/>
  </sheetViews>
  <sheetFormatPr baseColWidth="10" defaultColWidth="8.83203125" defaultRowHeight="13"/>
  <cols>
    <col min="1" max="1" width="5" bestFit="1" customWidth="1"/>
    <col min="2" max="2" width="12" bestFit="1" customWidth="1"/>
  </cols>
  <sheetData>
    <row r="1" spans="1:3">
      <c r="A1" s="16" t="s">
        <v>0</v>
      </c>
    </row>
    <row r="2" spans="1:3">
      <c r="B2" s="102" t="s">
        <v>1398</v>
      </c>
      <c r="C2" s="102" t="s">
        <v>1529</v>
      </c>
    </row>
    <row r="3" spans="1:3">
      <c r="B3" s="102" t="s">
        <v>1399</v>
      </c>
      <c r="C3" s="102" t="s">
        <v>1523</v>
      </c>
    </row>
    <row r="4" spans="1:3">
      <c r="B4" s="102" t="s">
        <v>5</v>
      </c>
      <c r="C4" s="102" t="s">
        <v>1524</v>
      </c>
    </row>
    <row r="5" spans="1:3">
      <c r="B5" s="102" t="s">
        <v>933</v>
      </c>
    </row>
    <row r="6" spans="1:3">
      <c r="C6" s="38" t="s">
        <v>1525</v>
      </c>
    </row>
    <row r="7" spans="1:3">
      <c r="C7" s="102" t="s">
        <v>1526</v>
      </c>
    </row>
  </sheetData>
  <hyperlinks>
    <hyperlink ref="A1" location="Main!A1" display="Main" xr:uid="{3FD284AD-0CE1-41C2-B27F-7D3DD595D4C6}"/>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C9"/>
  <sheetViews>
    <sheetView workbookViewId="0"/>
  </sheetViews>
  <sheetFormatPr baseColWidth="10" defaultColWidth="8.83203125" defaultRowHeight="13"/>
  <cols>
    <col min="1" max="1" width="5" bestFit="1" customWidth="1"/>
    <col min="2" max="2" width="12.83203125" bestFit="1" customWidth="1"/>
  </cols>
  <sheetData>
    <row r="1" spans="1:3">
      <c r="A1" s="16" t="s">
        <v>0</v>
      </c>
    </row>
    <row r="2" spans="1:3">
      <c r="B2" s="102" t="s">
        <v>2</v>
      </c>
      <c r="C2" s="102" t="s">
        <v>1009</v>
      </c>
    </row>
    <row r="3" spans="1:3">
      <c r="B3" s="102" t="s">
        <v>3</v>
      </c>
      <c r="C3" s="102" t="s">
        <v>1010</v>
      </c>
    </row>
    <row r="4" spans="1:3">
      <c r="B4" s="102" t="s">
        <v>6</v>
      </c>
      <c r="C4" s="102" t="s">
        <v>1011</v>
      </c>
    </row>
    <row r="5" spans="1:3">
      <c r="B5" s="102" t="s">
        <v>5</v>
      </c>
      <c r="C5" s="102" t="s">
        <v>1012</v>
      </c>
    </row>
    <row r="6" spans="1:3">
      <c r="B6" s="102" t="s">
        <v>933</v>
      </c>
    </row>
    <row r="7" spans="1:3">
      <c r="C7" s="38" t="s">
        <v>1013</v>
      </c>
    </row>
    <row r="8" spans="1:3">
      <c r="C8" s="102" t="s">
        <v>1014</v>
      </c>
    </row>
    <row r="9" spans="1:3">
      <c r="C9" s="102" t="s">
        <v>1015</v>
      </c>
    </row>
  </sheetData>
  <hyperlinks>
    <hyperlink ref="A1" location="Main!A1" display="Main" xr:uid="{00000000-0004-0000-0C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9BB70-2446-4F95-B547-4BF92B473C68}">
  <sheetPr codeName="Sheet16"/>
  <dimension ref="A1:C11"/>
  <sheetViews>
    <sheetView zoomScale="140" zoomScaleNormal="140" workbookViewId="0"/>
  </sheetViews>
  <sheetFormatPr baseColWidth="10" defaultColWidth="8.83203125" defaultRowHeight="13"/>
  <cols>
    <col min="1" max="1" width="5" bestFit="1" customWidth="1"/>
    <col min="2" max="2" width="12.33203125" bestFit="1" customWidth="1"/>
  </cols>
  <sheetData>
    <row r="1" spans="1:3">
      <c r="A1" s="16" t="s">
        <v>0</v>
      </c>
    </row>
    <row r="2" spans="1:3">
      <c r="B2" s="102" t="s">
        <v>1398</v>
      </c>
      <c r="C2" s="102" t="s">
        <v>1459</v>
      </c>
    </row>
    <row r="3" spans="1:3">
      <c r="B3" s="102" t="s">
        <v>1399</v>
      </c>
      <c r="C3" s="102" t="s">
        <v>1460</v>
      </c>
    </row>
    <row r="4" spans="1:3">
      <c r="B4" s="102" t="s">
        <v>885</v>
      </c>
      <c r="C4" s="102" t="s">
        <v>1461</v>
      </c>
    </row>
    <row r="5" spans="1:3">
      <c r="B5" s="102" t="s">
        <v>1462</v>
      </c>
      <c r="C5" s="102" t="s">
        <v>1463</v>
      </c>
    </row>
    <row r="6" spans="1:3">
      <c r="B6" s="102" t="s">
        <v>1438</v>
      </c>
      <c r="C6" s="102" t="s">
        <v>1530</v>
      </c>
    </row>
    <row r="7" spans="1:3">
      <c r="B7" s="102" t="s">
        <v>933</v>
      </c>
    </row>
    <row r="8" spans="1:3">
      <c r="C8" s="38" t="s">
        <v>1464</v>
      </c>
    </row>
    <row r="10" spans="1:3">
      <c r="C10" s="38" t="s">
        <v>1465</v>
      </c>
    </row>
    <row r="11" spans="1:3">
      <c r="C11" s="102" t="s">
        <v>1466</v>
      </c>
    </row>
  </sheetData>
  <hyperlinks>
    <hyperlink ref="A1" location="Main!A1" display="Main" xr:uid="{F5C77C53-0917-4F7E-8080-B0D07C8FC9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82"/>
  <sheetViews>
    <sheetView workbookViewId="0">
      <pane xSplit="2" ySplit="3" topLeftCell="C151" activePane="bottomRight" state="frozen"/>
      <selection pane="topRight" activeCell="C1" sqref="C1"/>
      <selection pane="bottomLeft" activeCell="A4" sqref="A4"/>
      <selection pane="bottomRight" activeCell="B182" sqref="B182:I182"/>
    </sheetView>
  </sheetViews>
  <sheetFormatPr baseColWidth="10" defaultColWidth="8.83203125" defaultRowHeight="13"/>
  <cols>
    <col min="1" max="1" width="7.5" bestFit="1" customWidth="1"/>
    <col min="2" max="2" width="23.5" bestFit="1" customWidth="1"/>
    <col min="3" max="3" width="15.5" customWidth="1"/>
    <col min="4" max="4" width="15.83203125" customWidth="1"/>
    <col min="6" max="6" width="10.5" bestFit="1" customWidth="1"/>
    <col min="7" max="7" width="10.1640625" bestFit="1" customWidth="1"/>
  </cols>
  <sheetData>
    <row r="1" spans="1:8">
      <c r="A1" s="123" t="s">
        <v>0</v>
      </c>
    </row>
    <row r="2" spans="1:8">
      <c r="A2" s="123" t="s">
        <v>1</v>
      </c>
    </row>
    <row r="3" spans="1:8">
      <c r="B3" t="s">
        <v>2</v>
      </c>
      <c r="C3" t="s">
        <v>3</v>
      </c>
      <c r="E3" t="s">
        <v>5</v>
      </c>
      <c r="F3" t="s">
        <v>6</v>
      </c>
      <c r="G3" s="102" t="s">
        <v>1386</v>
      </c>
      <c r="H3" s="102" t="s">
        <v>878</v>
      </c>
    </row>
    <row r="4" spans="1:8">
      <c r="B4" s="102" t="s">
        <v>720</v>
      </c>
      <c r="G4" s="102"/>
      <c r="H4" s="102" t="s">
        <v>1390</v>
      </c>
    </row>
    <row r="5" spans="1:8">
      <c r="B5" s="102" t="s">
        <v>1017</v>
      </c>
      <c r="C5" s="102" t="s">
        <v>1018</v>
      </c>
      <c r="E5" s="102" t="s">
        <v>328</v>
      </c>
      <c r="F5" s="102" t="s">
        <v>329</v>
      </c>
      <c r="G5" s="124">
        <v>36160</v>
      </c>
      <c r="H5" s="102"/>
    </row>
    <row r="6" spans="1:8">
      <c r="B6" s="102" t="s">
        <v>747</v>
      </c>
      <c r="F6" s="102" t="s">
        <v>1387</v>
      </c>
      <c r="H6" s="102" t="s">
        <v>1388</v>
      </c>
    </row>
    <row r="7" spans="1:8">
      <c r="B7" s="102" t="s">
        <v>174</v>
      </c>
      <c r="F7" s="102"/>
      <c r="H7" s="102"/>
    </row>
    <row r="8" spans="1:8">
      <c r="B8" s="102" t="s">
        <v>175</v>
      </c>
      <c r="F8" s="102"/>
      <c r="H8" s="102"/>
    </row>
    <row r="9" spans="1:8">
      <c r="B9" t="s">
        <v>18</v>
      </c>
    </row>
    <row r="10" spans="1:8">
      <c r="B10" s="102" t="s">
        <v>173</v>
      </c>
    </row>
    <row r="11" spans="1:8">
      <c r="B11" s="102" t="s">
        <v>919</v>
      </c>
      <c r="C11" s="102" t="s">
        <v>920</v>
      </c>
      <c r="E11" s="102" t="s">
        <v>298</v>
      </c>
      <c r="F11" s="102" t="s">
        <v>1389</v>
      </c>
      <c r="G11" s="30">
        <v>42003</v>
      </c>
    </row>
    <row r="12" spans="1:8">
      <c r="B12" s="102"/>
    </row>
    <row r="13" spans="1:8">
      <c r="B13" s="102"/>
    </row>
    <row r="14" spans="1:8">
      <c r="B14" t="s">
        <v>2</v>
      </c>
      <c r="C14" t="s">
        <v>3</v>
      </c>
      <c r="D14" t="s">
        <v>4</v>
      </c>
      <c r="E14" t="s">
        <v>5</v>
      </c>
      <c r="F14" t="s">
        <v>6</v>
      </c>
      <c r="G14" t="s">
        <v>7</v>
      </c>
      <c r="H14" t="s">
        <v>8</v>
      </c>
    </row>
    <row r="15" spans="1:8">
      <c r="B15" s="102" t="s">
        <v>9</v>
      </c>
    </row>
    <row r="16" spans="1:8">
      <c r="B16" s="102" t="s">
        <v>10</v>
      </c>
    </row>
    <row r="17" spans="2:3">
      <c r="C17" s="102" t="s">
        <v>11</v>
      </c>
    </row>
    <row r="18" spans="2:3">
      <c r="B18" s="102" t="s">
        <v>12</v>
      </c>
    </row>
    <row r="19" spans="2:3">
      <c r="B19" s="102" t="s">
        <v>13</v>
      </c>
    </row>
    <row r="20" spans="2:3">
      <c r="B20" t="s">
        <v>14</v>
      </c>
    </row>
    <row r="21" spans="2:3">
      <c r="B21" t="s">
        <v>15</v>
      </c>
    </row>
    <row r="22" spans="2:3">
      <c r="B22" t="s">
        <v>16</v>
      </c>
    </row>
    <row r="23" spans="2:3">
      <c r="B23" t="s">
        <v>17</v>
      </c>
    </row>
    <row r="25" spans="2:3">
      <c r="B25" t="s">
        <v>19</v>
      </c>
    </row>
    <row r="26" spans="2:3">
      <c r="B26" t="s">
        <v>20</v>
      </c>
    </row>
    <row r="27" spans="2:3">
      <c r="B27" t="s">
        <v>21</v>
      </c>
    </row>
    <row r="28" spans="2:3">
      <c r="B28" t="s">
        <v>22</v>
      </c>
    </row>
    <row r="29" spans="2:3">
      <c r="B29" t="s">
        <v>23</v>
      </c>
    </row>
    <row r="30" spans="2:3">
      <c r="B30" t="s">
        <v>24</v>
      </c>
    </row>
    <row r="31" spans="2:3">
      <c r="B31" t="s">
        <v>25</v>
      </c>
    </row>
    <row r="32" spans="2:3">
      <c r="B32" t="s">
        <v>26</v>
      </c>
    </row>
    <row r="33" spans="2:2">
      <c r="B33" t="s">
        <v>27</v>
      </c>
    </row>
    <row r="34" spans="2:2">
      <c r="B34" t="s">
        <v>28</v>
      </c>
    </row>
    <row r="35" spans="2:2">
      <c r="B35" t="s">
        <v>29</v>
      </c>
    </row>
    <row r="36" spans="2:2">
      <c r="B36" t="s">
        <v>30</v>
      </c>
    </row>
    <row r="37" spans="2:2">
      <c r="B37" t="s">
        <v>31</v>
      </c>
    </row>
    <row r="38" spans="2:2">
      <c r="B38" t="s">
        <v>32</v>
      </c>
    </row>
    <row r="39" spans="2:2">
      <c r="B39" t="s">
        <v>33</v>
      </c>
    </row>
    <row r="40" spans="2:2">
      <c r="B40" t="s">
        <v>34</v>
      </c>
    </row>
    <row r="41" spans="2:2">
      <c r="B41" t="s">
        <v>35</v>
      </c>
    </row>
    <row r="42" spans="2:2">
      <c r="B42" t="s">
        <v>36</v>
      </c>
    </row>
    <row r="43" spans="2:2">
      <c r="B43" s="102" t="s">
        <v>37</v>
      </c>
    </row>
    <row r="44" spans="2:2">
      <c r="B44" s="102" t="s">
        <v>38</v>
      </c>
    </row>
    <row r="45" spans="2:2">
      <c r="B45" s="102" t="s">
        <v>39</v>
      </c>
    </row>
    <row r="46" spans="2:2">
      <c r="B46" s="102" t="s">
        <v>40</v>
      </c>
    </row>
    <row r="47" spans="2:2">
      <c r="B47" s="102" t="s">
        <v>41</v>
      </c>
    </row>
    <row r="48" spans="2:2">
      <c r="B48" s="102" t="s">
        <v>42</v>
      </c>
    </row>
    <row r="49" spans="2:2">
      <c r="B49" s="102" t="s">
        <v>43</v>
      </c>
    </row>
    <row r="50" spans="2:2">
      <c r="B50" s="102" t="s">
        <v>44</v>
      </c>
    </row>
    <row r="51" spans="2:2">
      <c r="B51" s="102" t="s">
        <v>45</v>
      </c>
    </row>
    <row r="52" spans="2:2">
      <c r="B52" s="102" t="s">
        <v>46</v>
      </c>
    </row>
    <row r="53" spans="2:2">
      <c r="B53" s="102" t="s">
        <v>47</v>
      </c>
    </row>
    <row r="54" spans="2:2">
      <c r="B54" s="102" t="s">
        <v>48</v>
      </c>
    </row>
    <row r="55" spans="2:2">
      <c r="B55" s="102" t="s">
        <v>49</v>
      </c>
    </row>
    <row r="56" spans="2:2">
      <c r="B56" s="102" t="s">
        <v>50</v>
      </c>
    </row>
    <row r="57" spans="2:2">
      <c r="B57" s="102" t="s">
        <v>51</v>
      </c>
    </row>
    <row r="58" spans="2:2">
      <c r="B58" s="102" t="s">
        <v>52</v>
      </c>
    </row>
    <row r="59" spans="2:2">
      <c r="B59" s="102" t="s">
        <v>53</v>
      </c>
    </row>
    <row r="60" spans="2:2">
      <c r="B60" s="102" t="s">
        <v>54</v>
      </c>
    </row>
    <row r="61" spans="2:2">
      <c r="B61" s="102" t="s">
        <v>55</v>
      </c>
    </row>
    <row r="62" spans="2:2">
      <c r="B62" s="102" t="s">
        <v>56</v>
      </c>
    </row>
    <row r="63" spans="2:2">
      <c r="B63" s="102" t="s">
        <v>57</v>
      </c>
    </row>
    <row r="64" spans="2:2">
      <c r="B64" s="102" t="s">
        <v>58</v>
      </c>
    </row>
    <row r="65" spans="2:3">
      <c r="B65" s="102" t="s">
        <v>59</v>
      </c>
    </row>
    <row r="66" spans="2:3">
      <c r="B66" s="102" t="s">
        <v>60</v>
      </c>
    </row>
    <row r="67" spans="2:3">
      <c r="B67" s="102" t="s">
        <v>61</v>
      </c>
    </row>
    <row r="68" spans="2:3">
      <c r="B68" s="102" t="s">
        <v>62</v>
      </c>
    </row>
    <row r="69" spans="2:3">
      <c r="B69" s="102" t="s">
        <v>63</v>
      </c>
      <c r="C69" s="102" t="s">
        <v>64</v>
      </c>
    </row>
    <row r="70" spans="2:3">
      <c r="B70" s="102" t="s">
        <v>65</v>
      </c>
    </row>
    <row r="71" spans="2:3">
      <c r="B71" s="102" t="s">
        <v>66</v>
      </c>
    </row>
    <row r="72" spans="2:3">
      <c r="B72" s="102" t="s">
        <v>67</v>
      </c>
    </row>
    <row r="73" spans="2:3">
      <c r="B73" s="102" t="s">
        <v>68</v>
      </c>
    </row>
    <row r="74" spans="2:3">
      <c r="B74" s="102" t="s">
        <v>69</v>
      </c>
    </row>
    <row r="75" spans="2:3">
      <c r="B75" s="102" t="s">
        <v>70</v>
      </c>
    </row>
    <row r="76" spans="2:3">
      <c r="B76" s="102" t="s">
        <v>71</v>
      </c>
    </row>
    <row r="77" spans="2:3">
      <c r="B77" s="102" t="s">
        <v>72</v>
      </c>
    </row>
    <row r="78" spans="2:3">
      <c r="B78" s="102" t="s">
        <v>73</v>
      </c>
    </row>
    <row r="79" spans="2:3">
      <c r="B79" s="102" t="s">
        <v>74</v>
      </c>
    </row>
    <row r="80" spans="2:3">
      <c r="B80" s="102" t="s">
        <v>75</v>
      </c>
    </row>
    <row r="82" spans="2:2">
      <c r="B82" s="15" t="s">
        <v>76</v>
      </c>
    </row>
    <row r="83" spans="2:2">
      <c r="B83" s="14" t="s">
        <v>77</v>
      </c>
    </row>
    <row r="84" spans="2:2">
      <c r="B84" s="14" t="s">
        <v>78</v>
      </c>
    </row>
    <row r="85" spans="2:2">
      <c r="B85" s="14" t="s">
        <v>79</v>
      </c>
    </row>
    <row r="86" spans="2:2">
      <c r="B86" s="14" t="s">
        <v>80</v>
      </c>
    </row>
    <row r="87" spans="2:2">
      <c r="B87" s="14" t="s">
        <v>81</v>
      </c>
    </row>
    <row r="88" spans="2:2">
      <c r="B88" s="14" t="s">
        <v>82</v>
      </c>
    </row>
    <row r="89" spans="2:2">
      <c r="B89" s="14" t="s">
        <v>83</v>
      </c>
    </row>
    <row r="90" spans="2:2">
      <c r="B90" s="4" t="s">
        <v>84</v>
      </c>
    </row>
    <row r="91" spans="2:2">
      <c r="B91" s="14" t="s">
        <v>85</v>
      </c>
    </row>
    <row r="92" spans="2:2">
      <c r="B92" s="14" t="s">
        <v>86</v>
      </c>
    </row>
    <row r="93" spans="2:2">
      <c r="B93" s="14" t="s">
        <v>87</v>
      </c>
    </row>
    <row r="94" spans="2:2">
      <c r="B94" s="14" t="s">
        <v>88</v>
      </c>
    </row>
    <row r="95" spans="2:2">
      <c r="B95" s="14" t="s">
        <v>89</v>
      </c>
    </row>
    <row r="96" spans="2:2">
      <c r="B96" s="14" t="s">
        <v>90</v>
      </c>
    </row>
    <row r="97" spans="2:2">
      <c r="B97" s="4" t="s">
        <v>91</v>
      </c>
    </row>
    <row r="98" spans="2:2">
      <c r="B98" s="14" t="s">
        <v>92</v>
      </c>
    </row>
    <row r="99" spans="2:2">
      <c r="B99" s="14" t="s">
        <v>93</v>
      </c>
    </row>
    <row r="100" spans="2:2">
      <c r="B100" s="14" t="s">
        <v>94</v>
      </c>
    </row>
    <row r="101" spans="2:2">
      <c r="B101" s="14" t="s">
        <v>95</v>
      </c>
    </row>
    <row r="102" spans="2:2">
      <c r="B102" s="14" t="s">
        <v>96</v>
      </c>
    </row>
    <row r="103" spans="2:2">
      <c r="B103" s="14" t="s">
        <v>97</v>
      </c>
    </row>
    <row r="104" spans="2:2">
      <c r="B104" s="14" t="s">
        <v>98</v>
      </c>
    </row>
    <row r="105" spans="2:2">
      <c r="B105" s="14" t="s">
        <v>99</v>
      </c>
    </row>
    <row r="106" spans="2:2">
      <c r="B106" s="14" t="s">
        <v>100</v>
      </c>
    </row>
    <row r="107" spans="2:2">
      <c r="B107" s="14" t="s">
        <v>101</v>
      </c>
    </row>
    <row r="108" spans="2:2">
      <c r="B108" s="14" t="s">
        <v>102</v>
      </c>
    </row>
    <row r="109" spans="2:2">
      <c r="B109" s="14" t="s">
        <v>103</v>
      </c>
    </row>
    <row r="110" spans="2:2">
      <c r="B110" s="14" t="s">
        <v>104</v>
      </c>
    </row>
    <row r="111" spans="2:2">
      <c r="B111" s="14" t="s">
        <v>105</v>
      </c>
    </row>
    <row r="112" spans="2:2">
      <c r="B112" s="14" t="s">
        <v>106</v>
      </c>
    </row>
    <row r="113" spans="2:13">
      <c r="B113" s="14" t="s">
        <v>107</v>
      </c>
    </row>
    <row r="114" spans="2:13">
      <c r="B114" s="14" t="s">
        <v>108</v>
      </c>
    </row>
    <row r="115" spans="2:13">
      <c r="B115" s="4" t="s">
        <v>109</v>
      </c>
    </row>
    <row r="116" spans="2:13">
      <c r="B116" s="72" t="s">
        <v>110</v>
      </c>
      <c r="C116" s="10" t="s">
        <v>111</v>
      </c>
      <c r="D116" s="10" t="s">
        <v>112</v>
      </c>
      <c r="E116" s="63" t="s">
        <v>113</v>
      </c>
      <c r="F116" s="10" t="s">
        <v>114</v>
      </c>
    </row>
    <row r="117" spans="2:13">
      <c r="B117" s="60" t="s">
        <v>115</v>
      </c>
      <c r="C117" s="59" t="s">
        <v>116</v>
      </c>
      <c r="D117" s="59" t="s">
        <v>117</v>
      </c>
      <c r="E117" s="61">
        <v>1</v>
      </c>
      <c r="F117" s="59" t="s">
        <v>114</v>
      </c>
      <c r="G117" s="59" t="s">
        <v>118</v>
      </c>
      <c r="H117" s="59"/>
      <c r="I117" s="8" t="s">
        <v>119</v>
      </c>
    </row>
    <row r="118" spans="2:13">
      <c r="B118" s="60" t="s">
        <v>120</v>
      </c>
      <c r="C118" s="59" t="s">
        <v>121</v>
      </c>
      <c r="D118" s="59" t="s">
        <v>122</v>
      </c>
      <c r="E118" s="61">
        <v>1</v>
      </c>
      <c r="F118" s="59" t="s">
        <v>123</v>
      </c>
    </row>
    <row r="119" spans="2:13">
      <c r="B119" s="60" t="s">
        <v>124</v>
      </c>
      <c r="C119" s="59" t="s">
        <v>125</v>
      </c>
      <c r="D119" s="59" t="s">
        <v>126</v>
      </c>
      <c r="E119" s="61">
        <v>1</v>
      </c>
      <c r="F119" s="59" t="s">
        <v>123</v>
      </c>
    </row>
    <row r="120" spans="2:13">
      <c r="B120" s="110" t="s">
        <v>127</v>
      </c>
      <c r="C120" s="109" t="s">
        <v>125</v>
      </c>
      <c r="D120" s="109" t="s">
        <v>128</v>
      </c>
      <c r="E120" s="125">
        <v>1</v>
      </c>
      <c r="F120" s="109" t="s">
        <v>123</v>
      </c>
    </row>
    <row r="121" spans="2:13">
      <c r="B121" s="60" t="s">
        <v>129</v>
      </c>
      <c r="C121" s="59" t="s">
        <v>125</v>
      </c>
      <c r="D121" s="59" t="s">
        <v>130</v>
      </c>
      <c r="E121" s="7">
        <v>1</v>
      </c>
      <c r="F121" s="59" t="s">
        <v>123</v>
      </c>
    </row>
    <row r="122" spans="2:13">
      <c r="B122" s="60" t="s">
        <v>131</v>
      </c>
      <c r="C122" s="59" t="s">
        <v>125</v>
      </c>
      <c r="D122" s="59" t="s">
        <v>132</v>
      </c>
      <c r="E122" s="7">
        <v>1</v>
      </c>
      <c r="F122" s="59" t="s">
        <v>123</v>
      </c>
      <c r="G122" s="6" t="s">
        <v>133</v>
      </c>
    </row>
    <row r="123" spans="2:13">
      <c r="B123" s="60" t="s">
        <v>134</v>
      </c>
      <c r="C123" s="59" t="s">
        <v>125</v>
      </c>
      <c r="D123" s="59" t="s">
        <v>135</v>
      </c>
      <c r="E123" s="61">
        <v>1</v>
      </c>
      <c r="F123" s="59" t="s">
        <v>136</v>
      </c>
    </row>
    <row r="124" spans="2:13">
      <c r="B124" s="12" t="s">
        <v>137</v>
      </c>
      <c r="C124" s="17" t="s">
        <v>138</v>
      </c>
      <c r="D124" s="59" t="s">
        <v>139</v>
      </c>
      <c r="E124" s="61">
        <v>1</v>
      </c>
      <c r="F124" s="59" t="s">
        <v>136</v>
      </c>
      <c r="G124" s="14" t="s">
        <v>140</v>
      </c>
      <c r="H124" s="59" t="s">
        <v>141</v>
      </c>
      <c r="I124" s="64" t="s">
        <v>142</v>
      </c>
    </row>
    <row r="125" spans="2:13">
      <c r="B125" s="60" t="s">
        <v>143</v>
      </c>
      <c r="C125" s="59" t="s">
        <v>144</v>
      </c>
      <c r="D125" s="59" t="s">
        <v>145</v>
      </c>
      <c r="E125" s="61">
        <v>1</v>
      </c>
      <c r="F125" s="59" t="s">
        <v>136</v>
      </c>
      <c r="I125" s="102" t="s">
        <v>146</v>
      </c>
    </row>
    <row r="126" spans="2:13">
      <c r="B126" s="60" t="s">
        <v>147</v>
      </c>
      <c r="C126" s="59" t="s">
        <v>148</v>
      </c>
      <c r="D126" s="59" t="s">
        <v>149</v>
      </c>
      <c r="E126" s="61">
        <v>1</v>
      </c>
      <c r="F126" s="59" t="s">
        <v>136</v>
      </c>
      <c r="I126" s="102" t="s">
        <v>146</v>
      </c>
    </row>
    <row r="127" spans="2:13">
      <c r="B127" s="60" t="s">
        <v>150</v>
      </c>
      <c r="C127" s="59" t="s">
        <v>151</v>
      </c>
      <c r="D127" s="59" t="s">
        <v>152</v>
      </c>
      <c r="E127" s="61">
        <v>1</v>
      </c>
      <c r="F127" s="59" t="s">
        <v>136</v>
      </c>
      <c r="G127" s="59" t="s">
        <v>153</v>
      </c>
    </row>
    <row r="128" spans="2:13">
      <c r="B128" s="60" t="s">
        <v>154</v>
      </c>
      <c r="C128" s="59" t="s">
        <v>151</v>
      </c>
      <c r="D128" s="59" t="s">
        <v>155</v>
      </c>
      <c r="E128" s="61">
        <v>1</v>
      </c>
      <c r="F128" s="59" t="s">
        <v>136</v>
      </c>
      <c r="M128" s="123" t="s">
        <v>1</v>
      </c>
    </row>
    <row r="129" spans="2:10">
      <c r="B129" s="60" t="s">
        <v>156</v>
      </c>
      <c r="C129" s="59" t="s">
        <v>157</v>
      </c>
      <c r="D129" s="59" t="s">
        <v>158</v>
      </c>
      <c r="E129" s="61">
        <v>1</v>
      </c>
      <c r="F129" s="59" t="s">
        <v>136</v>
      </c>
    </row>
    <row r="130" spans="2:10">
      <c r="B130" s="60" t="s">
        <v>159</v>
      </c>
      <c r="C130" s="59" t="s">
        <v>160</v>
      </c>
      <c r="D130" s="59" t="s">
        <v>126</v>
      </c>
      <c r="E130" s="61">
        <v>1</v>
      </c>
      <c r="F130" s="59" t="s">
        <v>123</v>
      </c>
    </row>
    <row r="131" spans="2:10">
      <c r="B131" s="60" t="s">
        <v>161</v>
      </c>
      <c r="C131" s="59" t="s">
        <v>151</v>
      </c>
      <c r="D131" s="59" t="s">
        <v>162</v>
      </c>
      <c r="E131" s="61">
        <v>1</v>
      </c>
      <c r="F131" s="59" t="s">
        <v>123</v>
      </c>
    </row>
    <row r="132" spans="2:10">
      <c r="B132" s="60" t="s">
        <v>163</v>
      </c>
      <c r="C132" s="59" t="s">
        <v>164</v>
      </c>
      <c r="D132" s="59" t="s">
        <v>126</v>
      </c>
      <c r="E132" s="61">
        <v>1</v>
      </c>
      <c r="F132" s="59" t="s">
        <v>123</v>
      </c>
    </row>
    <row r="133" spans="2:10">
      <c r="B133" s="60" t="s">
        <v>165</v>
      </c>
      <c r="C133" s="59" t="s">
        <v>166</v>
      </c>
      <c r="D133" s="59" t="s">
        <v>167</v>
      </c>
      <c r="E133" s="61">
        <v>1</v>
      </c>
      <c r="F133" s="59" t="s">
        <v>123</v>
      </c>
    </row>
    <row r="134" spans="2:10">
      <c r="B134" s="60" t="s">
        <v>168</v>
      </c>
      <c r="C134" s="59" t="s">
        <v>169</v>
      </c>
      <c r="D134" s="59"/>
      <c r="E134" s="61">
        <v>1</v>
      </c>
      <c r="F134" s="59" t="s">
        <v>123</v>
      </c>
    </row>
    <row r="135" spans="2:10">
      <c r="B135" s="60" t="s">
        <v>170</v>
      </c>
      <c r="C135" s="59" t="s">
        <v>171</v>
      </c>
    </row>
    <row r="136" spans="2:10">
      <c r="B136" s="60" t="s">
        <v>172</v>
      </c>
      <c r="C136" s="59" t="s">
        <v>164</v>
      </c>
      <c r="D136" s="59" t="s">
        <v>123</v>
      </c>
    </row>
    <row r="137" spans="2:10">
      <c r="B137" s="156" t="s">
        <v>395</v>
      </c>
      <c r="C137" s="150" t="s">
        <v>164</v>
      </c>
      <c r="D137" s="150" t="s">
        <v>396</v>
      </c>
      <c r="E137" s="151" t="s">
        <v>397</v>
      </c>
      <c r="F137" s="150" t="s">
        <v>241</v>
      </c>
      <c r="G137" s="154" t="s">
        <v>398</v>
      </c>
      <c r="H137" s="150"/>
      <c r="I137" s="153"/>
    </row>
    <row r="138" spans="2:10">
      <c r="B138" s="146" t="s">
        <v>410</v>
      </c>
      <c r="C138" s="150" t="s">
        <v>164</v>
      </c>
      <c r="D138" s="150" t="s">
        <v>411</v>
      </c>
      <c r="E138" s="147">
        <v>1</v>
      </c>
      <c r="F138" s="150" t="s">
        <v>114</v>
      </c>
      <c r="G138" s="1"/>
      <c r="H138" s="1"/>
      <c r="I138" s="153" t="s">
        <v>399</v>
      </c>
    </row>
    <row r="139" spans="2:10">
      <c r="B139" s="157" t="s">
        <v>418</v>
      </c>
      <c r="C139" s="150" t="s">
        <v>366</v>
      </c>
      <c r="D139" s="1" t="s">
        <v>419</v>
      </c>
      <c r="E139" s="147">
        <v>1</v>
      </c>
      <c r="F139" s="1" t="s">
        <v>136</v>
      </c>
      <c r="G139" s="154"/>
      <c r="H139" s="1" t="s">
        <v>141</v>
      </c>
      <c r="I139" s="153" t="s">
        <v>399</v>
      </c>
    </row>
    <row r="140" spans="2:10">
      <c r="B140" s="162" t="s">
        <v>414</v>
      </c>
      <c r="C140" s="163" t="s">
        <v>415</v>
      </c>
      <c r="D140" s="163" t="s">
        <v>416</v>
      </c>
      <c r="E140" s="164">
        <v>1</v>
      </c>
      <c r="F140" s="163" t="s">
        <v>114</v>
      </c>
      <c r="G140" s="166"/>
      <c r="H140" s="163" t="s">
        <v>417</v>
      </c>
      <c r="I140" s="167" t="s">
        <v>399</v>
      </c>
    </row>
    <row r="141" spans="2:10">
      <c r="B141" s="156" t="s">
        <v>420</v>
      </c>
      <c r="C141" s="150" t="s">
        <v>421</v>
      </c>
      <c r="D141" s="150" t="s">
        <v>422</v>
      </c>
      <c r="E141" s="151">
        <v>1</v>
      </c>
      <c r="F141" s="150" t="s">
        <v>136</v>
      </c>
      <c r="G141" s="150"/>
      <c r="H141" s="150"/>
      <c r="I141" s="153" t="s">
        <v>399</v>
      </c>
    </row>
    <row r="142" spans="2:10">
      <c r="B142" s="156" t="s">
        <v>1435</v>
      </c>
      <c r="C142" s="150" t="s">
        <v>423</v>
      </c>
      <c r="D142" s="1" t="s">
        <v>424</v>
      </c>
      <c r="E142" s="147">
        <v>1</v>
      </c>
      <c r="F142" s="1" t="s">
        <v>136</v>
      </c>
      <c r="G142" s="1"/>
      <c r="H142" s="1"/>
      <c r="I142" s="153" t="s">
        <v>399</v>
      </c>
      <c r="J142" s="102" t="s">
        <v>1434</v>
      </c>
    </row>
    <row r="143" spans="2:10">
      <c r="B143" s="156" t="s">
        <v>425</v>
      </c>
      <c r="C143" s="150" t="s">
        <v>426</v>
      </c>
      <c r="D143" s="150" t="s">
        <v>324</v>
      </c>
      <c r="E143" s="147">
        <v>1</v>
      </c>
      <c r="F143" s="150" t="s">
        <v>136</v>
      </c>
      <c r="G143" s="1"/>
      <c r="H143" s="1"/>
      <c r="I143" s="153" t="s">
        <v>399</v>
      </c>
    </row>
    <row r="144" spans="2:10">
      <c r="B144" s="156" t="s">
        <v>427</v>
      </c>
      <c r="C144" s="150" t="s">
        <v>169</v>
      </c>
      <c r="D144" s="150" t="s">
        <v>428</v>
      </c>
      <c r="E144" s="151">
        <v>1</v>
      </c>
      <c r="F144" s="150" t="s">
        <v>136</v>
      </c>
      <c r="G144" s="150"/>
      <c r="H144" s="150"/>
      <c r="I144" s="153" t="s">
        <v>399</v>
      </c>
    </row>
    <row r="145" spans="2:9">
      <c r="B145" s="156" t="s">
        <v>429</v>
      </c>
      <c r="C145" s="150" t="s">
        <v>430</v>
      </c>
      <c r="D145" s="150" t="s">
        <v>431</v>
      </c>
      <c r="E145" s="151">
        <v>1</v>
      </c>
      <c r="F145" s="150" t="s">
        <v>136</v>
      </c>
      <c r="G145" s="150"/>
      <c r="H145" s="150"/>
      <c r="I145" s="153" t="s">
        <v>399</v>
      </c>
    </row>
    <row r="146" spans="2:9">
      <c r="B146" s="156" t="s">
        <v>432</v>
      </c>
      <c r="C146" s="150" t="s">
        <v>144</v>
      </c>
      <c r="D146" s="150" t="s">
        <v>433</v>
      </c>
      <c r="E146" s="151" t="s">
        <v>434</v>
      </c>
      <c r="F146" s="150" t="s">
        <v>136</v>
      </c>
      <c r="G146" s="154"/>
      <c r="H146" s="150"/>
      <c r="I146" s="153" t="s">
        <v>399</v>
      </c>
    </row>
    <row r="147" spans="2:9">
      <c r="B147" s="156" t="s">
        <v>435</v>
      </c>
      <c r="C147" s="150" t="s">
        <v>436</v>
      </c>
      <c r="D147" s="150" t="s">
        <v>437</v>
      </c>
      <c r="E147" s="151">
        <v>1</v>
      </c>
      <c r="F147" s="150" t="s">
        <v>136</v>
      </c>
      <c r="G147" s="150" t="s">
        <v>438</v>
      </c>
      <c r="H147" s="150"/>
      <c r="I147" s="153" t="s">
        <v>399</v>
      </c>
    </row>
    <row r="148" spans="2:9">
      <c r="B148" s="156" t="s">
        <v>439</v>
      </c>
      <c r="C148" s="169" t="s">
        <v>440</v>
      </c>
      <c r="D148" s="150" t="s">
        <v>441</v>
      </c>
      <c r="E148" s="151">
        <v>1</v>
      </c>
      <c r="F148" s="150" t="s">
        <v>136</v>
      </c>
      <c r="G148" s="150"/>
      <c r="H148" s="150"/>
      <c r="I148" s="153" t="s">
        <v>399</v>
      </c>
    </row>
    <row r="149" spans="2:9">
      <c r="B149" s="156" t="s">
        <v>442</v>
      </c>
      <c r="C149" s="150" t="s">
        <v>125</v>
      </c>
      <c r="D149" s="150" t="s">
        <v>443</v>
      </c>
      <c r="E149" s="151">
        <v>1</v>
      </c>
      <c r="F149" s="150" t="s">
        <v>136</v>
      </c>
      <c r="G149" s="150"/>
      <c r="H149" s="150"/>
      <c r="I149" s="153" t="s">
        <v>399</v>
      </c>
    </row>
    <row r="150" spans="2:9">
      <c r="B150" s="156" t="s">
        <v>444</v>
      </c>
      <c r="C150" s="150" t="s">
        <v>125</v>
      </c>
      <c r="D150" s="150" t="s">
        <v>445</v>
      </c>
      <c r="E150" s="151">
        <v>1</v>
      </c>
      <c r="F150" s="150" t="s">
        <v>136</v>
      </c>
      <c r="G150" s="150"/>
      <c r="H150" s="150"/>
      <c r="I150" s="153" t="s">
        <v>399</v>
      </c>
    </row>
    <row r="151" spans="2:9">
      <c r="B151" s="156" t="s">
        <v>446</v>
      </c>
      <c r="C151" s="150" t="s">
        <v>121</v>
      </c>
      <c r="D151" s="150" t="s">
        <v>447</v>
      </c>
      <c r="E151" s="151">
        <v>1</v>
      </c>
      <c r="F151" s="150" t="s">
        <v>136</v>
      </c>
      <c r="G151" s="150"/>
      <c r="H151" s="150"/>
      <c r="I151" s="153" t="s">
        <v>399</v>
      </c>
    </row>
    <row r="152" spans="2:9">
      <c r="B152" s="156" t="s">
        <v>448</v>
      </c>
      <c r="C152" s="150" t="s">
        <v>121</v>
      </c>
      <c r="D152" s="150" t="s">
        <v>149</v>
      </c>
      <c r="E152" s="151">
        <v>1</v>
      </c>
      <c r="F152" s="150" t="s">
        <v>136</v>
      </c>
      <c r="G152" s="150" t="s">
        <v>449</v>
      </c>
      <c r="H152" s="150"/>
      <c r="I152" s="153" t="s">
        <v>399</v>
      </c>
    </row>
    <row r="153" spans="2:9">
      <c r="B153" s="156" t="s">
        <v>450</v>
      </c>
      <c r="C153" s="150" t="s">
        <v>451</v>
      </c>
      <c r="D153" s="150" t="s">
        <v>452</v>
      </c>
      <c r="E153" s="151">
        <v>1</v>
      </c>
      <c r="F153" s="150" t="s">
        <v>136</v>
      </c>
      <c r="G153" s="150"/>
      <c r="H153" s="150"/>
      <c r="I153" s="153" t="s">
        <v>399</v>
      </c>
    </row>
    <row r="154" spans="2:9">
      <c r="B154" s="156" t="s">
        <v>453</v>
      </c>
      <c r="C154" s="150" t="s">
        <v>151</v>
      </c>
      <c r="D154" s="150" t="s">
        <v>152</v>
      </c>
      <c r="E154" s="151">
        <v>1</v>
      </c>
      <c r="F154" s="150" t="s">
        <v>136</v>
      </c>
      <c r="G154" s="150"/>
      <c r="H154" s="150"/>
      <c r="I154" s="153" t="s">
        <v>399</v>
      </c>
    </row>
    <row r="155" spans="2:9">
      <c r="B155" s="156" t="s">
        <v>456</v>
      </c>
      <c r="C155" s="150" t="s">
        <v>151</v>
      </c>
      <c r="D155" s="150" t="s">
        <v>457</v>
      </c>
      <c r="E155" s="151">
        <v>1</v>
      </c>
      <c r="F155" s="150" t="s">
        <v>136</v>
      </c>
      <c r="G155" s="150"/>
      <c r="H155" s="150"/>
      <c r="I155" s="153" t="s">
        <v>399</v>
      </c>
    </row>
    <row r="156" spans="2:9">
      <c r="B156" s="156" t="s">
        <v>460</v>
      </c>
      <c r="C156" s="150" t="s">
        <v>164</v>
      </c>
      <c r="D156" s="150" t="s">
        <v>461</v>
      </c>
      <c r="E156" s="151">
        <v>1</v>
      </c>
      <c r="F156" s="150" t="s">
        <v>123</v>
      </c>
      <c r="G156" s="150"/>
      <c r="H156" s="150"/>
      <c r="I156" s="153" t="s">
        <v>399</v>
      </c>
    </row>
    <row r="157" spans="2:9">
      <c r="B157" s="156" t="s">
        <v>462</v>
      </c>
      <c r="C157" s="150" t="s">
        <v>151</v>
      </c>
      <c r="D157" s="150" t="s">
        <v>463</v>
      </c>
      <c r="E157" s="151">
        <v>1</v>
      </c>
      <c r="F157" s="150" t="s">
        <v>123</v>
      </c>
      <c r="G157" s="150"/>
      <c r="H157" s="150"/>
      <c r="I157" s="153" t="s">
        <v>399</v>
      </c>
    </row>
    <row r="158" spans="2:9">
      <c r="B158" s="156" t="s">
        <v>464</v>
      </c>
      <c r="C158" s="150" t="s">
        <v>440</v>
      </c>
      <c r="D158" s="150"/>
      <c r="E158" s="151" t="s">
        <v>465</v>
      </c>
      <c r="F158" s="150" t="s">
        <v>123</v>
      </c>
      <c r="G158" s="150"/>
      <c r="H158" s="150"/>
      <c r="I158" s="153" t="s">
        <v>399</v>
      </c>
    </row>
    <row r="159" spans="2:9">
      <c r="B159" s="156" t="s">
        <v>466</v>
      </c>
      <c r="C159" s="150" t="s">
        <v>467</v>
      </c>
      <c r="D159" s="150" t="s">
        <v>216</v>
      </c>
      <c r="E159" s="151">
        <v>1</v>
      </c>
      <c r="F159" s="150" t="s">
        <v>123</v>
      </c>
      <c r="G159" s="150"/>
      <c r="H159" s="150"/>
      <c r="I159" s="153" t="s">
        <v>399</v>
      </c>
    </row>
    <row r="160" spans="2:9">
      <c r="B160" s="156" t="s">
        <v>468</v>
      </c>
      <c r="C160" s="150" t="s">
        <v>151</v>
      </c>
      <c r="D160" s="150" t="s">
        <v>469</v>
      </c>
      <c r="E160" s="151">
        <v>1</v>
      </c>
      <c r="F160" s="150" t="s">
        <v>123</v>
      </c>
      <c r="G160" s="150"/>
      <c r="H160" s="150"/>
      <c r="I160" s="153" t="s">
        <v>399</v>
      </c>
    </row>
    <row r="161" spans="2:9">
      <c r="B161" s="156" t="s">
        <v>470</v>
      </c>
      <c r="C161" s="150" t="s">
        <v>471</v>
      </c>
      <c r="D161" s="150" t="s">
        <v>472</v>
      </c>
      <c r="E161" s="151" t="s">
        <v>473</v>
      </c>
      <c r="F161" s="150" t="s">
        <v>123</v>
      </c>
      <c r="G161" s="150"/>
      <c r="H161" s="150"/>
      <c r="I161" s="153" t="s">
        <v>399</v>
      </c>
    </row>
    <row r="162" spans="2:9">
      <c r="B162" s="156" t="s">
        <v>474</v>
      </c>
      <c r="C162" s="150" t="s">
        <v>475</v>
      </c>
      <c r="D162" s="150" t="s">
        <v>476</v>
      </c>
      <c r="E162" s="151">
        <v>1</v>
      </c>
      <c r="F162" s="150" t="s">
        <v>123</v>
      </c>
      <c r="G162" s="150"/>
      <c r="H162" s="150"/>
      <c r="I162" s="153" t="s">
        <v>399</v>
      </c>
    </row>
    <row r="163" spans="2:9">
      <c r="B163" s="156" t="s">
        <v>477</v>
      </c>
      <c r="C163" s="150" t="s">
        <v>338</v>
      </c>
      <c r="D163" s="150" t="s">
        <v>216</v>
      </c>
      <c r="E163" s="151">
        <v>1</v>
      </c>
      <c r="F163" s="150" t="s">
        <v>123</v>
      </c>
      <c r="G163" s="150"/>
      <c r="H163" s="150"/>
      <c r="I163" s="153" t="s">
        <v>399</v>
      </c>
    </row>
    <row r="164" spans="2:9">
      <c r="B164" s="156" t="s">
        <v>478</v>
      </c>
      <c r="C164" s="150" t="s">
        <v>366</v>
      </c>
      <c r="D164" s="150" t="s">
        <v>126</v>
      </c>
      <c r="E164" s="151">
        <v>1</v>
      </c>
      <c r="F164" s="150" t="s">
        <v>123</v>
      </c>
      <c r="G164" s="150"/>
      <c r="H164" s="150"/>
      <c r="I164" s="153" t="s">
        <v>399</v>
      </c>
    </row>
    <row r="165" spans="2:9">
      <c r="B165" s="156" t="s">
        <v>479</v>
      </c>
      <c r="C165" s="150" t="s">
        <v>362</v>
      </c>
      <c r="D165" s="150"/>
      <c r="E165" s="151">
        <v>1</v>
      </c>
      <c r="F165" s="150" t="s">
        <v>123</v>
      </c>
      <c r="G165" s="150"/>
      <c r="H165" s="150"/>
      <c r="I165" s="153" t="s">
        <v>399</v>
      </c>
    </row>
    <row r="166" spans="2:9">
      <c r="B166" s="156" t="s">
        <v>480</v>
      </c>
      <c r="C166" s="150" t="s">
        <v>481</v>
      </c>
      <c r="D166" s="150"/>
      <c r="E166" s="151">
        <v>1</v>
      </c>
      <c r="F166" s="150" t="s">
        <v>123</v>
      </c>
      <c r="G166" s="150"/>
      <c r="H166" s="150"/>
      <c r="I166" s="153" t="s">
        <v>399</v>
      </c>
    </row>
    <row r="167" spans="2:9">
      <c r="B167" s="156" t="s">
        <v>482</v>
      </c>
      <c r="C167" s="150" t="s">
        <v>483</v>
      </c>
      <c r="D167" s="150"/>
      <c r="E167" s="151">
        <v>1</v>
      </c>
      <c r="F167" s="150" t="s">
        <v>123</v>
      </c>
      <c r="G167" s="150"/>
      <c r="H167" s="150"/>
      <c r="I167" s="153" t="s">
        <v>399</v>
      </c>
    </row>
    <row r="168" spans="2:9">
      <c r="B168" s="156" t="s">
        <v>484</v>
      </c>
      <c r="C168" s="150" t="s">
        <v>151</v>
      </c>
      <c r="D168" s="150"/>
      <c r="E168" s="151">
        <v>1</v>
      </c>
      <c r="F168" s="150" t="s">
        <v>123</v>
      </c>
      <c r="G168" s="150"/>
      <c r="H168" s="150"/>
      <c r="I168" s="153" t="s">
        <v>399</v>
      </c>
    </row>
    <row r="169" spans="2:9">
      <c r="B169" s="156" t="s">
        <v>485</v>
      </c>
      <c r="C169" s="150" t="s">
        <v>486</v>
      </c>
      <c r="D169" s="150" t="s">
        <v>487</v>
      </c>
      <c r="E169" s="151">
        <v>1</v>
      </c>
      <c r="F169" s="150" t="s">
        <v>123</v>
      </c>
      <c r="G169" s="150"/>
      <c r="H169" s="150"/>
      <c r="I169" s="153" t="s">
        <v>399</v>
      </c>
    </row>
    <row r="170" spans="2:9">
      <c r="B170" s="156" t="s">
        <v>488</v>
      </c>
      <c r="C170" s="150" t="s">
        <v>489</v>
      </c>
      <c r="D170" s="150"/>
      <c r="E170" s="151">
        <v>1</v>
      </c>
      <c r="F170" s="150" t="s">
        <v>123</v>
      </c>
      <c r="G170" s="150"/>
      <c r="H170" s="150"/>
      <c r="I170" s="153" t="s">
        <v>399</v>
      </c>
    </row>
    <row r="171" spans="2:9">
      <c r="B171" s="156" t="s">
        <v>490</v>
      </c>
      <c r="C171" s="150" t="s">
        <v>491</v>
      </c>
      <c r="D171" s="150"/>
      <c r="E171" s="151">
        <v>1</v>
      </c>
      <c r="F171" s="150" t="s">
        <v>123</v>
      </c>
      <c r="G171" s="150"/>
      <c r="H171" s="150"/>
      <c r="I171" s="153" t="s">
        <v>399</v>
      </c>
    </row>
    <row r="172" spans="2:9">
      <c r="B172" s="156" t="s">
        <v>492</v>
      </c>
      <c r="C172" s="150" t="s">
        <v>169</v>
      </c>
      <c r="D172" s="150" t="s">
        <v>493</v>
      </c>
      <c r="E172" s="147">
        <v>1</v>
      </c>
      <c r="F172" s="150" t="s">
        <v>123</v>
      </c>
      <c r="G172" s="1"/>
      <c r="H172" s="1"/>
      <c r="I172" s="153" t="s">
        <v>399</v>
      </c>
    </row>
    <row r="173" spans="2:9">
      <c r="B173" s="156" t="s">
        <v>494</v>
      </c>
      <c r="C173" s="150" t="s">
        <v>157</v>
      </c>
      <c r="D173" s="150" t="s">
        <v>495</v>
      </c>
      <c r="E173" s="151">
        <v>1</v>
      </c>
      <c r="F173" s="150" t="s">
        <v>123</v>
      </c>
      <c r="G173" s="150"/>
      <c r="H173" s="150"/>
      <c r="I173" s="153" t="s">
        <v>399</v>
      </c>
    </row>
    <row r="174" spans="2:9">
      <c r="B174" s="156" t="s">
        <v>496</v>
      </c>
      <c r="C174" s="150" t="s">
        <v>497</v>
      </c>
      <c r="D174" s="150"/>
      <c r="E174" s="151">
        <v>1</v>
      </c>
      <c r="F174" s="150" t="s">
        <v>123</v>
      </c>
      <c r="G174" s="150"/>
      <c r="H174" s="150"/>
      <c r="I174" s="153" t="s">
        <v>399</v>
      </c>
    </row>
    <row r="175" spans="2:9">
      <c r="B175" s="156" t="s">
        <v>498</v>
      </c>
      <c r="C175" s="150" t="s">
        <v>164</v>
      </c>
      <c r="D175" s="150"/>
      <c r="E175" s="151">
        <v>1</v>
      </c>
      <c r="F175" s="150" t="s">
        <v>123</v>
      </c>
      <c r="G175" s="150"/>
      <c r="H175" s="150"/>
      <c r="I175" s="153" t="s">
        <v>399</v>
      </c>
    </row>
    <row r="176" spans="2:9">
      <c r="B176" s="156" t="s">
        <v>499</v>
      </c>
      <c r="C176" s="150" t="s">
        <v>164</v>
      </c>
      <c r="D176" s="150"/>
      <c r="E176" s="151">
        <v>1</v>
      </c>
      <c r="F176" s="150" t="s">
        <v>123</v>
      </c>
      <c r="G176" s="150"/>
      <c r="H176" s="150"/>
      <c r="I176" s="153" t="s">
        <v>399</v>
      </c>
    </row>
    <row r="177" spans="2:9">
      <c r="B177" s="156" t="s">
        <v>500</v>
      </c>
      <c r="C177" s="150" t="s">
        <v>157</v>
      </c>
      <c r="D177" s="150" t="s">
        <v>501</v>
      </c>
      <c r="E177" s="151">
        <v>1</v>
      </c>
      <c r="F177" s="150" t="s">
        <v>123</v>
      </c>
      <c r="G177" s="150"/>
      <c r="H177" s="150"/>
      <c r="I177" s="153" t="s">
        <v>399</v>
      </c>
    </row>
    <row r="178" spans="2:9">
      <c r="B178" s="156" t="s">
        <v>502</v>
      </c>
      <c r="C178" s="150" t="s">
        <v>125</v>
      </c>
      <c r="D178" s="150"/>
      <c r="E178" s="151">
        <v>1</v>
      </c>
      <c r="F178" s="150" t="s">
        <v>123</v>
      </c>
      <c r="G178" s="150"/>
      <c r="H178" s="150"/>
      <c r="I178" s="153" t="s">
        <v>399</v>
      </c>
    </row>
    <row r="179" spans="2:9">
      <c r="B179" s="156" t="s">
        <v>503</v>
      </c>
      <c r="C179" s="150" t="s">
        <v>504</v>
      </c>
      <c r="D179" s="150"/>
      <c r="E179" s="151">
        <v>1</v>
      </c>
      <c r="F179" s="150" t="s">
        <v>123</v>
      </c>
      <c r="G179" s="150"/>
      <c r="H179" s="150"/>
      <c r="I179" s="153" t="s">
        <v>399</v>
      </c>
    </row>
    <row r="180" spans="2:9">
      <c r="B180" s="156" t="s">
        <v>505</v>
      </c>
      <c r="C180" s="150" t="s">
        <v>415</v>
      </c>
      <c r="D180" s="150"/>
      <c r="E180" s="151">
        <v>1</v>
      </c>
      <c r="F180" s="150" t="s">
        <v>123</v>
      </c>
      <c r="G180" s="150"/>
      <c r="H180" s="150"/>
      <c r="I180" s="153" t="s">
        <v>399</v>
      </c>
    </row>
    <row r="181" spans="2:9">
      <c r="B181" s="156" t="s">
        <v>506</v>
      </c>
      <c r="C181" s="150" t="s">
        <v>302</v>
      </c>
      <c r="D181" s="150" t="s">
        <v>507</v>
      </c>
      <c r="E181" s="151">
        <v>1</v>
      </c>
      <c r="F181" s="150" t="s">
        <v>123</v>
      </c>
      <c r="G181" s="150"/>
      <c r="H181" s="150"/>
      <c r="I181" s="153" t="s">
        <v>399</v>
      </c>
    </row>
    <row r="182" spans="2:9">
      <c r="B182" s="156" t="s">
        <v>509</v>
      </c>
      <c r="C182" s="150" t="s">
        <v>151</v>
      </c>
      <c r="D182" s="150" t="s">
        <v>510</v>
      </c>
      <c r="E182" s="151">
        <v>1</v>
      </c>
      <c r="F182" s="150" t="s">
        <v>123</v>
      </c>
      <c r="G182" s="150"/>
      <c r="H182" s="150"/>
      <c r="I182" s="153" t="s">
        <v>399</v>
      </c>
    </row>
  </sheetData>
  <hyperlinks>
    <hyperlink ref="A1" location="Main!A1" display="Main" xr:uid="{00000000-0004-0000-0000-000000000000}"/>
    <hyperlink ref="A2" location="Failures!A1" display="Failures" xr:uid="{00000000-0004-0000-0000-000001000000}"/>
    <hyperlink ref="C124" r:id="rId1" xr:uid="{00000000-0004-0000-0000-000002000000}"/>
    <hyperlink ref="B124" location="PF868554!A1" display="PF-868554" xr:uid="{00000000-0004-0000-0000-000003000000}"/>
    <hyperlink ref="B138" location="tanezumab!A1" display="tanezumab" xr:uid="{00000000-0004-0000-0300-000012000000}"/>
    <hyperlink ref="M128" location="Failures!A1" display="Failures" xr:uid="{00000000-0004-0000-0300-000011000000}"/>
  </hyperlinks>
  <pageMargins left="0.7" right="0.7" top="0.75" bottom="0.75" header="0.3" footer="0.3"/>
  <pageSetup orientation="portrait" horizontalDpi="0"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09122-C4D4-427B-A1F9-33C8068D5F38}">
  <dimension ref="A1:C14"/>
  <sheetViews>
    <sheetView zoomScale="145" zoomScaleNormal="145" workbookViewId="0"/>
  </sheetViews>
  <sheetFormatPr baseColWidth="10" defaultColWidth="8.83203125" defaultRowHeight="13"/>
  <cols>
    <col min="1" max="1" width="5" bestFit="1" customWidth="1"/>
    <col min="2" max="2" width="12" bestFit="1" customWidth="1"/>
  </cols>
  <sheetData>
    <row r="1" spans="1:3">
      <c r="A1" s="16" t="s">
        <v>0</v>
      </c>
    </row>
    <row r="2" spans="1:3">
      <c r="B2" s="102" t="s">
        <v>1398</v>
      </c>
    </row>
    <row r="3" spans="1:3">
      <c r="B3" s="102" t="s">
        <v>1399</v>
      </c>
      <c r="C3" s="102" t="s">
        <v>1416</v>
      </c>
    </row>
    <row r="4" spans="1:3">
      <c r="B4" s="102" t="s">
        <v>885</v>
      </c>
      <c r="C4" s="102" t="s">
        <v>1485</v>
      </c>
    </row>
    <row r="5" spans="1:3">
      <c r="B5" s="102" t="s">
        <v>1400</v>
      </c>
      <c r="C5" s="102" t="s">
        <v>1428</v>
      </c>
    </row>
    <row r="6" spans="1:3">
      <c r="B6" s="102" t="s">
        <v>1462</v>
      </c>
      <c r="C6" s="102" t="s">
        <v>144</v>
      </c>
    </row>
    <row r="7" spans="1:3">
      <c r="B7" s="102" t="s">
        <v>1438</v>
      </c>
      <c r="C7" s="102" t="s">
        <v>1492</v>
      </c>
    </row>
    <row r="8" spans="1:3">
      <c r="B8" s="102" t="s">
        <v>933</v>
      </c>
    </row>
    <row r="9" spans="1:3">
      <c r="C9" s="38" t="s">
        <v>1490</v>
      </c>
    </row>
    <row r="10" spans="1:3">
      <c r="C10" s="102" t="s">
        <v>1491</v>
      </c>
    </row>
    <row r="12" spans="1:3">
      <c r="C12" s="38" t="s">
        <v>1487</v>
      </c>
    </row>
    <row r="13" spans="1:3">
      <c r="C13" s="102" t="s">
        <v>1488</v>
      </c>
    </row>
    <row r="14" spans="1:3">
      <c r="C14" s="102" t="s">
        <v>1489</v>
      </c>
    </row>
  </sheetData>
  <hyperlinks>
    <hyperlink ref="A1" location="Main!A1" display="Main" xr:uid="{D9E5519E-0220-468E-9E7E-A058C358933F}"/>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64D3-9ED8-47FC-9ECD-D7B754F8B6E9}">
  <sheetPr codeName="Sheet12"/>
  <dimension ref="A1:C8"/>
  <sheetViews>
    <sheetView workbookViewId="0"/>
  </sheetViews>
  <sheetFormatPr baseColWidth="10" defaultColWidth="8.83203125" defaultRowHeight="13"/>
  <cols>
    <col min="1" max="1" width="5" bestFit="1" customWidth="1"/>
    <col min="2" max="2" width="12" bestFit="1" customWidth="1"/>
  </cols>
  <sheetData>
    <row r="1" spans="1:3">
      <c r="A1" s="16" t="s">
        <v>0</v>
      </c>
    </row>
    <row r="2" spans="1:3">
      <c r="B2" t="s">
        <v>1398</v>
      </c>
      <c r="C2" t="s">
        <v>1480</v>
      </c>
    </row>
    <row r="3" spans="1:3">
      <c r="B3" t="s">
        <v>1399</v>
      </c>
      <c r="C3" t="s">
        <v>1471</v>
      </c>
    </row>
    <row r="4" spans="1:3">
      <c r="B4" t="s">
        <v>5</v>
      </c>
      <c r="C4" t="s">
        <v>1472</v>
      </c>
    </row>
    <row r="5" spans="1:3">
      <c r="B5" t="s">
        <v>1400</v>
      </c>
      <c r="C5" t="s">
        <v>1481</v>
      </c>
    </row>
    <row r="6" spans="1:3">
      <c r="B6" t="s">
        <v>933</v>
      </c>
    </row>
    <row r="7" spans="1:3">
      <c r="C7" s="38" t="s">
        <v>1482</v>
      </c>
    </row>
    <row r="8" spans="1:3">
      <c r="C8" s="102" t="s">
        <v>1483</v>
      </c>
    </row>
  </sheetData>
  <hyperlinks>
    <hyperlink ref="A1" location="Main!A1" display="Main" xr:uid="{F4D07347-1DE0-4850-8A8D-9C973CC26B2B}"/>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A57F-546A-40AC-8FCF-1A032F7D3D5F}">
  <dimension ref="A1:C9"/>
  <sheetViews>
    <sheetView workbookViewId="0"/>
  </sheetViews>
  <sheetFormatPr baseColWidth="10" defaultColWidth="8.83203125" defaultRowHeight="13"/>
  <cols>
    <col min="1" max="1" width="5" bestFit="1" customWidth="1"/>
    <col min="2" max="2" width="12" bestFit="1" customWidth="1"/>
  </cols>
  <sheetData>
    <row r="1" spans="1:3">
      <c r="A1" s="16" t="s">
        <v>0</v>
      </c>
    </row>
    <row r="2" spans="1:3">
      <c r="B2" s="102" t="s">
        <v>1398</v>
      </c>
    </row>
    <row r="3" spans="1:3">
      <c r="B3" s="102" t="s">
        <v>1399</v>
      </c>
      <c r="C3" s="102" t="s">
        <v>1557</v>
      </c>
    </row>
    <row r="4" spans="1:3">
      <c r="B4" s="102" t="s">
        <v>5</v>
      </c>
      <c r="C4" s="102" t="s">
        <v>1555</v>
      </c>
    </row>
    <row r="5" spans="1:3">
      <c r="B5" s="102" t="s">
        <v>885</v>
      </c>
      <c r="C5" s="102" t="s">
        <v>1556</v>
      </c>
    </row>
    <row r="6" spans="1:3">
      <c r="B6" s="102" t="s">
        <v>933</v>
      </c>
    </row>
    <row r="7" spans="1:3">
      <c r="C7" s="38" t="s">
        <v>1558</v>
      </c>
    </row>
    <row r="8" spans="1:3">
      <c r="C8" s="102" t="s">
        <v>1559</v>
      </c>
    </row>
    <row r="9" spans="1:3">
      <c r="C9" s="102" t="s">
        <v>1560</v>
      </c>
    </row>
  </sheetData>
  <hyperlinks>
    <hyperlink ref="A1" location="Main!A1" display="Main" xr:uid="{0A954308-070B-49EB-B450-298F7580D2E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2867-A2F1-46BA-9623-84D2B00573D3}">
  <dimension ref="A1:C6"/>
  <sheetViews>
    <sheetView zoomScale="190" zoomScaleNormal="190" workbookViewId="0"/>
  </sheetViews>
  <sheetFormatPr baseColWidth="10" defaultColWidth="8.83203125" defaultRowHeight="13"/>
  <cols>
    <col min="1" max="1" width="5" bestFit="1" customWidth="1"/>
    <col min="2" max="2" width="12" bestFit="1" customWidth="1"/>
    <col min="3" max="3" width="13.83203125" customWidth="1"/>
  </cols>
  <sheetData>
    <row r="1" spans="1:3">
      <c r="A1" s="16" t="s">
        <v>0</v>
      </c>
    </row>
    <row r="2" spans="1:3">
      <c r="B2" s="102" t="s">
        <v>1398</v>
      </c>
      <c r="C2" s="102" t="s">
        <v>480</v>
      </c>
    </row>
    <row r="3" spans="1:3">
      <c r="B3" s="102" t="s">
        <v>1399</v>
      </c>
    </row>
    <row r="4" spans="1:3">
      <c r="B4" s="102" t="s">
        <v>933</v>
      </c>
    </row>
    <row r="5" spans="1:3">
      <c r="C5" s="38" t="s">
        <v>1561</v>
      </c>
    </row>
    <row r="6" spans="1:3">
      <c r="C6" s="102" t="s">
        <v>1562</v>
      </c>
    </row>
  </sheetData>
  <hyperlinks>
    <hyperlink ref="A1" location="Main!A1" display="Main" xr:uid="{0E07C0BB-E927-4327-9F82-07ADE9111A4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921A-429E-477E-A4B9-201DB608275E}">
  <dimension ref="A1:C8"/>
  <sheetViews>
    <sheetView zoomScale="160" zoomScaleNormal="160" workbookViewId="0"/>
  </sheetViews>
  <sheetFormatPr baseColWidth="10" defaultColWidth="8.83203125" defaultRowHeight="13"/>
  <cols>
    <col min="1" max="1" width="5" bestFit="1" customWidth="1"/>
    <col min="2" max="2" width="12" bestFit="1" customWidth="1"/>
  </cols>
  <sheetData>
    <row r="1" spans="1:3">
      <c r="A1" s="16" t="s">
        <v>0</v>
      </c>
    </row>
    <row r="2" spans="1:3">
      <c r="B2" s="102" t="s">
        <v>1398</v>
      </c>
      <c r="C2" s="102" t="s">
        <v>1504</v>
      </c>
    </row>
    <row r="3" spans="1:3">
      <c r="B3" s="102" t="s">
        <v>5</v>
      </c>
      <c r="C3" s="102" t="s">
        <v>1563</v>
      </c>
    </row>
    <row r="4" spans="1:3">
      <c r="B4" s="102" t="s">
        <v>885</v>
      </c>
      <c r="C4" s="102" t="s">
        <v>1564</v>
      </c>
    </row>
    <row r="5" spans="1:3">
      <c r="B5" s="102" t="s">
        <v>933</v>
      </c>
    </row>
    <row r="6" spans="1:3">
      <c r="C6" s="38" t="s">
        <v>1565</v>
      </c>
    </row>
    <row r="8" spans="1:3">
      <c r="C8" s="38" t="s">
        <v>1566</v>
      </c>
    </row>
  </sheetData>
  <hyperlinks>
    <hyperlink ref="A1" location="Main!A1" display="Main" xr:uid="{3396EA0A-2299-4DDF-B50C-A89F99CEE50A}"/>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C142"/>
  <sheetViews>
    <sheetView zoomScale="130" zoomScaleNormal="130" workbookViewId="0"/>
  </sheetViews>
  <sheetFormatPr baseColWidth="10" defaultColWidth="9.1640625" defaultRowHeight="13"/>
  <cols>
    <col min="1" max="1" width="5" style="4" bestFit="1" customWidth="1"/>
    <col min="2" max="2" width="15.1640625" style="4" customWidth="1"/>
    <col min="3" max="16384" width="9.1640625" style="4"/>
  </cols>
  <sheetData>
    <row r="1" spans="1:3">
      <c r="A1" s="13" t="s">
        <v>0</v>
      </c>
    </row>
    <row r="2" spans="1:3">
      <c r="B2" s="4" t="s">
        <v>2</v>
      </c>
      <c r="C2" s="14" t="s">
        <v>384</v>
      </c>
    </row>
    <row r="3" spans="1:3">
      <c r="B3" s="4" t="s">
        <v>3</v>
      </c>
      <c r="C3" s="14" t="s">
        <v>1019</v>
      </c>
    </row>
    <row r="4" spans="1:3">
      <c r="B4" s="4" t="s">
        <v>6</v>
      </c>
      <c r="C4" s="132" t="s">
        <v>1020</v>
      </c>
    </row>
    <row r="5" spans="1:3">
      <c r="B5" s="4" t="s">
        <v>888</v>
      </c>
      <c r="C5" s="14" t="s">
        <v>141</v>
      </c>
    </row>
    <row r="6" spans="1:3">
      <c r="B6" s="4" t="s">
        <v>1021</v>
      </c>
      <c r="C6" s="14" t="s">
        <v>1022</v>
      </c>
    </row>
    <row r="7" spans="1:3">
      <c r="B7" s="4" t="s">
        <v>1023</v>
      </c>
      <c r="C7" s="14"/>
    </row>
    <row r="8" spans="1:3">
      <c r="C8" s="22" t="s">
        <v>1024</v>
      </c>
    </row>
    <row r="9" spans="1:3">
      <c r="C9" s="14" t="s">
        <v>1025</v>
      </c>
    </row>
    <row r="10" spans="1:3">
      <c r="C10" s="14"/>
    </row>
    <row r="11" spans="1:3">
      <c r="C11" s="22" t="s">
        <v>1026</v>
      </c>
    </row>
    <row r="12" spans="1:3">
      <c r="C12" s="14" t="s">
        <v>1027</v>
      </c>
    </row>
    <row r="13" spans="1:3">
      <c r="C13" s="14"/>
    </row>
    <row r="14" spans="1:3">
      <c r="C14" s="22" t="s">
        <v>1028</v>
      </c>
    </row>
    <row r="15" spans="1:3">
      <c r="C15" s="14" t="s">
        <v>1029</v>
      </c>
    </row>
    <row r="16" spans="1:3">
      <c r="C16" s="14" t="s">
        <v>1030</v>
      </c>
    </row>
    <row r="17" spans="2:3">
      <c r="C17" s="14" t="s">
        <v>1031</v>
      </c>
    </row>
    <row r="18" spans="2:3">
      <c r="C18" s="14"/>
    </row>
    <row r="19" spans="2:3">
      <c r="B19" s="14" t="s">
        <v>1032</v>
      </c>
    </row>
    <row r="20" spans="2:3">
      <c r="B20" s="4" t="s">
        <v>1033</v>
      </c>
    </row>
    <row r="21" spans="2:3">
      <c r="B21" s="4" t="s">
        <v>1034</v>
      </c>
    </row>
    <row r="23" spans="2:3">
      <c r="B23" s="15" t="s">
        <v>1035</v>
      </c>
    </row>
    <row r="24" spans="2:3">
      <c r="B24" s="14" t="s">
        <v>1036</v>
      </c>
    </row>
    <row r="25" spans="2:3">
      <c r="B25" s="4" t="s">
        <v>1037</v>
      </c>
    </row>
    <row r="26" spans="2:3">
      <c r="B26" s="4" t="s">
        <v>1038</v>
      </c>
    </row>
    <row r="27" spans="2:3">
      <c r="B27" s="5" t="s">
        <v>1039</v>
      </c>
    </row>
    <row r="28" spans="2:3">
      <c r="B28" s="5"/>
    </row>
    <row r="29" spans="2:3">
      <c r="B29" s="4" t="s">
        <v>1040</v>
      </c>
    </row>
    <row r="30" spans="2:3">
      <c r="B30" s="4" t="s">
        <v>1041</v>
      </c>
    </row>
    <row r="31" spans="2:3">
      <c r="B31" s="4" t="s">
        <v>1042</v>
      </c>
    </row>
    <row r="32" spans="2:3">
      <c r="B32" s="4" t="s">
        <v>1043</v>
      </c>
    </row>
    <row r="34" spans="2:2">
      <c r="B34" s="15" t="s">
        <v>1044</v>
      </c>
    </row>
    <row r="35" spans="2:2">
      <c r="B35" s="4" t="s">
        <v>1045</v>
      </c>
    </row>
    <row r="36" spans="2:2">
      <c r="B36" s="4" t="s">
        <v>1046</v>
      </c>
    </row>
    <row r="37" spans="2:2">
      <c r="B37" s="4" t="s">
        <v>1047</v>
      </c>
    </row>
    <row r="39" spans="2:2">
      <c r="B39" s="4" t="s">
        <v>1048</v>
      </c>
    </row>
    <row r="40" spans="2:2">
      <c r="B40" s="4" t="s">
        <v>1049</v>
      </c>
    </row>
    <row r="41" spans="2:2">
      <c r="B41" s="4" t="s">
        <v>1050</v>
      </c>
    </row>
    <row r="42" spans="2:2">
      <c r="B42" s="4" t="s">
        <v>1051</v>
      </c>
    </row>
    <row r="45" spans="2:2">
      <c r="B45" s="4" t="s">
        <v>1052</v>
      </c>
    </row>
    <row r="47" spans="2:2" s="31" customFormat="1">
      <c r="B47" s="34" t="s">
        <v>1053</v>
      </c>
    </row>
    <row r="48" spans="2:2">
      <c r="B48" s="4" t="s">
        <v>1054</v>
      </c>
    </row>
    <row r="50" spans="2:2" s="31" customFormat="1">
      <c r="B50" s="34" t="s">
        <v>1055</v>
      </c>
    </row>
    <row r="52" spans="2:2" s="31" customFormat="1">
      <c r="B52" s="34" t="s">
        <v>1056</v>
      </c>
    </row>
    <row r="54" spans="2:2">
      <c r="B54" s="22" t="s">
        <v>1057</v>
      </c>
    </row>
    <row r="56" spans="2:2" s="31" customFormat="1">
      <c r="B56" s="34" t="s">
        <v>1058</v>
      </c>
    </row>
    <row r="57" spans="2:2" s="31" customFormat="1">
      <c r="B57" s="34"/>
    </row>
    <row r="58" spans="2:2" s="31" customFormat="1">
      <c r="B58" s="34" t="s">
        <v>1059</v>
      </c>
    </row>
    <row r="61" spans="2:2" s="31" customFormat="1">
      <c r="B61" s="34" t="s">
        <v>1060</v>
      </c>
    </row>
    <row r="63" spans="2:2" s="31" customFormat="1">
      <c r="B63" s="34" t="s">
        <v>1061</v>
      </c>
    </row>
    <row r="65" spans="2:2" s="31" customFormat="1">
      <c r="B65" s="34" t="s">
        <v>1062</v>
      </c>
    </row>
    <row r="67" spans="2:2">
      <c r="B67" s="4" t="s">
        <v>1063</v>
      </c>
    </row>
    <row r="68" spans="2:2" s="31" customFormat="1">
      <c r="B68" s="31" t="s">
        <v>1064</v>
      </c>
    </row>
    <row r="69" spans="2:2">
      <c r="B69" s="4" t="s">
        <v>1065</v>
      </c>
    </row>
    <row r="70" spans="2:2">
      <c r="B70" s="4" t="s">
        <v>1066</v>
      </c>
    </row>
    <row r="71" spans="2:2">
      <c r="B71" s="4" t="s">
        <v>1067</v>
      </c>
    </row>
    <row r="72" spans="2:2">
      <c r="B72" s="4" t="s">
        <v>1068</v>
      </c>
    </row>
    <row r="73" spans="2:2">
      <c r="B73" s="4" t="s">
        <v>1069</v>
      </c>
    </row>
    <row r="74" spans="2:2">
      <c r="B74" s="4" t="s">
        <v>1070</v>
      </c>
    </row>
    <row r="75" spans="2:2">
      <c r="B75" s="4" t="s">
        <v>1071</v>
      </c>
    </row>
    <row r="76" spans="2:2" ht="13.5" customHeight="1">
      <c r="B76" s="4" t="s">
        <v>1072</v>
      </c>
    </row>
    <row r="77" spans="2:2">
      <c r="B77" s="4" t="s">
        <v>1073</v>
      </c>
    </row>
    <row r="78" spans="2:2">
      <c r="B78" s="4" t="s">
        <v>1074</v>
      </c>
    </row>
    <row r="79" spans="2:2">
      <c r="B79" s="4" t="s">
        <v>1075</v>
      </c>
    </row>
    <row r="80" spans="2:2">
      <c r="B80" s="4" t="s">
        <v>1076</v>
      </c>
    </row>
    <row r="81" spans="2:2" ht="12" customHeight="1">
      <c r="B81" s="4" t="s">
        <v>1077</v>
      </c>
    </row>
    <row r="82" spans="2:2">
      <c r="B82" s="4" t="s">
        <v>1078</v>
      </c>
    </row>
    <row r="83" spans="2:2">
      <c r="B83" s="4" t="s">
        <v>1079</v>
      </c>
    </row>
    <row r="84" spans="2:2">
      <c r="B84" s="4" t="s">
        <v>1080</v>
      </c>
    </row>
    <row r="85" spans="2:2">
      <c r="B85" s="4" t="s">
        <v>1081</v>
      </c>
    </row>
    <row r="86" spans="2:2">
      <c r="B86" s="4" t="s">
        <v>1082</v>
      </c>
    </row>
    <row r="87" spans="2:2">
      <c r="B87" s="4" t="s">
        <v>1083</v>
      </c>
    </row>
    <row r="88" spans="2:2">
      <c r="B88" s="4" t="s">
        <v>1084</v>
      </c>
    </row>
    <row r="89" spans="2:2">
      <c r="B89" s="4" t="s">
        <v>1085</v>
      </c>
    </row>
    <row r="90" spans="2:2">
      <c r="B90" s="4" t="s">
        <v>1086</v>
      </c>
    </row>
    <row r="91" spans="2:2">
      <c r="B91" s="4" t="s">
        <v>1087</v>
      </c>
    </row>
    <row r="92" spans="2:2">
      <c r="B92" s="4" t="s">
        <v>1088</v>
      </c>
    </row>
    <row r="93" spans="2:2">
      <c r="B93" s="4" t="s">
        <v>1089</v>
      </c>
    </row>
    <row r="94" spans="2:2">
      <c r="B94" s="4" t="s">
        <v>1090</v>
      </c>
    </row>
    <row r="95" spans="2:2">
      <c r="B95" s="4" t="s">
        <v>1091</v>
      </c>
    </row>
    <row r="96" spans="2:2">
      <c r="B96" s="4" t="s">
        <v>1092</v>
      </c>
    </row>
    <row r="97" spans="2:2">
      <c r="B97" s="4" t="s">
        <v>1093</v>
      </c>
    </row>
    <row r="98" spans="2:2">
      <c r="B98" s="4" t="s">
        <v>1094</v>
      </c>
    </row>
    <row r="99" spans="2:2">
      <c r="B99" s="4" t="s">
        <v>1095</v>
      </c>
    </row>
    <row r="100" spans="2:2">
      <c r="B100" s="4" t="s">
        <v>1096</v>
      </c>
    </row>
    <row r="101" spans="2:2">
      <c r="B101" s="4" t="s">
        <v>1097</v>
      </c>
    </row>
    <row r="102" spans="2:2">
      <c r="B102" s="4" t="s">
        <v>1098</v>
      </c>
    </row>
    <row r="103" spans="2:2">
      <c r="B103" s="4" t="s">
        <v>1099</v>
      </c>
    </row>
    <row r="104" spans="2:2">
      <c r="B104" s="4" t="s">
        <v>1100</v>
      </c>
    </row>
    <row r="105" spans="2:2">
      <c r="B105" s="4" t="s">
        <v>1101</v>
      </c>
    </row>
    <row r="106" spans="2:2">
      <c r="B106" s="4" t="s">
        <v>1102</v>
      </c>
    </row>
    <row r="107" spans="2:2">
      <c r="B107" s="4" t="s">
        <v>1103</v>
      </c>
    </row>
    <row r="108" spans="2:2">
      <c r="B108" s="4" t="s">
        <v>1104</v>
      </c>
    </row>
    <row r="109" spans="2:2">
      <c r="B109" s="4" t="s">
        <v>1105</v>
      </c>
    </row>
    <row r="110" spans="2:2">
      <c r="B110" s="4" t="s">
        <v>1106</v>
      </c>
    </row>
    <row r="111" spans="2:2">
      <c r="B111" s="4" t="s">
        <v>1107</v>
      </c>
    </row>
    <row r="112" spans="2:2">
      <c r="B112" s="4" t="s">
        <v>1108</v>
      </c>
    </row>
    <row r="113" spans="2:2">
      <c r="B113" s="4" t="s">
        <v>1109</v>
      </c>
    </row>
    <row r="114" spans="2:2">
      <c r="B114" s="4" t="s">
        <v>1110</v>
      </c>
    </row>
    <row r="115" spans="2:2">
      <c r="B115" s="4" t="s">
        <v>1111</v>
      </c>
    </row>
    <row r="116" spans="2:2">
      <c r="B116" s="4" t="s">
        <v>1112</v>
      </c>
    </row>
    <row r="117" spans="2:2">
      <c r="B117" s="4" t="s">
        <v>1113</v>
      </c>
    </row>
    <row r="118" spans="2:2">
      <c r="B118" s="4" t="s">
        <v>1114</v>
      </c>
    </row>
    <row r="119" spans="2:2">
      <c r="B119" s="4" t="s">
        <v>1115</v>
      </c>
    </row>
    <row r="120" spans="2:2">
      <c r="B120" s="4" t="s">
        <v>1116</v>
      </c>
    </row>
    <row r="121" spans="2:2">
      <c r="B121" s="4" t="s">
        <v>1117</v>
      </c>
    </row>
    <row r="122" spans="2:2">
      <c r="B122" s="4" t="s">
        <v>1118</v>
      </c>
    </row>
    <row r="123" spans="2:2">
      <c r="B123" s="4" t="s">
        <v>1119</v>
      </c>
    </row>
    <row r="124" spans="2:2">
      <c r="B124" s="4" t="s">
        <v>1120</v>
      </c>
    </row>
    <row r="125" spans="2:2">
      <c r="B125" s="4" t="s">
        <v>1121</v>
      </c>
    </row>
    <row r="126" spans="2:2">
      <c r="B126" s="4" t="s">
        <v>1122</v>
      </c>
    </row>
    <row r="127" spans="2:2">
      <c r="B127" s="4" t="s">
        <v>1123</v>
      </c>
    </row>
    <row r="128" spans="2:2">
      <c r="B128" s="4" t="s">
        <v>1124</v>
      </c>
    </row>
    <row r="132" spans="2:3" s="14" customFormat="1">
      <c r="B132" s="14" t="s">
        <v>1125</v>
      </c>
    </row>
    <row r="133" spans="2:3">
      <c r="B133" s="4" t="s">
        <v>1126</v>
      </c>
    </row>
    <row r="134" spans="2:3">
      <c r="B134" s="4" t="s">
        <v>1127</v>
      </c>
    </row>
    <row r="138" spans="2:3">
      <c r="B138" s="4" t="s">
        <v>1128</v>
      </c>
    </row>
    <row r="139" spans="2:3">
      <c r="B139" s="4" t="s">
        <v>1129</v>
      </c>
    </row>
    <row r="141" spans="2:3">
      <c r="C141" s="22" t="s">
        <v>1130</v>
      </c>
    </row>
    <row r="142" spans="2:3">
      <c r="C142" s="14" t="s">
        <v>1131</v>
      </c>
    </row>
  </sheetData>
  <phoneticPr fontId="3" type="noConversion"/>
  <hyperlinks>
    <hyperlink ref="A1" location="Main!A1" display="Main" xr:uid="{00000000-0004-0000-1100-000000000000}"/>
  </hyperlinks>
  <pageMargins left="0.75" right="0.75" top="1" bottom="1" header="0.5" footer="0.5"/>
  <pageSetup orientation="portrait" verticalDpi="2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dimension ref="A1:BD5"/>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8.83203125" defaultRowHeight="13"/>
  <cols>
    <col min="1" max="1" width="5" bestFit="1" customWidth="1"/>
    <col min="2" max="2" width="6.5" bestFit="1" customWidth="1"/>
    <col min="3" max="10" width="5" bestFit="1" customWidth="1"/>
    <col min="11" max="12" width="5.5" bestFit="1" customWidth="1"/>
    <col min="13" max="14" width="5" bestFit="1" customWidth="1"/>
    <col min="15" max="15" width="6.33203125" bestFit="1" customWidth="1"/>
    <col min="16" max="27" width="5" bestFit="1" customWidth="1"/>
    <col min="28" max="28" width="5.83203125" bestFit="1" customWidth="1"/>
    <col min="29" max="56" width="5.5" bestFit="1" customWidth="1"/>
  </cols>
  <sheetData>
    <row r="1" spans="1:56">
      <c r="A1" s="16" t="s">
        <v>0</v>
      </c>
    </row>
    <row r="2" spans="1:56">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C2" s="1" t="s">
        <v>545</v>
      </c>
      <c r="AD2" s="1" t="s">
        <v>546</v>
      </c>
      <c r="AE2" s="1" t="s">
        <v>547</v>
      </c>
      <c r="AF2" s="1" t="s">
        <v>548</v>
      </c>
      <c r="AG2" s="1" t="s">
        <v>549</v>
      </c>
      <c r="AH2" s="1" t="s">
        <v>550</v>
      </c>
      <c r="AI2" s="1" t="s">
        <v>551</v>
      </c>
      <c r="AJ2" s="1" t="s">
        <v>552</v>
      </c>
      <c r="AK2" s="1" t="s">
        <v>553</v>
      </c>
      <c r="AL2" s="1" t="s">
        <v>554</v>
      </c>
      <c r="AM2" s="1" t="s">
        <v>555</v>
      </c>
      <c r="AN2" s="1" t="s">
        <v>556</v>
      </c>
      <c r="AO2" s="1" t="s">
        <v>557</v>
      </c>
      <c r="AP2" s="1" t="s">
        <v>558</v>
      </c>
      <c r="AQ2" s="1" t="s">
        <v>559</v>
      </c>
      <c r="AR2" s="1" t="s">
        <v>560</v>
      </c>
      <c r="AS2" s="1" t="s">
        <v>561</v>
      </c>
      <c r="AT2" s="1" t="s">
        <v>562</v>
      </c>
      <c r="AU2" s="1" t="s">
        <v>563</v>
      </c>
      <c r="AV2" s="1" t="s">
        <v>564</v>
      </c>
      <c r="AW2" s="1" t="s">
        <v>565</v>
      </c>
      <c r="AX2" s="1" t="s">
        <v>566</v>
      </c>
      <c r="AY2" s="1" t="s">
        <v>567</v>
      </c>
      <c r="AZ2" s="1" t="s">
        <v>568</v>
      </c>
      <c r="BA2" s="1" t="s">
        <v>561</v>
      </c>
      <c r="BB2" s="1" t="s">
        <v>562</v>
      </c>
      <c r="BC2" s="1" t="s">
        <v>563</v>
      </c>
      <c r="BD2" s="1" t="s">
        <v>564</v>
      </c>
    </row>
    <row r="3" spans="1:56">
      <c r="B3" t="s">
        <v>1016</v>
      </c>
      <c r="C3" s="1"/>
      <c r="D3" s="1"/>
      <c r="E3" s="1"/>
      <c r="F3" s="1"/>
      <c r="G3" s="1"/>
      <c r="H3" s="1"/>
      <c r="I3" s="1"/>
      <c r="J3" s="1"/>
      <c r="K3" s="3">
        <f>K4+K5</f>
        <v>1112</v>
      </c>
      <c r="L3" s="3">
        <f>L4+L5</f>
        <v>1175</v>
      </c>
      <c r="M3" s="3">
        <f>M4+M5</f>
        <v>945</v>
      </c>
      <c r="N3" s="3">
        <f>N4+N5</f>
        <v>546</v>
      </c>
      <c r="O3" s="1"/>
      <c r="P3" s="1"/>
      <c r="Q3" s="1"/>
      <c r="R3" s="2"/>
      <c r="S3" s="2"/>
      <c r="T3" s="2"/>
      <c r="U3" s="2"/>
      <c r="V3" s="2"/>
      <c r="W3" s="2"/>
      <c r="X3" s="2"/>
      <c r="Y3" s="2"/>
      <c r="Z3" s="2"/>
      <c r="AA3" s="2"/>
      <c r="AC3" s="1"/>
      <c r="AD3" s="1"/>
      <c r="AE3" s="1"/>
      <c r="AF3" s="1"/>
      <c r="AG3" s="3">
        <v>268</v>
      </c>
      <c r="AH3" s="3">
        <v>245</v>
      </c>
      <c r="AI3" s="3">
        <v>281</v>
      </c>
      <c r="AJ3" s="3">
        <v>318</v>
      </c>
      <c r="AK3" s="3">
        <v>285</v>
      </c>
      <c r="AL3" s="3">
        <v>262</v>
      </c>
      <c r="AM3" s="3">
        <v>309</v>
      </c>
      <c r="AN3" s="3">
        <v>319</v>
      </c>
      <c r="AO3" s="3">
        <v>304</v>
      </c>
      <c r="AP3" s="3">
        <v>285</v>
      </c>
      <c r="AQ3" s="3">
        <v>217</v>
      </c>
      <c r="AR3" s="3">
        <v>139</v>
      </c>
      <c r="AS3" s="3">
        <v>138</v>
      </c>
      <c r="AT3" s="3">
        <v>129</v>
      </c>
      <c r="AU3" s="1"/>
      <c r="AV3" s="1"/>
      <c r="AW3" s="1"/>
      <c r="AX3" s="1"/>
      <c r="AY3" s="1"/>
      <c r="AZ3" s="1"/>
      <c r="BA3" s="1"/>
      <c r="BB3" s="1"/>
      <c r="BC3" s="1"/>
      <c r="BD3" s="1"/>
    </row>
    <row r="4" spans="1:56">
      <c r="B4" t="s">
        <v>1144</v>
      </c>
      <c r="K4" s="3">
        <v>610</v>
      </c>
      <c r="L4" s="3">
        <v>662</v>
      </c>
      <c r="M4" s="3">
        <v>416</v>
      </c>
      <c r="N4" s="3">
        <v>21</v>
      </c>
      <c r="AG4" s="3">
        <v>154</v>
      </c>
      <c r="AH4" s="3">
        <v>124</v>
      </c>
      <c r="AI4" s="3">
        <v>149</v>
      </c>
      <c r="AJ4" s="3">
        <v>183</v>
      </c>
      <c r="AK4" s="3">
        <v>163</v>
      </c>
      <c r="AL4" s="3">
        <v>135</v>
      </c>
      <c r="AM4" s="3">
        <v>176</v>
      </c>
      <c r="AN4" s="3">
        <v>188</v>
      </c>
      <c r="AO4" s="3">
        <v>176</v>
      </c>
      <c r="AP4" s="3">
        <v>152</v>
      </c>
      <c r="AQ4" s="3">
        <v>87</v>
      </c>
      <c r="AR4" s="3">
        <v>1</v>
      </c>
      <c r="AS4" s="3">
        <v>6</v>
      </c>
      <c r="AT4" s="3">
        <v>-2</v>
      </c>
    </row>
    <row r="5" spans="1:56">
      <c r="B5" t="s">
        <v>1145</v>
      </c>
      <c r="K5" s="3">
        <v>502</v>
      </c>
      <c r="L5" s="3">
        <v>513</v>
      </c>
      <c r="M5" s="3">
        <v>529</v>
      </c>
      <c r="N5" s="3">
        <v>525</v>
      </c>
      <c r="AG5" s="3">
        <v>114</v>
      </c>
      <c r="AH5" s="3">
        <v>121</v>
      </c>
      <c r="AI5" s="3">
        <v>132</v>
      </c>
      <c r="AJ5" s="3">
        <v>135</v>
      </c>
      <c r="AK5" s="3">
        <v>122</v>
      </c>
      <c r="AL5" s="3">
        <v>127</v>
      </c>
      <c r="AM5" s="3">
        <v>133</v>
      </c>
      <c r="AN5" s="3">
        <v>131</v>
      </c>
      <c r="AO5" s="3">
        <v>128</v>
      </c>
      <c r="AP5" s="3">
        <v>133</v>
      </c>
      <c r="AQ5" s="3">
        <v>130</v>
      </c>
      <c r="AR5" s="3">
        <v>138</v>
      </c>
      <c r="AS5" s="3">
        <v>132</v>
      </c>
      <c r="AT5" s="3">
        <v>131</v>
      </c>
    </row>
  </sheetData>
  <phoneticPr fontId="3" type="noConversion"/>
  <hyperlinks>
    <hyperlink ref="A1" location="Main!A1" display="Main" xr:uid="{00000000-0004-0000-1500-000000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BX4"/>
  <sheetViews>
    <sheetView workbookViewId="0"/>
  </sheetViews>
  <sheetFormatPr baseColWidth="10" defaultColWidth="8.83203125" defaultRowHeight="13"/>
  <cols>
    <col min="1" max="1" width="5" bestFit="1" customWidth="1"/>
  </cols>
  <sheetData>
    <row r="1" spans="1:76" s="4" customFormat="1">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c r="BU1" s="6" t="s">
        <v>577</v>
      </c>
      <c r="BV1" s="6" t="s">
        <v>578</v>
      </c>
      <c r="BW1" s="6" t="s">
        <v>579</v>
      </c>
      <c r="BX1" s="6" t="s">
        <v>580</v>
      </c>
    </row>
    <row r="2" spans="1:76" s="4" customFormat="1" collapsed="1">
      <c r="B2" s="4" t="s">
        <v>711</v>
      </c>
      <c r="C2" s="19"/>
      <c r="D2" s="19"/>
      <c r="E2" s="19"/>
      <c r="F2" s="19"/>
      <c r="G2" s="19"/>
      <c r="H2" s="19"/>
      <c r="I2" s="19"/>
      <c r="J2" s="19"/>
      <c r="K2" s="19">
        <v>531</v>
      </c>
      <c r="L2" s="19">
        <v>595</v>
      </c>
      <c r="M2" s="19">
        <v>627</v>
      </c>
      <c r="N2" s="19">
        <v>536</v>
      </c>
      <c r="O2" s="19">
        <v>538</v>
      </c>
      <c r="P2" s="19">
        <v>509</v>
      </c>
      <c r="Q2" s="19">
        <v>407.2</v>
      </c>
      <c r="R2" s="19">
        <v>203.6</v>
      </c>
      <c r="S2" s="19">
        <v>101.8</v>
      </c>
      <c r="T2" s="19">
        <v>50.9</v>
      </c>
      <c r="U2" s="19">
        <v>25.45</v>
      </c>
      <c r="V2" s="19">
        <v>12.725</v>
      </c>
      <c r="W2" s="19">
        <v>6.3624999999999998</v>
      </c>
      <c r="X2" s="19">
        <v>3.1812499999999999</v>
      </c>
      <c r="Y2" s="19"/>
      <c r="Z2" s="19"/>
      <c r="AA2" s="19"/>
      <c r="AC2" s="6"/>
      <c r="AD2" s="6"/>
      <c r="AE2" s="6"/>
      <c r="AF2" s="6"/>
      <c r="AG2" s="6"/>
      <c r="AH2" s="6"/>
      <c r="AI2" s="6"/>
      <c r="AJ2" s="6"/>
      <c r="AK2" s="6"/>
      <c r="AL2" s="6"/>
      <c r="AM2" s="6"/>
      <c r="AN2" s="6"/>
      <c r="AO2" s="6"/>
      <c r="AP2" s="6">
        <v>132</v>
      </c>
      <c r="AQ2" s="6"/>
      <c r="AS2" s="19"/>
      <c r="AT2" s="19"/>
      <c r="AU2" s="19"/>
      <c r="AV2" s="19"/>
      <c r="AW2" s="19">
        <v>135</v>
      </c>
      <c r="AX2" s="19">
        <v>141</v>
      </c>
      <c r="AY2" s="19">
        <v>152</v>
      </c>
      <c r="AZ2" s="19">
        <v>167</v>
      </c>
      <c r="BA2" s="19">
        <v>148</v>
      </c>
      <c r="BB2" s="19">
        <v>161</v>
      </c>
      <c r="BC2" s="19">
        <v>150</v>
      </c>
      <c r="BD2" s="19">
        <v>168</v>
      </c>
      <c r="BE2" s="133">
        <v>153</v>
      </c>
      <c r="BG2" s="19">
        <v>132</v>
      </c>
      <c r="BH2" s="19">
        <v>146</v>
      </c>
      <c r="BI2" s="19">
        <v>126</v>
      </c>
      <c r="BJ2" s="19">
        <v>139</v>
      </c>
      <c r="BK2" s="19">
        <v>133</v>
      </c>
      <c r="BL2" s="133">
        <v>140</v>
      </c>
      <c r="BM2" s="19">
        <v>134</v>
      </c>
      <c r="BN2" s="19">
        <v>125</v>
      </c>
      <c r="BO2" s="19">
        <v>125</v>
      </c>
      <c r="BP2" s="19">
        <v>125</v>
      </c>
      <c r="BQ2" s="19">
        <v>125</v>
      </c>
      <c r="BR2" s="19">
        <v>125</v>
      </c>
      <c r="BS2" s="19">
        <v>125</v>
      </c>
      <c r="BT2" s="19">
        <v>125</v>
      </c>
      <c r="BU2" s="19">
        <v>125</v>
      </c>
      <c r="BV2" s="19">
        <v>125</v>
      </c>
      <c r="BW2" s="19">
        <v>125</v>
      </c>
      <c r="BX2" s="19">
        <v>125</v>
      </c>
    </row>
    <row r="3" spans="1:76" s="4" customFormat="1">
      <c r="B3" s="111" t="s">
        <v>1007</v>
      </c>
      <c r="C3" s="19"/>
      <c r="D3" s="19"/>
      <c r="E3" s="19"/>
      <c r="F3" s="19"/>
      <c r="G3" s="19"/>
      <c r="H3" s="19"/>
      <c r="I3" s="19"/>
      <c r="J3" s="19"/>
      <c r="K3" s="19">
        <v>22</v>
      </c>
      <c r="L3" s="19">
        <v>19</v>
      </c>
      <c r="M3" s="19">
        <v>6</v>
      </c>
      <c r="N3" s="19">
        <v>3</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5</v>
      </c>
      <c r="AX3" s="19">
        <v>4</v>
      </c>
      <c r="AY3" s="19">
        <v>5</v>
      </c>
      <c r="AZ3" s="19">
        <v>5</v>
      </c>
      <c r="BA3" s="19">
        <v>3</v>
      </c>
      <c r="BB3" s="19">
        <v>1</v>
      </c>
      <c r="BC3" s="19">
        <v>1</v>
      </c>
      <c r="BD3" s="19"/>
      <c r="BE3" s="133"/>
      <c r="BJ3" s="6"/>
      <c r="BL3" s="59"/>
      <c r="BM3" s="19"/>
      <c r="BN3" s="19"/>
      <c r="BO3" s="19"/>
      <c r="BP3" s="19"/>
      <c r="BQ3" s="19"/>
      <c r="BR3" s="19"/>
      <c r="BS3" s="19"/>
      <c r="BT3" s="19"/>
      <c r="BU3" s="19"/>
      <c r="BV3" s="19"/>
      <c r="BW3" s="19"/>
      <c r="BX3" s="19"/>
    </row>
    <row r="4" spans="1:76" s="4" customFormat="1">
      <c r="B4" s="111" t="s">
        <v>1008</v>
      </c>
      <c r="C4" s="19"/>
      <c r="D4" s="19"/>
      <c r="E4" s="19"/>
      <c r="F4" s="19"/>
      <c r="G4" s="19"/>
      <c r="H4" s="19"/>
      <c r="I4" s="19"/>
      <c r="J4" s="19"/>
      <c r="K4" s="19">
        <v>509</v>
      </c>
      <c r="L4" s="19">
        <v>576</v>
      </c>
      <c r="M4" s="19">
        <v>621</v>
      </c>
      <c r="N4" s="19">
        <v>533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130</v>
      </c>
      <c r="AX4" s="19">
        <v>137</v>
      </c>
      <c r="AY4" s="19">
        <v>147</v>
      </c>
      <c r="AZ4" s="19">
        <v>162</v>
      </c>
      <c r="BA4" s="19">
        <v>145</v>
      </c>
      <c r="BB4" s="19">
        <v>160</v>
      </c>
      <c r="BC4" s="19">
        <v>149</v>
      </c>
      <c r="BD4" s="19"/>
      <c r="BE4" s="133"/>
      <c r="BJ4" s="6"/>
      <c r="BL4" s="59"/>
      <c r="BM4" s="19"/>
      <c r="BN4" s="19"/>
      <c r="BO4" s="19"/>
      <c r="BP4" s="19"/>
      <c r="BQ4" s="19"/>
      <c r="BR4" s="19"/>
      <c r="BS4" s="19"/>
      <c r="BT4" s="19"/>
      <c r="BU4" s="19"/>
      <c r="BV4" s="19"/>
      <c r="BW4" s="19"/>
      <c r="BX4" s="19"/>
    </row>
  </sheetData>
  <phoneticPr fontId="3" type="noConversion"/>
  <hyperlinks>
    <hyperlink ref="A1" location="Main!A1" display="Main" xr:uid="{00000000-0004-0000-1600-000000000000}"/>
  </hyperlinks>
  <pageMargins left="0.75" right="0.75" top="1" bottom="1" header="0.5" footer="0.5"/>
  <headerFooter alignWithMargins="0"/>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A1:AR5"/>
  <sheetViews>
    <sheetView zoomScale="85" workbookViewId="0"/>
  </sheetViews>
  <sheetFormatPr baseColWidth="10" defaultColWidth="8.83203125" defaultRowHeight="13"/>
  <cols>
    <col min="1" max="1" width="5" bestFit="1" customWidth="1"/>
    <col min="2" max="2" width="7.5" bestFit="1" customWidth="1"/>
    <col min="3" max="6" width="5" bestFit="1" customWidth="1"/>
    <col min="7" max="7" width="6.33203125" bestFit="1" customWidth="1"/>
    <col min="8" max="19" width="5" bestFit="1" customWidth="1"/>
    <col min="20" max="20" width="5.83203125" bestFit="1" customWidth="1"/>
    <col min="21" max="44" width="5.5" bestFit="1" customWidth="1"/>
  </cols>
  <sheetData>
    <row r="1" spans="1:44">
      <c r="A1" s="16" t="s">
        <v>0</v>
      </c>
    </row>
    <row r="2" spans="1:44">
      <c r="C2" s="1">
        <v>2002</v>
      </c>
      <c r="D2" s="1">
        <v>2003</v>
      </c>
      <c r="E2" s="1">
        <v>2004</v>
      </c>
      <c r="F2" s="1">
        <v>2005</v>
      </c>
      <c r="G2" s="1" t="s">
        <v>1006</v>
      </c>
      <c r="H2" s="1">
        <v>2007</v>
      </c>
      <c r="I2" s="1">
        <v>2008</v>
      </c>
      <c r="J2" s="2">
        <v>2009</v>
      </c>
      <c r="K2" s="2">
        <v>2010</v>
      </c>
      <c r="L2" s="2">
        <v>2011</v>
      </c>
      <c r="M2" s="2">
        <v>2012</v>
      </c>
      <c r="N2" s="2">
        <v>2013</v>
      </c>
      <c r="O2" s="2">
        <v>2014</v>
      </c>
      <c r="P2" s="2">
        <v>2015</v>
      </c>
      <c r="Q2" s="2">
        <v>2016</v>
      </c>
      <c r="R2" s="2">
        <v>2017</v>
      </c>
      <c r="S2" s="2">
        <v>2018</v>
      </c>
      <c r="U2" s="1" t="s">
        <v>549</v>
      </c>
      <c r="V2" s="1" t="s">
        <v>550</v>
      </c>
      <c r="W2" s="1" t="s">
        <v>551</v>
      </c>
      <c r="X2" s="1" t="s">
        <v>552</v>
      </c>
      <c r="Y2" s="1" t="s">
        <v>553</v>
      </c>
      <c r="Z2" s="1" t="s">
        <v>554</v>
      </c>
      <c r="AA2" s="1" t="s">
        <v>555</v>
      </c>
      <c r="AB2" s="1" t="s">
        <v>556</v>
      </c>
      <c r="AC2" s="1" t="s">
        <v>557</v>
      </c>
      <c r="AD2" s="1" t="s">
        <v>558</v>
      </c>
      <c r="AE2" s="1" t="s">
        <v>559</v>
      </c>
      <c r="AF2" s="1" t="s">
        <v>560</v>
      </c>
      <c r="AG2" s="1" t="s">
        <v>561</v>
      </c>
      <c r="AH2" s="1" t="s">
        <v>562</v>
      </c>
      <c r="AI2" s="1" t="s">
        <v>563</v>
      </c>
      <c r="AJ2" s="1" t="s">
        <v>564</v>
      </c>
      <c r="AK2" s="1" t="s">
        <v>565</v>
      </c>
      <c r="AL2" s="1" t="s">
        <v>566</v>
      </c>
      <c r="AM2" s="1" t="s">
        <v>567</v>
      </c>
      <c r="AN2" s="1" t="s">
        <v>568</v>
      </c>
      <c r="AO2" s="1" t="s">
        <v>561</v>
      </c>
      <c r="AP2" s="1" t="s">
        <v>562</v>
      </c>
      <c r="AQ2" s="1" t="s">
        <v>563</v>
      </c>
      <c r="AR2" s="1" t="s">
        <v>564</v>
      </c>
    </row>
    <row r="3" spans="1:44">
      <c r="B3" t="s">
        <v>1016</v>
      </c>
      <c r="C3" s="3">
        <f>C4+C5</f>
        <v>41</v>
      </c>
      <c r="D3" s="3">
        <f>D4+D5</f>
        <v>200</v>
      </c>
      <c r="E3" s="3">
        <f>E4+E5</f>
        <v>287</v>
      </c>
      <c r="F3" s="3">
        <f>F4+F5</f>
        <v>386</v>
      </c>
      <c r="G3" s="1"/>
      <c r="H3" s="1"/>
      <c r="I3" s="1"/>
      <c r="J3" s="2"/>
      <c r="K3" s="2"/>
      <c r="L3" s="2"/>
      <c r="M3" s="2"/>
      <c r="N3" s="2"/>
      <c r="O3" s="2"/>
      <c r="P3" s="2"/>
      <c r="Q3" s="2"/>
      <c r="R3" s="2"/>
      <c r="S3" s="2"/>
      <c r="U3" s="1"/>
      <c r="V3" s="1"/>
      <c r="W3" s="3">
        <f t="shared" ref="W3:AH3" si="0">W4+W5</f>
        <v>12</v>
      </c>
      <c r="X3" s="3">
        <f t="shared" si="0"/>
        <v>29</v>
      </c>
      <c r="Y3" s="3">
        <f t="shared" si="0"/>
        <v>35</v>
      </c>
      <c r="Z3" s="3">
        <f t="shared" si="0"/>
        <v>46</v>
      </c>
      <c r="AA3" s="3">
        <f t="shared" si="0"/>
        <v>57</v>
      </c>
      <c r="AB3" s="3">
        <f t="shared" si="0"/>
        <v>62</v>
      </c>
      <c r="AC3" s="3">
        <f t="shared" si="0"/>
        <v>64</v>
      </c>
      <c r="AD3" s="3">
        <f t="shared" si="0"/>
        <v>71</v>
      </c>
      <c r="AE3" s="3">
        <f t="shared" si="0"/>
        <v>69</v>
      </c>
      <c r="AF3" s="3">
        <f t="shared" si="0"/>
        <v>83</v>
      </c>
      <c r="AG3" s="3">
        <f t="shared" si="0"/>
        <v>88</v>
      </c>
      <c r="AH3" s="3">
        <f t="shared" si="0"/>
        <v>91</v>
      </c>
      <c r="AI3" s="1"/>
      <c r="AJ3" s="1"/>
      <c r="AK3" s="1"/>
      <c r="AL3" s="1"/>
      <c r="AM3" s="1"/>
      <c r="AN3" s="1"/>
      <c r="AO3" s="1"/>
      <c r="AP3" s="1"/>
      <c r="AQ3" s="1"/>
      <c r="AR3" s="1"/>
    </row>
    <row r="4" spans="1:44">
      <c r="B4" s="134" t="s">
        <v>1007</v>
      </c>
      <c r="C4" s="3">
        <f>SUM(U4:X4)</f>
        <v>41</v>
      </c>
      <c r="D4" s="3">
        <f>SUM(Y4:AB4)</f>
        <v>92</v>
      </c>
      <c r="E4" s="3">
        <f>SUM(AC4:AF4)</f>
        <v>120</v>
      </c>
      <c r="F4" s="3">
        <v>149</v>
      </c>
      <c r="G4" s="3"/>
      <c r="H4" s="3"/>
      <c r="I4" s="3"/>
      <c r="J4" s="3"/>
      <c r="K4" s="3"/>
      <c r="L4" s="3"/>
      <c r="M4" s="3"/>
      <c r="N4" s="3"/>
      <c r="O4" s="3"/>
      <c r="P4" s="3"/>
      <c r="Q4" s="3"/>
      <c r="R4" s="3"/>
      <c r="S4" s="3"/>
      <c r="W4" s="3">
        <v>12</v>
      </c>
      <c r="X4" s="3">
        <v>29</v>
      </c>
      <c r="Y4" s="3">
        <v>18</v>
      </c>
      <c r="Z4" s="3">
        <v>20</v>
      </c>
      <c r="AA4" s="3">
        <v>26</v>
      </c>
      <c r="AB4" s="3">
        <v>28</v>
      </c>
      <c r="AC4" s="3">
        <v>27</v>
      </c>
      <c r="AD4" s="3">
        <v>31</v>
      </c>
      <c r="AE4" s="3">
        <v>29</v>
      </c>
      <c r="AF4" s="3">
        <v>33</v>
      </c>
      <c r="AG4" s="3">
        <v>34</v>
      </c>
      <c r="AH4" s="3">
        <v>31</v>
      </c>
      <c r="AL4" s="1"/>
      <c r="AO4" s="3"/>
      <c r="AP4" s="3"/>
      <c r="AQ4" s="3"/>
      <c r="AR4" s="3"/>
    </row>
    <row r="5" spans="1:44">
      <c r="B5" s="134" t="s">
        <v>1008</v>
      </c>
      <c r="C5" s="3">
        <f>SUM(U5:X5)</f>
        <v>0</v>
      </c>
      <c r="D5" s="3">
        <f>SUM(Y5:AB5)</f>
        <v>108</v>
      </c>
      <c r="E5" s="3">
        <f>SUM(AC5:AF5)</f>
        <v>167</v>
      </c>
      <c r="F5" s="3">
        <v>237</v>
      </c>
      <c r="G5" s="3"/>
      <c r="H5" s="3"/>
      <c r="I5" s="3"/>
      <c r="J5" s="3"/>
      <c r="K5" s="3"/>
      <c r="L5" s="3"/>
      <c r="M5" s="3"/>
      <c r="N5" s="3"/>
      <c r="O5" s="3"/>
      <c r="P5" s="3"/>
      <c r="Q5" s="3"/>
      <c r="R5" s="3"/>
      <c r="S5" s="3"/>
      <c r="Y5" s="3">
        <v>17</v>
      </c>
      <c r="Z5" s="3">
        <v>26</v>
      </c>
      <c r="AA5" s="3">
        <v>31</v>
      </c>
      <c r="AB5" s="3">
        <v>34</v>
      </c>
      <c r="AC5" s="3">
        <v>37</v>
      </c>
      <c r="AD5" s="3">
        <v>40</v>
      </c>
      <c r="AE5" s="3">
        <v>40</v>
      </c>
      <c r="AF5" s="3">
        <v>50</v>
      </c>
      <c r="AG5" s="3">
        <v>54</v>
      </c>
      <c r="AH5" s="3">
        <v>60</v>
      </c>
      <c r="AL5" s="1"/>
      <c r="AO5" s="3"/>
      <c r="AP5" s="3"/>
      <c r="AQ5" s="3"/>
      <c r="AR5" s="3"/>
    </row>
  </sheetData>
  <phoneticPr fontId="3" type="noConversion"/>
  <hyperlinks>
    <hyperlink ref="A1" location="Main!A1" display="Main" xr:uid="{00000000-0004-0000-1700-000000000000}"/>
  </hyperlinks>
  <pageMargins left="0.75" right="0.75" top="1" bottom="1" header="0.5" footer="0.5"/>
  <headerFooter alignWithMargins="0"/>
  <ignoredErrors>
    <ignoredError sqref="C4:C5 D4:D5 E4:E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U13"/>
  <sheetViews>
    <sheetView workbookViewId="0">
      <selection activeCell="C11" sqref="C11 E11 H11:U11 D11:D13"/>
    </sheetView>
  </sheetViews>
  <sheetFormatPr baseColWidth="10" defaultColWidth="9.1640625" defaultRowHeight="13"/>
  <cols>
    <col min="1" max="1" width="5" style="4" bestFit="1" customWidth="1"/>
    <col min="2" max="2" width="12.83203125" style="4" bestFit="1" customWidth="1"/>
    <col min="3" max="5" width="5" style="4" bestFit="1" customWidth="1"/>
    <col min="6" max="7" width="4.5" style="4" customWidth="1"/>
    <col min="8" max="15" width="5.5" style="6" bestFit="1" customWidth="1"/>
    <col min="16" max="21" width="5.5" style="4" bestFit="1" customWidth="1"/>
    <col min="22" max="16384" width="9.1640625" style="4"/>
  </cols>
  <sheetData>
    <row r="1" spans="1:21">
      <c r="A1" s="13" t="s">
        <v>0</v>
      </c>
    </row>
    <row r="2" spans="1:21">
      <c r="A2" s="13"/>
      <c r="B2" s="4" t="s">
        <v>2</v>
      </c>
      <c r="C2" s="4" t="s">
        <v>219</v>
      </c>
    </row>
    <row r="3" spans="1:21">
      <c r="A3" s="13"/>
      <c r="B3" s="4" t="s">
        <v>3</v>
      </c>
      <c r="C3" s="4" t="s">
        <v>1146</v>
      </c>
    </row>
    <row r="4" spans="1:21">
      <c r="A4" s="13"/>
      <c r="B4" s="4" t="s">
        <v>992</v>
      </c>
      <c r="C4" s="4" t="s">
        <v>1147</v>
      </c>
    </row>
    <row r="5" spans="1:21">
      <c r="A5" s="13"/>
      <c r="B5" s="4" t="s">
        <v>933</v>
      </c>
    </row>
    <row r="6" spans="1:21">
      <c r="A6" s="13"/>
      <c r="C6" s="22" t="s">
        <v>1148</v>
      </c>
    </row>
    <row r="7" spans="1:21">
      <c r="A7" s="13"/>
      <c r="C7" s="4" t="s">
        <v>1149</v>
      </c>
    </row>
    <row r="8" spans="1:21">
      <c r="A8" s="13"/>
    </row>
    <row r="9" spans="1:21">
      <c r="A9" s="13"/>
    </row>
    <row r="10" spans="1:21">
      <c r="C10" s="6">
        <v>2002</v>
      </c>
      <c r="D10" s="6">
        <v>2003</v>
      </c>
      <c r="E10" s="6">
        <v>2004</v>
      </c>
      <c r="H10" s="6" t="s">
        <v>549</v>
      </c>
      <c r="I10" s="6" t="s">
        <v>550</v>
      </c>
      <c r="J10" s="6" t="s">
        <v>551</v>
      </c>
      <c r="K10" s="6" t="s">
        <v>552</v>
      </c>
      <c r="L10" s="6" t="s">
        <v>553</v>
      </c>
      <c r="M10" s="6" t="s">
        <v>554</v>
      </c>
      <c r="N10" s="6" t="s">
        <v>555</v>
      </c>
      <c r="O10" s="6" t="s">
        <v>556</v>
      </c>
      <c r="P10" s="6" t="s">
        <v>557</v>
      </c>
      <c r="Q10" s="6" t="s">
        <v>558</v>
      </c>
      <c r="R10" s="6" t="s">
        <v>559</v>
      </c>
      <c r="S10" s="6" t="s">
        <v>560</v>
      </c>
      <c r="T10" s="6" t="s">
        <v>561</v>
      </c>
      <c r="U10" s="6" t="s">
        <v>562</v>
      </c>
    </row>
    <row r="11" spans="1:21">
      <c r="B11" s="4" t="s">
        <v>1016</v>
      </c>
      <c r="C11" s="19">
        <f>C12+C13</f>
        <v>199</v>
      </c>
      <c r="D11" s="19">
        <f>D12+D13</f>
        <v>253</v>
      </c>
      <c r="E11" s="19">
        <f>E12+E13</f>
        <v>462</v>
      </c>
      <c r="H11" s="19">
        <f>H12+H13</f>
        <v>57</v>
      </c>
      <c r="I11" s="19">
        <f t="shared" ref="I11:S11" si="0">I12+I13</f>
        <v>48</v>
      </c>
      <c r="J11" s="19">
        <f t="shared" si="0"/>
        <v>25</v>
      </c>
      <c r="K11" s="19">
        <f t="shared" si="0"/>
        <v>69</v>
      </c>
      <c r="L11" s="19">
        <f t="shared" si="0"/>
        <v>72</v>
      </c>
      <c r="M11" s="19">
        <f t="shared" si="0"/>
        <v>42</v>
      </c>
      <c r="N11" s="19">
        <f t="shared" si="0"/>
        <v>61</v>
      </c>
      <c r="O11" s="19">
        <f t="shared" si="0"/>
        <v>78</v>
      </c>
      <c r="P11" s="19">
        <f t="shared" si="0"/>
        <v>97</v>
      </c>
      <c r="Q11" s="19">
        <f t="shared" si="0"/>
        <v>110</v>
      </c>
      <c r="R11" s="19">
        <f t="shared" si="0"/>
        <v>120</v>
      </c>
      <c r="S11" s="19">
        <f t="shared" si="0"/>
        <v>135</v>
      </c>
      <c r="T11" s="19">
        <f>T12+T13</f>
        <v>143</v>
      </c>
      <c r="U11" s="19">
        <f>U12+U13</f>
        <v>153</v>
      </c>
    </row>
    <row r="12" spans="1:21">
      <c r="B12" s="4" t="s">
        <v>1007</v>
      </c>
      <c r="C12" s="19">
        <v>158</v>
      </c>
      <c r="D12" s="19">
        <f>SUM(L12:O12)</f>
        <v>187</v>
      </c>
      <c r="E12" s="19">
        <v>338</v>
      </c>
      <c r="H12" s="6">
        <v>52</v>
      </c>
      <c r="I12" s="6">
        <v>39</v>
      </c>
      <c r="J12" s="6">
        <v>13</v>
      </c>
      <c r="K12" s="6">
        <v>54</v>
      </c>
      <c r="L12" s="6">
        <v>57</v>
      </c>
      <c r="M12" s="6">
        <v>34</v>
      </c>
      <c r="N12" s="6">
        <v>39</v>
      </c>
      <c r="O12" s="6">
        <v>57</v>
      </c>
      <c r="P12" s="6">
        <v>73</v>
      </c>
      <c r="Q12" s="6">
        <v>81</v>
      </c>
      <c r="R12" s="6">
        <v>85</v>
      </c>
      <c r="S12" s="6">
        <v>99</v>
      </c>
      <c r="T12" s="6">
        <v>104</v>
      </c>
      <c r="U12" s="6">
        <v>106</v>
      </c>
    </row>
    <row r="13" spans="1:21">
      <c r="B13" s="4" t="s">
        <v>1150</v>
      </c>
      <c r="C13" s="19">
        <v>41</v>
      </c>
      <c r="D13" s="19">
        <f>SUM(L13:O13)</f>
        <v>66</v>
      </c>
      <c r="E13" s="19">
        <v>124</v>
      </c>
      <c r="H13" s="6">
        <v>5</v>
      </c>
      <c r="I13" s="6">
        <v>9</v>
      </c>
      <c r="J13" s="6">
        <v>12</v>
      </c>
      <c r="K13" s="6">
        <v>15</v>
      </c>
      <c r="L13" s="6">
        <v>15</v>
      </c>
      <c r="M13" s="6">
        <v>8</v>
      </c>
      <c r="N13" s="6">
        <v>22</v>
      </c>
      <c r="O13" s="6">
        <v>21</v>
      </c>
      <c r="P13" s="6">
        <v>24</v>
      </c>
      <c r="Q13" s="6">
        <v>29</v>
      </c>
      <c r="R13" s="6">
        <v>35</v>
      </c>
      <c r="S13" s="6">
        <v>36</v>
      </c>
      <c r="T13" s="6">
        <v>39</v>
      </c>
      <c r="U13" s="6">
        <v>47</v>
      </c>
    </row>
  </sheetData>
  <phoneticPr fontId="3" type="noConversion"/>
  <hyperlinks>
    <hyperlink ref="A1" location="Main!A1" display="Main" xr:uid="{00000000-0004-0000-1800-000000000000}"/>
  </hyperlinks>
  <pageMargins left="0.75" right="0.75" top="1" bottom="1" header="0.5" footer="0.5"/>
  <headerFooter alignWithMargins="0"/>
  <ignoredErrors>
    <ignoredError sqref="D12:D13"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1"/>
  <sheetViews>
    <sheetView workbookViewId="0">
      <pane xSplit="2" ySplit="2" topLeftCell="C3" activePane="bottomRight" state="frozen"/>
      <selection pane="topRight" activeCell="C1" sqref="C1"/>
      <selection pane="bottomLeft" activeCell="A3" sqref="A3"/>
      <selection pane="bottomRight" activeCell="I52" sqref="I52"/>
    </sheetView>
  </sheetViews>
  <sheetFormatPr baseColWidth="10" defaultColWidth="8.83203125" defaultRowHeight="13"/>
  <cols>
    <col min="2" max="2" width="30.6640625" customWidth="1"/>
  </cols>
  <sheetData>
    <row r="1" spans="1:9">
      <c r="A1" s="102" t="s">
        <v>0</v>
      </c>
      <c r="B1" s="102"/>
    </row>
    <row r="2" spans="1:9">
      <c r="B2" s="102" t="s">
        <v>1398</v>
      </c>
      <c r="C2" s="102" t="s">
        <v>1399</v>
      </c>
      <c r="D2" s="102" t="s">
        <v>5</v>
      </c>
      <c r="E2" s="102" t="s">
        <v>1400</v>
      </c>
      <c r="F2" s="102" t="s">
        <v>878</v>
      </c>
    </row>
    <row r="3" spans="1:9">
      <c r="B3" s="102" t="s">
        <v>683</v>
      </c>
      <c r="C3" s="102"/>
      <c r="F3" s="102" t="s">
        <v>1401</v>
      </c>
    </row>
    <row r="4" spans="1:9">
      <c r="B4" s="146" t="s">
        <v>348</v>
      </c>
      <c r="C4" s="150" t="s">
        <v>349</v>
      </c>
      <c r="D4" s="150" t="s">
        <v>350</v>
      </c>
      <c r="E4" s="147">
        <v>1</v>
      </c>
      <c r="F4" s="148" t="s">
        <v>351</v>
      </c>
      <c r="G4" s="102" t="s">
        <v>352</v>
      </c>
      <c r="H4" s="150" t="s">
        <v>141</v>
      </c>
      <c r="I4" s="160" t="s">
        <v>353</v>
      </c>
    </row>
    <row r="5" spans="1:9">
      <c r="B5" s="146" t="s">
        <v>354</v>
      </c>
      <c r="C5" s="1" t="s">
        <v>169</v>
      </c>
      <c r="D5" s="1" t="s">
        <v>355</v>
      </c>
      <c r="E5" s="147">
        <v>1</v>
      </c>
      <c r="F5" s="152">
        <v>36927</v>
      </c>
      <c r="G5" t="s">
        <v>356</v>
      </c>
      <c r="H5" s="1" t="s">
        <v>141</v>
      </c>
      <c r="I5" s="153" t="s">
        <v>357</v>
      </c>
    </row>
    <row r="6" spans="1:9">
      <c r="B6" s="146" t="s">
        <v>365</v>
      </c>
      <c r="C6" s="150" t="s">
        <v>366</v>
      </c>
      <c r="D6" s="150" t="s">
        <v>350</v>
      </c>
      <c r="E6" s="151" t="s">
        <v>367</v>
      </c>
      <c r="F6" s="152">
        <v>38016</v>
      </c>
      <c r="G6" s="102" t="s">
        <v>368</v>
      </c>
      <c r="H6" s="150" t="s">
        <v>369</v>
      </c>
      <c r="I6" s="153" t="s">
        <v>370</v>
      </c>
    </row>
    <row r="7" spans="1:9">
      <c r="B7" s="156" t="s">
        <v>381</v>
      </c>
      <c r="C7" s="150" t="s">
        <v>382</v>
      </c>
      <c r="D7" s="150" t="s">
        <v>383</v>
      </c>
      <c r="E7" s="151">
        <v>1</v>
      </c>
      <c r="F7" s="152">
        <v>39232</v>
      </c>
      <c r="G7" s="102" t="s">
        <v>384</v>
      </c>
      <c r="H7" s="150" t="s">
        <v>209</v>
      </c>
      <c r="I7" s="153" t="s">
        <v>385</v>
      </c>
    </row>
    <row r="8" spans="1:9">
      <c r="B8" s="156" t="s">
        <v>386</v>
      </c>
      <c r="C8" s="150" t="s">
        <v>387</v>
      </c>
      <c r="D8" s="150" t="s">
        <v>388</v>
      </c>
      <c r="E8" s="151" t="s">
        <v>113</v>
      </c>
      <c r="F8" s="148">
        <v>41550</v>
      </c>
      <c r="G8" s="154" t="s">
        <v>389</v>
      </c>
      <c r="H8" s="150" t="s">
        <v>141</v>
      </c>
      <c r="I8" s="153" t="s">
        <v>309</v>
      </c>
    </row>
    <row r="9" spans="1:9">
      <c r="B9" s="146" t="s">
        <v>330</v>
      </c>
      <c r="C9" s="1" t="s">
        <v>331</v>
      </c>
      <c r="D9" s="1" t="s">
        <v>149</v>
      </c>
      <c r="E9" s="147">
        <v>1</v>
      </c>
      <c r="F9" s="148">
        <v>35881</v>
      </c>
      <c r="G9" t="s">
        <v>332</v>
      </c>
      <c r="H9" s="1" t="s">
        <v>141</v>
      </c>
      <c r="I9" s="155">
        <v>40995</v>
      </c>
    </row>
    <row r="10" spans="1:9">
      <c r="B10" s="157" t="s">
        <v>343</v>
      </c>
      <c r="C10" s="1" t="s">
        <v>344</v>
      </c>
      <c r="D10" s="1" t="s">
        <v>345</v>
      </c>
      <c r="E10" s="147">
        <v>1</v>
      </c>
      <c r="F10" s="148">
        <v>35221</v>
      </c>
      <c r="G10" s="102" t="s">
        <v>346</v>
      </c>
      <c r="H10" s="150" t="s">
        <v>347</v>
      </c>
      <c r="I10" s="158">
        <v>2010</v>
      </c>
    </row>
    <row r="11" spans="1:9">
      <c r="B11" s="102" t="s">
        <v>176</v>
      </c>
    </row>
    <row r="12" spans="1:9">
      <c r="B12" s="102" t="s">
        <v>177</v>
      </c>
    </row>
    <row r="13" spans="1:9">
      <c r="B13" s="102" t="s">
        <v>178</v>
      </c>
    </row>
    <row r="14" spans="1:9">
      <c r="B14" s="102" t="s">
        <v>179</v>
      </c>
    </row>
    <row r="15" spans="1:9">
      <c r="B15" s="102" t="s">
        <v>180</v>
      </c>
    </row>
    <row r="16" spans="1:9">
      <c r="B16" s="102" t="s">
        <v>181</v>
      </c>
    </row>
    <row r="17" spans="2:2">
      <c r="B17" s="102" t="s">
        <v>182</v>
      </c>
    </row>
    <row r="18" spans="2:2">
      <c r="B18" s="102" t="s">
        <v>183</v>
      </c>
    </row>
    <row r="19" spans="2:2">
      <c r="B19" s="102" t="s">
        <v>184</v>
      </c>
    </row>
    <row r="20" spans="2:2">
      <c r="B20" s="102" t="s">
        <v>185</v>
      </c>
    </row>
    <row r="21" spans="2:2">
      <c r="B21" s="102" t="s">
        <v>186</v>
      </c>
    </row>
    <row r="22" spans="2:2">
      <c r="B22" s="102" t="s">
        <v>187</v>
      </c>
    </row>
    <row r="23" spans="2:2">
      <c r="B23" s="102" t="s">
        <v>188</v>
      </c>
    </row>
    <row r="24" spans="2:2">
      <c r="B24" s="102" t="s">
        <v>189</v>
      </c>
    </row>
    <row r="25" spans="2:2">
      <c r="B25" t="s">
        <v>190</v>
      </c>
    </row>
    <row r="26" spans="2:2">
      <c r="B26" t="s">
        <v>191</v>
      </c>
    </row>
    <row r="27" spans="2:2">
      <c r="B27" t="s">
        <v>192</v>
      </c>
    </row>
    <row r="28" spans="2:2">
      <c r="B28" t="s">
        <v>193</v>
      </c>
    </row>
    <row r="29" spans="2:2">
      <c r="B29" s="118" t="s">
        <v>194</v>
      </c>
    </row>
    <row r="30" spans="2:2">
      <c r="B30" s="102" t="s">
        <v>195</v>
      </c>
    </row>
    <row r="31" spans="2:2">
      <c r="B31" s="102" t="s">
        <v>196</v>
      </c>
    </row>
    <row r="32" spans="2:2">
      <c r="B32" s="102" t="s">
        <v>197</v>
      </c>
    </row>
    <row r="33" spans="2:10">
      <c r="B33" s="156" t="s">
        <v>400</v>
      </c>
      <c r="C33" s="150" t="s">
        <v>1407</v>
      </c>
      <c r="D33" s="150" t="s">
        <v>388</v>
      </c>
      <c r="E33" s="151" t="s">
        <v>113</v>
      </c>
      <c r="F33" s="150" t="s">
        <v>1406</v>
      </c>
      <c r="G33" s="154"/>
      <c r="H33" s="150"/>
      <c r="I33" s="153" t="s">
        <v>399</v>
      </c>
    </row>
    <row r="34" spans="2:10">
      <c r="B34" s="156" t="s">
        <v>198</v>
      </c>
      <c r="C34" s="150" t="s">
        <v>164</v>
      </c>
      <c r="D34" s="150" t="s">
        <v>199</v>
      </c>
      <c r="E34" s="151" t="s">
        <v>200</v>
      </c>
      <c r="F34" s="152"/>
      <c r="G34" s="102"/>
      <c r="H34" s="150"/>
      <c r="I34" s="153"/>
    </row>
    <row r="35" spans="2:10">
      <c r="B35" s="156" t="s">
        <v>201</v>
      </c>
      <c r="C35" s="150" t="s">
        <v>202</v>
      </c>
      <c r="D35" s="150"/>
      <c r="E35" s="151" t="s">
        <v>200</v>
      </c>
      <c r="F35" s="102" t="s">
        <v>203</v>
      </c>
      <c r="G35" s="102" t="s">
        <v>204</v>
      </c>
      <c r="H35" s="150"/>
      <c r="I35" s="153"/>
    </row>
    <row r="36" spans="2:10">
      <c r="B36" s="178" t="s">
        <v>205</v>
      </c>
      <c r="C36" s="179" t="s">
        <v>206</v>
      </c>
      <c r="D36" s="179" t="s">
        <v>207</v>
      </c>
      <c r="E36" s="180">
        <v>1</v>
      </c>
      <c r="F36" s="165">
        <v>38765</v>
      </c>
      <c r="G36" s="181" t="s">
        <v>208</v>
      </c>
      <c r="H36" s="179" t="s">
        <v>209</v>
      </c>
      <c r="I36" s="167" t="s">
        <v>210</v>
      </c>
    </row>
    <row r="37" spans="2:10">
      <c r="B37" s="156" t="s">
        <v>211</v>
      </c>
      <c r="C37" s="150" t="s">
        <v>212</v>
      </c>
      <c r="D37" s="150" t="s">
        <v>213</v>
      </c>
      <c r="E37" s="151" t="s">
        <v>214</v>
      </c>
      <c r="F37" s="148">
        <v>41030</v>
      </c>
      <c r="G37" s="154" t="s">
        <v>215</v>
      </c>
      <c r="H37" s="150" t="s">
        <v>209</v>
      </c>
      <c r="I37" s="153" t="s">
        <v>216</v>
      </c>
    </row>
    <row r="38" spans="2:10">
      <c r="B38" s="146" t="s">
        <v>217</v>
      </c>
      <c r="C38" s="150" t="s">
        <v>218</v>
      </c>
      <c r="D38" s="150" t="s">
        <v>207</v>
      </c>
      <c r="E38" s="147">
        <v>1</v>
      </c>
      <c r="F38" s="152">
        <v>32902</v>
      </c>
      <c r="G38" s="102" t="s">
        <v>219</v>
      </c>
      <c r="H38" s="150" t="s">
        <v>220</v>
      </c>
      <c r="I38" s="153" t="s">
        <v>221</v>
      </c>
    </row>
    <row r="39" spans="2:10">
      <c r="B39" s="102" t="s">
        <v>222</v>
      </c>
    </row>
    <row r="40" spans="2:10">
      <c r="B40" s="102" t="s">
        <v>223</v>
      </c>
    </row>
    <row r="41" spans="2:10">
      <c r="B41" s="102" t="s">
        <v>224</v>
      </c>
    </row>
    <row r="42" spans="2:10">
      <c r="B42" s="102" t="s">
        <v>225</v>
      </c>
    </row>
    <row r="43" spans="2:10">
      <c r="B43" s="102" t="s">
        <v>226</v>
      </c>
    </row>
    <row r="44" spans="2:10">
      <c r="B44" s="146" t="s">
        <v>227</v>
      </c>
      <c r="C44" s="182" t="s">
        <v>228</v>
      </c>
      <c r="D44" s="1" t="s">
        <v>229</v>
      </c>
      <c r="E44" s="151" t="s">
        <v>230</v>
      </c>
      <c r="F44" s="1">
        <v>2007</v>
      </c>
      <c r="G44" t="s">
        <v>231</v>
      </c>
      <c r="H44" s="150" t="s">
        <v>141</v>
      </c>
      <c r="I44" s="153" t="s">
        <v>232</v>
      </c>
    </row>
    <row r="45" spans="2:10">
      <c r="B45" s="146" t="s">
        <v>233</v>
      </c>
      <c r="C45" s="1" t="s">
        <v>157</v>
      </c>
      <c r="D45" s="1" t="s">
        <v>234</v>
      </c>
      <c r="E45" s="147" t="s">
        <v>235</v>
      </c>
      <c r="F45" s="148">
        <v>35394</v>
      </c>
      <c r="G45" s="102" t="s">
        <v>236</v>
      </c>
      <c r="H45" s="1" t="s">
        <v>141</v>
      </c>
      <c r="I45" s="153"/>
    </row>
    <row r="46" spans="2:10">
      <c r="B46" s="183" t="s">
        <v>237</v>
      </c>
      <c r="C46" s="184" t="s">
        <v>238</v>
      </c>
      <c r="D46" s="184" t="s">
        <v>239</v>
      </c>
      <c r="E46" s="185" t="s">
        <v>240</v>
      </c>
      <c r="F46" s="186" t="s">
        <v>241</v>
      </c>
      <c r="G46" s="187" t="s">
        <v>242</v>
      </c>
      <c r="H46" s="184" t="s">
        <v>243</v>
      </c>
      <c r="I46" s="188" t="s">
        <v>216</v>
      </c>
      <c r="J46" s="150" t="s">
        <v>244</v>
      </c>
    </row>
    <row r="47" spans="2:10">
      <c r="B47" s="156" t="s">
        <v>245</v>
      </c>
      <c r="C47" s="150" t="s">
        <v>246</v>
      </c>
      <c r="D47" s="150" t="s">
        <v>247</v>
      </c>
      <c r="E47" s="151">
        <v>1</v>
      </c>
    </row>
    <row r="48" spans="2:10">
      <c r="B48" s="156" t="s">
        <v>1410</v>
      </c>
      <c r="C48" s="150" t="s">
        <v>164</v>
      </c>
      <c r="D48" s="150" t="s">
        <v>401</v>
      </c>
      <c r="E48" s="151">
        <v>1</v>
      </c>
      <c r="F48" s="150" t="s">
        <v>114</v>
      </c>
      <c r="G48" s="150"/>
      <c r="H48" s="150"/>
      <c r="I48" s="153" t="s">
        <v>399</v>
      </c>
    </row>
    <row r="49" spans="2:9">
      <c r="B49" s="156" t="s">
        <v>1431</v>
      </c>
      <c r="C49" s="150" t="s">
        <v>125</v>
      </c>
      <c r="D49" s="150" t="s">
        <v>408</v>
      </c>
      <c r="E49" s="151" t="s">
        <v>409</v>
      </c>
      <c r="F49" s="150" t="s">
        <v>114</v>
      </c>
      <c r="G49" s="102"/>
      <c r="H49" s="150" t="s">
        <v>141</v>
      </c>
      <c r="I49" s="153" t="s">
        <v>399</v>
      </c>
    </row>
    <row r="50" spans="2:9">
      <c r="B50" s="156" t="s">
        <v>458</v>
      </c>
      <c r="C50" s="150" t="s">
        <v>459</v>
      </c>
      <c r="D50" s="150" t="s">
        <v>126</v>
      </c>
      <c r="E50" s="151">
        <v>1</v>
      </c>
      <c r="F50" s="150" t="s">
        <v>136</v>
      </c>
      <c r="G50" s="150"/>
      <c r="H50" s="150"/>
      <c r="I50" s="153" t="s">
        <v>399</v>
      </c>
    </row>
    <row r="51" spans="2:9">
      <c r="B51" s="156" t="s">
        <v>375</v>
      </c>
      <c r="C51" s="1" t="s">
        <v>376</v>
      </c>
      <c r="D51" s="1" t="s">
        <v>377</v>
      </c>
      <c r="E51" s="147">
        <v>1</v>
      </c>
      <c r="F51" s="152">
        <v>35723</v>
      </c>
      <c r="G51" s="150" t="s">
        <v>141</v>
      </c>
      <c r="I51" s="150" t="s">
        <v>1527</v>
      </c>
    </row>
  </sheetData>
  <hyperlinks>
    <hyperlink ref="B38" location="Diflucan!A1" display="Diflucan" xr:uid="{00000000-0004-0000-0100-000000000000}"/>
    <hyperlink ref="C44" r:id="rId1" xr:uid="{00000000-0004-0000-0100-000001000000}"/>
    <hyperlink ref="B44" location="Selzentry!A1" display="Selzentri (maraviroc)" xr:uid="{00000000-0004-0000-0100-000002000000}"/>
    <hyperlink ref="B45" location="Aricept!A1" display="Aricept" xr:uid="{00000000-0004-0000-0100-000003000000}"/>
    <hyperlink ref="B4" location="Detrol!A1" display="Detrol LA" xr:uid="{00000000-0004-0000-0300-000006000000}"/>
    <hyperlink ref="B5" location="Geodon!A1" display="Geodon" xr:uid="{00000000-0004-0000-0300-000007000000}"/>
    <hyperlink ref="B6" location="Spiriva!A1" display="Spiriva (tiotropium)" xr:uid="{00000000-0004-0000-0300-000013000000}"/>
    <hyperlink ref="B9" location="Viagra!A1" display="Viagra" xr:uid="{00000000-0004-0000-0300-000005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5"/>
  <dimension ref="A1:C25"/>
  <sheetViews>
    <sheetView zoomScale="130" workbookViewId="0"/>
  </sheetViews>
  <sheetFormatPr baseColWidth="10" defaultColWidth="9.1640625" defaultRowHeight="13"/>
  <cols>
    <col min="1" max="1" width="5" style="4" bestFit="1" customWidth="1"/>
    <col min="2" max="2" width="13.33203125" style="4" customWidth="1"/>
    <col min="3" max="16384" width="9.1640625" style="4"/>
  </cols>
  <sheetData>
    <row r="1" spans="1:3">
      <c r="A1" s="13" t="s">
        <v>0</v>
      </c>
    </row>
    <row r="2" spans="1:3">
      <c r="B2" s="4" t="s">
        <v>2</v>
      </c>
      <c r="C2" s="4" t="s">
        <v>1151</v>
      </c>
    </row>
    <row r="3" spans="1:3">
      <c r="B3" s="4" t="s">
        <v>3</v>
      </c>
      <c r="C3" s="4" t="s">
        <v>1152</v>
      </c>
    </row>
    <row r="4" spans="1:3">
      <c r="B4" s="4" t="s">
        <v>5</v>
      </c>
      <c r="C4" s="4" t="s">
        <v>1153</v>
      </c>
    </row>
    <row r="5" spans="1:3">
      <c r="B5" s="4" t="s">
        <v>6</v>
      </c>
      <c r="C5" s="4" t="s">
        <v>1154</v>
      </c>
    </row>
    <row r="6" spans="1:3">
      <c r="B6" s="4" t="s">
        <v>888</v>
      </c>
      <c r="C6" s="4" t="s">
        <v>141</v>
      </c>
    </row>
    <row r="7" spans="1:3">
      <c r="B7" s="4" t="s">
        <v>295</v>
      </c>
      <c r="C7" s="4" t="s">
        <v>1155</v>
      </c>
    </row>
    <row r="8" spans="1:3">
      <c r="B8" s="4" t="s">
        <v>992</v>
      </c>
      <c r="C8" s="4" t="s">
        <v>1156</v>
      </c>
    </row>
    <row r="9" spans="1:3">
      <c r="B9" s="4" t="s">
        <v>1005</v>
      </c>
      <c r="C9" s="4" t="s">
        <v>1157</v>
      </c>
    </row>
    <row r="10" spans="1:3">
      <c r="B10" s="4" t="s">
        <v>273</v>
      </c>
      <c r="C10" s="4" t="s">
        <v>1158</v>
      </c>
    </row>
    <row r="11" spans="1:3">
      <c r="B11" s="4" t="s">
        <v>921</v>
      </c>
      <c r="C11" s="4" t="s">
        <v>1159</v>
      </c>
    </row>
    <row r="12" spans="1:3">
      <c r="B12" s="4" t="s">
        <v>933</v>
      </c>
    </row>
    <row r="13" spans="1:3">
      <c r="C13" s="22" t="s">
        <v>1160</v>
      </c>
    </row>
    <row r="14" spans="1:3">
      <c r="C14" s="4" t="s">
        <v>1161</v>
      </c>
    </row>
    <row r="15" spans="1:3">
      <c r="C15" s="25" t="s">
        <v>1162</v>
      </c>
    </row>
    <row r="16" spans="1:3">
      <c r="C16" s="4" t="s">
        <v>1163</v>
      </c>
    </row>
    <row r="19" spans="3:3">
      <c r="C19" s="22" t="s">
        <v>1164</v>
      </c>
    </row>
    <row r="20" spans="3:3">
      <c r="C20" s="4" t="s">
        <v>1165</v>
      </c>
    </row>
    <row r="21" spans="3:3">
      <c r="C21" s="4" t="s">
        <v>1166</v>
      </c>
    </row>
    <row r="24" spans="3:3">
      <c r="C24" s="22" t="s">
        <v>1167</v>
      </c>
    </row>
    <row r="25" spans="3:3">
      <c r="C25" s="4" t="s">
        <v>1168</v>
      </c>
    </row>
  </sheetData>
  <phoneticPr fontId="3" type="noConversion"/>
  <hyperlinks>
    <hyperlink ref="A1" location="Main!A1" display="Main" xr:uid="{00000000-0004-0000-19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C10"/>
  <sheetViews>
    <sheetView workbookViewId="0"/>
  </sheetViews>
  <sheetFormatPr baseColWidth="10" defaultColWidth="9.1640625" defaultRowHeight="13"/>
  <cols>
    <col min="1" max="1" width="5" style="4" bestFit="1" customWidth="1"/>
    <col min="2" max="2" width="12.83203125" style="4" bestFit="1" customWidth="1"/>
    <col min="3" max="16384" width="9.1640625" style="4"/>
  </cols>
  <sheetData>
    <row r="1" spans="1:3">
      <c r="A1" s="13" t="s">
        <v>0</v>
      </c>
    </row>
    <row r="2" spans="1:3">
      <c r="B2" s="4" t="s">
        <v>2</v>
      </c>
      <c r="C2" s="4" t="s">
        <v>1169</v>
      </c>
    </row>
    <row r="3" spans="1:3">
      <c r="B3" s="14" t="s">
        <v>3</v>
      </c>
      <c r="C3" s="14" t="s">
        <v>1170</v>
      </c>
    </row>
    <row r="4" spans="1:3">
      <c r="B4" s="4" t="s">
        <v>5</v>
      </c>
      <c r="C4" s="4" t="s">
        <v>138</v>
      </c>
    </row>
    <row r="5" spans="1:3">
      <c r="B5" s="4" t="s">
        <v>933</v>
      </c>
    </row>
    <row r="6" spans="1:3">
      <c r="C6" s="22" t="s">
        <v>1171</v>
      </c>
    </row>
    <row r="7" spans="1:3">
      <c r="C7" s="4" t="s">
        <v>1172</v>
      </c>
    </row>
    <row r="8" spans="1:3">
      <c r="C8" s="4" t="s">
        <v>1173</v>
      </c>
    </row>
    <row r="10" spans="1:3">
      <c r="C10" s="13" t="s">
        <v>1174</v>
      </c>
    </row>
  </sheetData>
  <phoneticPr fontId="3" type="noConversion"/>
  <hyperlinks>
    <hyperlink ref="A1" location="Main!A1" display="Main" xr:uid="{00000000-0004-0000-1A00-000000000000}"/>
    <hyperlink ref="C10" r:id="rId1" xr:uid="{00000000-0004-0000-1A00-000001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C2"/>
  <sheetViews>
    <sheetView workbookViewId="0"/>
  </sheetViews>
  <sheetFormatPr baseColWidth="10" defaultColWidth="8.83203125" defaultRowHeight="13"/>
  <cols>
    <col min="1" max="1" width="5" bestFit="1" customWidth="1"/>
    <col min="2" max="2" width="11.33203125" bestFit="1" customWidth="1"/>
  </cols>
  <sheetData>
    <row r="1" spans="1:3">
      <c r="A1" s="16" t="s">
        <v>0</v>
      </c>
    </row>
    <row r="2" spans="1:3">
      <c r="B2" s="102" t="s">
        <v>2</v>
      </c>
      <c r="C2" s="102" t="s">
        <v>1175</v>
      </c>
    </row>
  </sheetData>
  <hyperlinks>
    <hyperlink ref="A1" location="Main!A1" display="Main" xr:uid="{00000000-0004-0000-1B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A1:BA5"/>
  <sheetViews>
    <sheetView zoomScale="85" workbookViewId="0">
      <selection activeCell="K3" sqref="K3:N3 AD3:AQ3"/>
    </sheetView>
  </sheetViews>
  <sheetFormatPr baseColWidth="10" defaultColWidth="8.83203125" defaultRowHeight="13"/>
  <cols>
    <col min="1" max="1" width="5" bestFit="1" customWidth="1"/>
    <col min="2" max="2" width="7.5" bestFit="1" customWidth="1"/>
    <col min="3" max="10" width="5.1640625" bestFit="1" customWidth="1"/>
    <col min="11" max="14" width="5.6640625" bestFit="1" customWidth="1"/>
    <col min="15" max="15" width="6.33203125" bestFit="1" customWidth="1"/>
    <col min="16" max="27" width="5.1640625" bestFit="1" customWidth="1"/>
    <col min="28" max="28" width="5.83203125" bestFit="1" customWidth="1"/>
    <col min="29" max="29" width="1.5" customWidth="1"/>
    <col min="30" max="53" width="5.5" bestFit="1" customWidth="1"/>
  </cols>
  <sheetData>
    <row r="1" spans="1:53">
      <c r="A1" s="16" t="s">
        <v>0</v>
      </c>
    </row>
    <row r="2" spans="1:53">
      <c r="C2" s="1">
        <v>1994</v>
      </c>
      <c r="D2" s="1">
        <v>1995</v>
      </c>
      <c r="E2" s="1">
        <v>1996</v>
      </c>
      <c r="F2" s="1">
        <v>1997</v>
      </c>
      <c r="G2" s="1">
        <v>1998</v>
      </c>
      <c r="H2" s="1">
        <v>1999</v>
      </c>
      <c r="I2" s="1">
        <v>2000</v>
      </c>
      <c r="J2" s="1">
        <v>2001</v>
      </c>
      <c r="K2" s="1">
        <v>2002</v>
      </c>
      <c r="L2" s="1">
        <v>2003</v>
      </c>
      <c r="M2" s="1">
        <v>2004</v>
      </c>
      <c r="N2" s="1">
        <v>2005</v>
      </c>
      <c r="O2" s="1" t="s">
        <v>1006</v>
      </c>
      <c r="P2" s="1">
        <v>2007</v>
      </c>
      <c r="Q2" s="1">
        <v>2008</v>
      </c>
      <c r="R2" s="2">
        <v>2009</v>
      </c>
      <c r="S2" s="2">
        <v>2010</v>
      </c>
      <c r="T2" s="2">
        <v>2011</v>
      </c>
      <c r="U2" s="2">
        <v>2012</v>
      </c>
      <c r="V2" s="2">
        <v>2013</v>
      </c>
      <c r="W2" s="2">
        <v>2014</v>
      </c>
      <c r="X2" s="2">
        <v>2015</v>
      </c>
      <c r="Y2" s="2">
        <v>2016</v>
      </c>
      <c r="Z2" s="2">
        <v>2017</v>
      </c>
      <c r="AA2" s="2">
        <v>2018</v>
      </c>
      <c r="AB2" t="s">
        <v>603</v>
      </c>
      <c r="AD2" s="1" t="s">
        <v>549</v>
      </c>
      <c r="AE2" s="1" t="s">
        <v>550</v>
      </c>
      <c r="AF2" s="1" t="s">
        <v>551</v>
      </c>
      <c r="AG2" s="1" t="s">
        <v>552</v>
      </c>
      <c r="AH2" s="1" t="s">
        <v>553</v>
      </c>
      <c r="AI2" s="1" t="s">
        <v>554</v>
      </c>
      <c r="AJ2" s="1" t="s">
        <v>555</v>
      </c>
      <c r="AK2" s="1" t="s">
        <v>556</v>
      </c>
      <c r="AL2" s="1" t="s">
        <v>557</v>
      </c>
      <c r="AM2" s="1" t="s">
        <v>558</v>
      </c>
      <c r="AN2" s="1" t="s">
        <v>559</v>
      </c>
      <c r="AO2" s="1" t="s">
        <v>560</v>
      </c>
      <c r="AP2" s="1" t="s">
        <v>561</v>
      </c>
      <c r="AQ2" s="1" t="s">
        <v>562</v>
      </c>
      <c r="AR2" s="1" t="s">
        <v>563</v>
      </c>
      <c r="AS2" s="1" t="s">
        <v>564</v>
      </c>
      <c r="AT2" s="1" t="s">
        <v>565</v>
      </c>
      <c r="AU2" s="1" t="s">
        <v>566</v>
      </c>
      <c r="AV2" s="1" t="s">
        <v>567</v>
      </c>
      <c r="AW2" s="1" t="s">
        <v>568</v>
      </c>
      <c r="AX2" s="1" t="s">
        <v>561</v>
      </c>
      <c r="AY2" s="1" t="s">
        <v>562</v>
      </c>
      <c r="AZ2" s="1" t="s">
        <v>563</v>
      </c>
      <c r="BA2" s="1" t="s">
        <v>564</v>
      </c>
    </row>
    <row r="3" spans="1:53">
      <c r="B3" t="s">
        <v>1016</v>
      </c>
      <c r="C3" s="1"/>
      <c r="D3" s="1"/>
      <c r="E3" s="1"/>
      <c r="F3" s="1"/>
      <c r="G3" s="1"/>
      <c r="H3" s="1"/>
      <c r="I3" s="1"/>
      <c r="J3" s="1"/>
      <c r="K3" s="3">
        <f>K4+K5</f>
        <v>1515</v>
      </c>
      <c r="L3" s="3">
        <f>L4+L5</f>
        <v>2009</v>
      </c>
      <c r="M3" s="3">
        <f>M4+M5</f>
        <v>1850</v>
      </c>
      <c r="N3" s="3">
        <f>N4+N5</f>
        <v>2239</v>
      </c>
      <c r="O3" s="1"/>
      <c r="P3" s="1"/>
      <c r="Q3" s="1"/>
      <c r="R3" s="2"/>
      <c r="S3" s="2"/>
      <c r="T3" s="2"/>
      <c r="U3" s="2"/>
      <c r="V3" s="2"/>
      <c r="W3" s="2"/>
      <c r="X3" s="2"/>
      <c r="Y3" s="2"/>
      <c r="Z3" s="2"/>
      <c r="AA3" s="2"/>
      <c r="AD3" s="3">
        <f t="shared" ref="AD3:AQ3" si="0">+AD4+AD5</f>
        <v>407</v>
      </c>
      <c r="AE3" s="3">
        <f t="shared" si="0"/>
        <v>251</v>
      </c>
      <c r="AF3" s="3">
        <f t="shared" si="0"/>
        <v>270</v>
      </c>
      <c r="AG3" s="3">
        <f t="shared" si="0"/>
        <v>587</v>
      </c>
      <c r="AH3" s="3">
        <f t="shared" si="0"/>
        <v>549</v>
      </c>
      <c r="AI3" s="3">
        <f t="shared" si="0"/>
        <v>314</v>
      </c>
      <c r="AJ3" s="3">
        <f t="shared" si="0"/>
        <v>355</v>
      </c>
      <c r="AK3" s="3">
        <f t="shared" si="0"/>
        <v>791</v>
      </c>
      <c r="AL3" s="3">
        <f t="shared" si="0"/>
        <v>466</v>
      </c>
      <c r="AM3" s="3">
        <f t="shared" si="0"/>
        <v>370</v>
      </c>
      <c r="AN3" s="3">
        <f t="shared" si="0"/>
        <v>339</v>
      </c>
      <c r="AO3" s="3">
        <f t="shared" si="0"/>
        <v>675</v>
      </c>
      <c r="AP3" s="3">
        <f t="shared" si="0"/>
        <v>797</v>
      </c>
      <c r="AQ3" s="3">
        <f t="shared" si="0"/>
        <v>424</v>
      </c>
      <c r="AR3" s="1"/>
      <c r="AS3" s="1"/>
      <c r="AT3" s="1"/>
      <c r="AU3" s="1"/>
      <c r="AV3" s="1"/>
      <c r="AW3" s="1"/>
      <c r="AX3" s="1"/>
      <c r="AY3" s="1"/>
      <c r="AZ3" s="1"/>
      <c r="BA3" s="1"/>
    </row>
    <row r="4" spans="1:53">
      <c r="B4" s="134" t="s">
        <v>1007</v>
      </c>
      <c r="C4" s="3"/>
      <c r="D4" s="3"/>
      <c r="E4" s="3"/>
      <c r="F4" s="3"/>
      <c r="G4" s="3"/>
      <c r="H4" s="3"/>
      <c r="I4" s="3"/>
      <c r="J4" s="3"/>
      <c r="K4" s="3">
        <v>1146</v>
      </c>
      <c r="L4" s="3">
        <v>1577</v>
      </c>
      <c r="M4" s="3">
        <v>1394</v>
      </c>
      <c r="N4" s="3">
        <v>1700</v>
      </c>
      <c r="O4" s="3"/>
      <c r="P4" s="3"/>
      <c r="Q4" s="3"/>
      <c r="R4" s="3"/>
      <c r="S4" s="3"/>
      <c r="T4" s="3"/>
      <c r="U4" s="3"/>
      <c r="V4" s="3"/>
      <c r="W4" s="3"/>
      <c r="X4" s="3"/>
      <c r="Y4" s="3"/>
      <c r="Z4" s="3"/>
      <c r="AA4" s="3"/>
      <c r="AD4" s="3">
        <v>299</v>
      </c>
      <c r="AE4" s="3">
        <v>160</v>
      </c>
      <c r="AF4" s="3">
        <v>203</v>
      </c>
      <c r="AG4" s="3">
        <v>484</v>
      </c>
      <c r="AH4" s="3">
        <v>427</v>
      </c>
      <c r="AI4" s="3">
        <v>215</v>
      </c>
      <c r="AJ4" s="3">
        <v>270</v>
      </c>
      <c r="AK4" s="3">
        <v>665</v>
      </c>
      <c r="AL4" s="3">
        <v>335</v>
      </c>
      <c r="AM4" s="3">
        <v>260</v>
      </c>
      <c r="AN4" s="3">
        <v>254</v>
      </c>
      <c r="AO4" s="3">
        <v>545</v>
      </c>
      <c r="AP4" s="3">
        <v>632</v>
      </c>
      <c r="AQ4" s="3">
        <v>294</v>
      </c>
      <c r="AR4" s="3"/>
      <c r="AS4" s="3"/>
      <c r="AT4" s="3"/>
      <c r="AU4" s="3"/>
      <c r="AV4" s="3"/>
      <c r="AW4" s="3"/>
      <c r="AX4" s="3"/>
      <c r="AY4" s="3"/>
      <c r="AZ4" s="3"/>
      <c r="BA4" s="3"/>
    </row>
    <row r="5" spans="1:53">
      <c r="B5" s="134" t="s">
        <v>1008</v>
      </c>
      <c r="C5" s="3"/>
      <c r="D5" s="3"/>
      <c r="E5" s="3"/>
      <c r="F5" s="3"/>
      <c r="G5" s="3"/>
      <c r="H5" s="3"/>
      <c r="I5" s="3"/>
      <c r="J5" s="3"/>
      <c r="K5" s="3">
        <v>369</v>
      </c>
      <c r="L5" s="3">
        <v>432</v>
      </c>
      <c r="M5" s="3">
        <v>456</v>
      </c>
      <c r="N5" s="3">
        <v>539</v>
      </c>
      <c r="O5" s="3"/>
      <c r="P5" s="3"/>
      <c r="Q5" s="3"/>
      <c r="R5" s="3"/>
      <c r="S5" s="3"/>
      <c r="T5" s="3"/>
      <c r="U5" s="3"/>
      <c r="V5" s="3"/>
      <c r="W5" s="3"/>
      <c r="X5" s="3"/>
      <c r="Y5" s="3"/>
      <c r="Z5" s="3"/>
      <c r="AA5" s="3"/>
      <c r="AD5" s="3">
        <v>108</v>
      </c>
      <c r="AE5" s="3">
        <v>91</v>
      </c>
      <c r="AF5" s="3">
        <v>67</v>
      </c>
      <c r="AG5" s="3">
        <v>103</v>
      </c>
      <c r="AH5" s="3">
        <v>122</v>
      </c>
      <c r="AI5" s="3">
        <v>99</v>
      </c>
      <c r="AJ5" s="3">
        <v>85</v>
      </c>
      <c r="AK5" s="3">
        <v>126</v>
      </c>
      <c r="AL5" s="3">
        <v>131</v>
      </c>
      <c r="AM5" s="3">
        <v>110</v>
      </c>
      <c r="AN5" s="3">
        <v>85</v>
      </c>
      <c r="AO5" s="3">
        <v>130</v>
      </c>
      <c r="AP5" s="3">
        <v>165</v>
      </c>
      <c r="AQ5" s="3">
        <v>130</v>
      </c>
      <c r="AR5" s="3"/>
      <c r="AS5" s="3"/>
      <c r="AT5" s="3"/>
      <c r="AU5" s="3"/>
      <c r="AV5" s="3"/>
      <c r="AW5" s="3"/>
      <c r="AX5" s="3"/>
      <c r="AY5" s="3"/>
      <c r="AZ5" s="3"/>
      <c r="BA5" s="3"/>
    </row>
  </sheetData>
  <phoneticPr fontId="3" type="noConversion"/>
  <hyperlinks>
    <hyperlink ref="A1" location="Main!A1" display="Main" xr:uid="{00000000-0004-0000-1D00-000000000000}"/>
  </hyperlinks>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7F8C1-CB86-4C78-B846-4E22CF62C088}">
  <dimension ref="A1:C8"/>
  <sheetViews>
    <sheetView workbookViewId="0"/>
  </sheetViews>
  <sheetFormatPr baseColWidth="10" defaultColWidth="8.83203125" defaultRowHeight="13"/>
  <cols>
    <col min="1" max="1" width="5" bestFit="1" customWidth="1"/>
    <col min="2" max="2" width="12" bestFit="1" customWidth="1"/>
  </cols>
  <sheetData>
    <row r="1" spans="1:3">
      <c r="A1" s="16" t="s">
        <v>0</v>
      </c>
    </row>
    <row r="2" spans="1:3">
      <c r="B2" t="s">
        <v>1398</v>
      </c>
    </row>
    <row r="3" spans="1:3">
      <c r="B3" t="s">
        <v>1399</v>
      </c>
      <c r="C3" t="s">
        <v>1550</v>
      </c>
    </row>
    <row r="4" spans="1:3">
      <c r="B4" t="s">
        <v>5</v>
      </c>
      <c r="C4" t="s">
        <v>1551</v>
      </c>
    </row>
    <row r="5" spans="1:3">
      <c r="B5" t="s">
        <v>933</v>
      </c>
    </row>
    <row r="6" spans="1:3">
      <c r="C6" s="38" t="s">
        <v>1552</v>
      </c>
    </row>
    <row r="8" spans="1:3">
      <c r="C8" s="38" t="s">
        <v>1553</v>
      </c>
    </row>
  </sheetData>
  <hyperlinks>
    <hyperlink ref="A1" location="Main!A1" display="Main" xr:uid="{306CA307-F553-4499-9467-F4FA42159EEB}"/>
  </hyperlinks>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BT6"/>
  <sheetViews>
    <sheetView workbookViewId="0"/>
  </sheetViews>
  <sheetFormatPr baseColWidth="10" defaultColWidth="9.1640625" defaultRowHeight="13"/>
  <cols>
    <col min="1" max="1" width="5.83203125" style="4" customWidth="1"/>
    <col min="2" max="2" width="12.83203125" style="4" bestFit="1" customWidth="1"/>
    <col min="3" max="14" width="5" style="4" bestFit="1" customWidth="1"/>
    <col min="15" max="15" width="6.33203125" style="4" bestFit="1" customWidth="1"/>
    <col min="16" max="18" width="5" style="4" bestFit="1" customWidth="1"/>
    <col min="19" max="24" width="5.5" style="4" bestFit="1" customWidth="1"/>
    <col min="25" max="27" width="5" style="4" bestFit="1" customWidth="1"/>
    <col min="28" max="28" width="5.83203125" style="4" bestFit="1" customWidth="1"/>
    <col min="29" max="72" width="5.5" style="4" bestFit="1" customWidth="1"/>
    <col min="73" max="16384" width="9.1640625" style="4"/>
  </cols>
  <sheetData>
    <row r="1" spans="1:72">
      <c r="A1" s="13" t="s">
        <v>0</v>
      </c>
    </row>
    <row r="3" spans="1:72">
      <c r="C3" s="6">
        <v>1994</v>
      </c>
      <c r="D3" s="6">
        <v>1995</v>
      </c>
      <c r="E3" s="6">
        <v>1996</v>
      </c>
      <c r="F3" s="6">
        <v>1997</v>
      </c>
      <c r="G3" s="6">
        <v>1998</v>
      </c>
      <c r="H3" s="6">
        <v>1999</v>
      </c>
      <c r="I3" s="6">
        <v>2000</v>
      </c>
      <c r="J3" s="6">
        <v>2001</v>
      </c>
      <c r="K3" s="6">
        <v>2002</v>
      </c>
      <c r="L3" s="6">
        <v>2003</v>
      </c>
      <c r="M3" s="6">
        <v>2004</v>
      </c>
      <c r="N3" s="6">
        <v>2005</v>
      </c>
      <c r="O3" s="6" t="s">
        <v>1006</v>
      </c>
      <c r="P3" s="6">
        <v>2007</v>
      </c>
      <c r="Q3" s="6">
        <v>2008</v>
      </c>
      <c r="R3" s="18">
        <v>2009</v>
      </c>
      <c r="S3" s="18">
        <v>2010</v>
      </c>
      <c r="T3" s="18">
        <v>2011</v>
      </c>
      <c r="U3" s="18">
        <v>2012</v>
      </c>
      <c r="V3" s="18">
        <v>2013</v>
      </c>
      <c r="W3" s="18">
        <v>2014</v>
      </c>
      <c r="X3" s="18">
        <v>2015</v>
      </c>
      <c r="Y3" s="18">
        <v>2016</v>
      </c>
      <c r="Z3" s="18">
        <v>2017</v>
      </c>
      <c r="AA3" s="18">
        <v>2018</v>
      </c>
      <c r="AB3" s="4" t="s">
        <v>603</v>
      </c>
      <c r="AC3" s="6" t="s">
        <v>533</v>
      </c>
      <c r="AD3" s="6" t="s">
        <v>534</v>
      </c>
      <c r="AE3" s="6" t="s">
        <v>535</v>
      </c>
      <c r="AF3" s="6" t="s">
        <v>536</v>
      </c>
      <c r="AG3" s="6" t="s">
        <v>537</v>
      </c>
      <c r="AH3" s="6" t="s">
        <v>538</v>
      </c>
      <c r="AI3" s="6" t="s">
        <v>539</v>
      </c>
      <c r="AJ3" s="6" t="s">
        <v>540</v>
      </c>
      <c r="AK3" s="6" t="s">
        <v>541</v>
      </c>
      <c r="AL3" s="6" t="s">
        <v>542</v>
      </c>
      <c r="AM3" s="6" t="s">
        <v>543</v>
      </c>
      <c r="AN3" s="6" t="s">
        <v>544</v>
      </c>
      <c r="AO3" s="6" t="s">
        <v>545</v>
      </c>
      <c r="AP3" s="6" t="s">
        <v>546</v>
      </c>
      <c r="AQ3" s="6" t="s">
        <v>547</v>
      </c>
      <c r="AR3" s="6" t="s">
        <v>548</v>
      </c>
      <c r="AS3" s="6" t="s">
        <v>549</v>
      </c>
      <c r="AT3" s="6" t="s">
        <v>550</v>
      </c>
      <c r="AU3" s="6" t="s">
        <v>551</v>
      </c>
      <c r="AV3" s="6" t="s">
        <v>552</v>
      </c>
      <c r="AW3" s="6" t="s">
        <v>553</v>
      </c>
      <c r="AX3" s="6" t="s">
        <v>554</v>
      </c>
      <c r="AY3" s="6" t="s">
        <v>555</v>
      </c>
      <c r="AZ3" s="6" t="s">
        <v>556</v>
      </c>
      <c r="BA3" s="6" t="s">
        <v>557</v>
      </c>
      <c r="BB3" s="6" t="s">
        <v>558</v>
      </c>
      <c r="BC3" s="6" t="s">
        <v>559</v>
      </c>
      <c r="BD3" s="6" t="s">
        <v>560</v>
      </c>
      <c r="BE3" s="6" t="s">
        <v>561</v>
      </c>
      <c r="BF3" s="6" t="s">
        <v>562</v>
      </c>
      <c r="BG3" s="6" t="s">
        <v>563</v>
      </c>
      <c r="BH3" s="6" t="s">
        <v>564</v>
      </c>
      <c r="BI3" s="6" t="s">
        <v>565</v>
      </c>
      <c r="BJ3" s="6" t="s">
        <v>566</v>
      </c>
      <c r="BK3" s="6" t="s">
        <v>567</v>
      </c>
      <c r="BL3" s="59" t="s">
        <v>568</v>
      </c>
      <c r="BM3" s="6" t="s">
        <v>569</v>
      </c>
      <c r="BN3" s="6" t="s">
        <v>570</v>
      </c>
      <c r="BO3" s="6" t="s">
        <v>571</v>
      </c>
      <c r="BP3" s="6" t="s">
        <v>572</v>
      </c>
      <c r="BQ3" s="6" t="s">
        <v>573</v>
      </c>
      <c r="BR3" s="6" t="s">
        <v>574</v>
      </c>
      <c r="BS3" s="6" t="s">
        <v>575</v>
      </c>
      <c r="BT3" s="6" t="s">
        <v>576</v>
      </c>
    </row>
    <row r="4" spans="1:72">
      <c r="B4" s="4" t="s">
        <v>677</v>
      </c>
      <c r="C4" s="19"/>
      <c r="D4" s="19"/>
      <c r="E4" s="19"/>
      <c r="F4" s="19"/>
      <c r="G4" s="19"/>
      <c r="H4" s="19"/>
      <c r="I4" s="19"/>
      <c r="J4" s="19"/>
      <c r="K4" s="19">
        <v>551</v>
      </c>
      <c r="L4" s="19">
        <v>481</v>
      </c>
      <c r="M4" s="19">
        <v>735</v>
      </c>
      <c r="N4" s="19">
        <v>822</v>
      </c>
      <c r="O4" s="19">
        <v>863.1</v>
      </c>
      <c r="P4" s="19">
        <v>906.255</v>
      </c>
      <c r="Q4" s="19">
        <v>951.56775000000016</v>
      </c>
      <c r="R4" s="19">
        <v>999.14613750000024</v>
      </c>
      <c r="S4" s="19">
        <v>1049.1034443750002</v>
      </c>
      <c r="T4" s="19">
        <v>1101.5586165937502</v>
      </c>
      <c r="U4" s="19">
        <v>1156.6365474234378</v>
      </c>
      <c r="V4" s="19">
        <v>1214.4683747946099</v>
      </c>
      <c r="W4" s="19">
        <v>1275.1917935343404</v>
      </c>
      <c r="X4" s="19">
        <v>1338.9513832110574</v>
      </c>
      <c r="Y4" s="19">
        <v>803.37082992663443</v>
      </c>
      <c r="Z4" s="19">
        <v>321.34833197065382</v>
      </c>
      <c r="AA4" s="19">
        <v>64.269666394130766</v>
      </c>
      <c r="AC4" s="6"/>
      <c r="AD4" s="6"/>
      <c r="AE4" s="6"/>
      <c r="AF4" s="6"/>
      <c r="AG4" s="6"/>
      <c r="AH4" s="6"/>
      <c r="AI4" s="6"/>
      <c r="AJ4" s="6"/>
      <c r="AK4" s="6"/>
      <c r="AL4" s="6"/>
      <c r="AM4" s="6"/>
      <c r="AN4" s="6"/>
      <c r="AO4" s="6"/>
      <c r="AP4" s="6"/>
      <c r="AQ4" s="6"/>
      <c r="AS4" s="19">
        <v>117</v>
      </c>
      <c r="AT4" s="19">
        <v>133</v>
      </c>
      <c r="AU4" s="19">
        <v>136</v>
      </c>
      <c r="AV4" s="19">
        <v>165</v>
      </c>
      <c r="AW4" s="19">
        <v>140</v>
      </c>
      <c r="AX4" s="19">
        <v>89</v>
      </c>
      <c r="AY4" s="19">
        <v>187</v>
      </c>
      <c r="AZ4" s="19">
        <v>205</v>
      </c>
      <c r="BA4" s="19">
        <v>179</v>
      </c>
      <c r="BB4" s="19">
        <v>180</v>
      </c>
      <c r="BC4" s="19">
        <v>176</v>
      </c>
      <c r="BD4" s="19">
        <v>200</v>
      </c>
      <c r="BE4" s="133">
        <v>203</v>
      </c>
      <c r="BH4" s="19">
        <v>204</v>
      </c>
      <c r="BI4" s="19">
        <v>197</v>
      </c>
      <c r="BJ4" s="6"/>
      <c r="BL4" s="133">
        <v>209</v>
      </c>
      <c r="BM4" s="19"/>
      <c r="BN4" s="19"/>
      <c r="BO4" s="19"/>
      <c r="BP4" s="19"/>
      <c r="BQ4" s="19"/>
      <c r="BR4" s="19"/>
      <c r="BS4" s="19"/>
      <c r="BT4" s="19"/>
    </row>
    <row r="5" spans="1:72">
      <c r="B5" s="111" t="s">
        <v>1007</v>
      </c>
      <c r="C5" s="19"/>
      <c r="D5" s="19"/>
      <c r="E5" s="19"/>
      <c r="F5" s="19"/>
      <c r="G5" s="19"/>
      <c r="H5" s="19"/>
      <c r="I5" s="19"/>
      <c r="J5" s="19"/>
      <c r="K5" s="19">
        <v>147</v>
      </c>
      <c r="L5" s="19">
        <v>162</v>
      </c>
      <c r="M5" s="19">
        <v>208</v>
      </c>
      <c r="N5" s="19">
        <v>245</v>
      </c>
      <c r="O5" s="19"/>
      <c r="P5" s="19"/>
      <c r="Q5" s="19"/>
      <c r="R5" s="19"/>
      <c r="S5" s="19"/>
      <c r="T5" s="19"/>
      <c r="U5" s="19"/>
      <c r="V5" s="19"/>
      <c r="W5" s="19"/>
      <c r="X5" s="19"/>
      <c r="Y5" s="19"/>
      <c r="Z5" s="19"/>
      <c r="AA5" s="19"/>
      <c r="AC5" s="6"/>
      <c r="AD5" s="6"/>
      <c r="AE5" s="6"/>
      <c r="AF5" s="6"/>
      <c r="AG5" s="6"/>
      <c r="AH5" s="6"/>
      <c r="AI5" s="6"/>
      <c r="AJ5" s="6"/>
      <c r="AK5" s="6"/>
      <c r="AL5" s="6"/>
      <c r="AM5" s="6"/>
      <c r="AN5" s="6"/>
      <c r="AO5" s="6"/>
      <c r="AP5" s="6"/>
      <c r="AQ5" s="6"/>
      <c r="BA5" s="19"/>
      <c r="BB5" s="19"/>
      <c r="BC5" s="19"/>
      <c r="BD5" s="19"/>
      <c r="BE5" s="14"/>
      <c r="BJ5" s="6"/>
      <c r="BL5" s="133"/>
      <c r="BM5" s="19"/>
      <c r="BN5" s="19"/>
      <c r="BO5" s="19"/>
      <c r="BP5" s="19"/>
      <c r="BQ5" s="19"/>
      <c r="BR5" s="19"/>
      <c r="BS5" s="19"/>
      <c r="BT5" s="19"/>
    </row>
    <row r="6" spans="1:72">
      <c r="B6" s="111" t="s">
        <v>1008</v>
      </c>
      <c r="C6" s="19"/>
      <c r="D6" s="19"/>
      <c r="E6" s="19"/>
      <c r="F6" s="19"/>
      <c r="G6" s="19"/>
      <c r="H6" s="19"/>
      <c r="I6" s="19"/>
      <c r="J6" s="19"/>
      <c r="K6" s="19">
        <v>404</v>
      </c>
      <c r="L6" s="19">
        <v>319</v>
      </c>
      <c r="M6" s="19">
        <v>527</v>
      </c>
      <c r="N6" s="19">
        <v>577</v>
      </c>
      <c r="O6" s="19"/>
      <c r="P6" s="19"/>
      <c r="Q6" s="19"/>
      <c r="R6" s="19"/>
      <c r="S6" s="19"/>
      <c r="T6" s="19"/>
      <c r="U6" s="19"/>
      <c r="V6" s="19"/>
      <c r="W6" s="19"/>
      <c r="X6" s="19"/>
      <c r="Y6" s="19"/>
      <c r="Z6" s="19"/>
      <c r="AA6" s="19"/>
      <c r="AC6" s="6"/>
      <c r="AD6" s="6"/>
      <c r="AE6" s="6"/>
      <c r="AF6" s="6"/>
      <c r="AG6" s="6"/>
      <c r="AH6" s="6"/>
      <c r="AI6" s="6"/>
      <c r="AJ6" s="6"/>
      <c r="AK6" s="6"/>
      <c r="AL6" s="6"/>
      <c r="AM6" s="6"/>
      <c r="AN6" s="6"/>
      <c r="AO6" s="6"/>
      <c r="AP6" s="6"/>
      <c r="AQ6" s="6"/>
      <c r="BA6" s="19"/>
      <c r="BB6" s="19"/>
      <c r="BC6" s="19"/>
      <c r="BD6" s="19"/>
      <c r="BE6" s="14"/>
      <c r="BJ6" s="6"/>
      <c r="BL6" s="133"/>
      <c r="BM6" s="19"/>
      <c r="BN6" s="19"/>
      <c r="BO6" s="19"/>
      <c r="BP6" s="19"/>
      <c r="BQ6" s="19"/>
      <c r="BR6" s="19"/>
      <c r="BS6" s="19"/>
      <c r="BT6" s="19"/>
    </row>
  </sheetData>
  <phoneticPr fontId="3" type="noConversion"/>
  <hyperlinks>
    <hyperlink ref="A1" location="Main!A1" display="Main" xr:uid="{00000000-0004-0000-1E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2"/>
  <dimension ref="A1:BT4"/>
  <sheetViews>
    <sheetView workbookViewId="0">
      <selection activeCell="B3" sqref="B3"/>
    </sheetView>
  </sheetViews>
  <sheetFormatPr baseColWidth="10" defaultColWidth="9.1640625" defaultRowHeight="13" outlineLevelRow="1"/>
  <cols>
    <col min="1" max="1" width="5" style="4" bestFit="1" customWidth="1"/>
    <col min="2" max="2" width="21" style="4" bestFit="1" customWidth="1"/>
    <col min="3" max="27" width="5" style="4" bestFit="1" customWidth="1"/>
    <col min="28" max="28" width="5.83203125" style="4" bestFit="1" customWidth="1"/>
    <col min="29" max="72" width="5.5" style="4" bestFit="1" customWidth="1"/>
    <col min="73" max="16384" width="9.1640625" style="4"/>
  </cols>
  <sheetData>
    <row r="1" spans="1:72">
      <c r="A1" s="13" t="s">
        <v>0</v>
      </c>
      <c r="C1" s="6">
        <v>1994</v>
      </c>
      <c r="D1" s="6">
        <v>1995</v>
      </c>
      <c r="E1" s="6">
        <v>1996</v>
      </c>
      <c r="F1" s="6">
        <v>1997</v>
      </c>
      <c r="G1" s="6">
        <v>1998</v>
      </c>
      <c r="H1" s="6">
        <v>1999</v>
      </c>
      <c r="I1" s="6">
        <v>2000</v>
      </c>
      <c r="J1" s="6">
        <v>2001</v>
      </c>
      <c r="K1" s="6">
        <v>2002</v>
      </c>
      <c r="L1" s="6">
        <v>2003</v>
      </c>
      <c r="M1" s="6">
        <v>2004</v>
      </c>
      <c r="N1" s="6">
        <v>2005</v>
      </c>
      <c r="O1" s="6">
        <v>2006</v>
      </c>
      <c r="P1" s="6">
        <v>2007</v>
      </c>
      <c r="Q1" s="6">
        <v>2008</v>
      </c>
      <c r="R1" s="18">
        <v>2009</v>
      </c>
      <c r="S1" s="18">
        <v>2010</v>
      </c>
      <c r="T1" s="18">
        <v>2011</v>
      </c>
      <c r="U1" s="18">
        <v>2012</v>
      </c>
      <c r="V1" s="18">
        <v>2013</v>
      </c>
      <c r="W1" s="18">
        <v>2014</v>
      </c>
      <c r="X1" s="18">
        <v>2015</v>
      </c>
      <c r="Y1" s="18">
        <v>2016</v>
      </c>
      <c r="Z1" s="18">
        <v>2017</v>
      </c>
      <c r="AA1" s="18">
        <v>2018</v>
      </c>
      <c r="AB1" s="4" t="s">
        <v>603</v>
      </c>
      <c r="AC1" s="6" t="s">
        <v>533</v>
      </c>
      <c r="AD1" s="6" t="s">
        <v>534</v>
      </c>
      <c r="AE1" s="6" t="s">
        <v>535</v>
      </c>
      <c r="AF1" s="6" t="s">
        <v>536</v>
      </c>
      <c r="AG1" s="6" t="s">
        <v>537</v>
      </c>
      <c r="AH1" s="6" t="s">
        <v>538</v>
      </c>
      <c r="AI1" s="6" t="s">
        <v>539</v>
      </c>
      <c r="AJ1" s="6" t="s">
        <v>540</v>
      </c>
      <c r="AK1" s="6" t="s">
        <v>541</v>
      </c>
      <c r="AL1" s="6" t="s">
        <v>542</v>
      </c>
      <c r="AM1" s="6" t="s">
        <v>543</v>
      </c>
      <c r="AN1" s="6" t="s">
        <v>544</v>
      </c>
      <c r="AO1" s="6" t="s">
        <v>545</v>
      </c>
      <c r="AP1" s="6" t="s">
        <v>546</v>
      </c>
      <c r="AQ1" s="6" t="s">
        <v>547</v>
      </c>
      <c r="AR1" s="6" t="s">
        <v>548</v>
      </c>
      <c r="AS1" s="6" t="s">
        <v>549</v>
      </c>
      <c r="AT1" s="6" t="s">
        <v>550</v>
      </c>
      <c r="AU1" s="6" t="s">
        <v>551</v>
      </c>
      <c r="AV1" s="6" t="s">
        <v>552</v>
      </c>
      <c r="AW1" s="6" t="s">
        <v>553</v>
      </c>
      <c r="AX1" s="6" t="s">
        <v>554</v>
      </c>
      <c r="AY1" s="6" t="s">
        <v>555</v>
      </c>
      <c r="AZ1" s="6" t="s">
        <v>556</v>
      </c>
      <c r="BA1" s="6" t="s">
        <v>557</v>
      </c>
      <c r="BB1" s="6" t="s">
        <v>558</v>
      </c>
      <c r="BC1" s="6" t="s">
        <v>559</v>
      </c>
      <c r="BD1" s="6" t="s">
        <v>560</v>
      </c>
      <c r="BE1" s="6" t="s">
        <v>561</v>
      </c>
      <c r="BF1" s="6" t="s">
        <v>562</v>
      </c>
      <c r="BG1" s="6" t="s">
        <v>563</v>
      </c>
      <c r="BH1" s="6" t="s">
        <v>564</v>
      </c>
      <c r="BI1" s="6" t="s">
        <v>565</v>
      </c>
      <c r="BJ1" s="6" t="s">
        <v>566</v>
      </c>
      <c r="BK1" s="6" t="s">
        <v>567</v>
      </c>
      <c r="BL1" s="59" t="s">
        <v>568</v>
      </c>
      <c r="BM1" s="6" t="s">
        <v>569</v>
      </c>
      <c r="BN1" s="6" t="s">
        <v>570</v>
      </c>
      <c r="BO1" s="6" t="s">
        <v>571</v>
      </c>
      <c r="BP1" s="6" t="s">
        <v>572</v>
      </c>
      <c r="BQ1" s="6" t="s">
        <v>573</v>
      </c>
      <c r="BR1" s="6" t="s">
        <v>574</v>
      </c>
      <c r="BS1" s="6" t="s">
        <v>575</v>
      </c>
      <c r="BT1" s="6" t="s">
        <v>576</v>
      </c>
    </row>
    <row r="2" spans="1:72" collapsed="1">
      <c r="B2" s="4" t="s">
        <v>754</v>
      </c>
      <c r="C2" s="19"/>
      <c r="D2" s="19"/>
      <c r="E2" s="19"/>
      <c r="F2" s="19"/>
      <c r="G2" s="19"/>
      <c r="H2" s="19"/>
      <c r="I2" s="19"/>
      <c r="J2" s="19"/>
      <c r="K2" s="19">
        <v>669</v>
      </c>
      <c r="L2" s="19">
        <v>707</v>
      </c>
      <c r="M2" s="19">
        <v>665</v>
      </c>
      <c r="N2" s="19">
        <v>362</v>
      </c>
      <c r="O2" s="19">
        <v>217.2</v>
      </c>
      <c r="P2" s="19">
        <v>272</v>
      </c>
      <c r="Q2" s="19">
        <v>54.4</v>
      </c>
      <c r="R2" s="19">
        <v>10.88</v>
      </c>
      <c r="S2" s="19">
        <v>2.1760000000000006</v>
      </c>
      <c r="T2" s="19">
        <v>0.43520000000000014</v>
      </c>
      <c r="U2" s="19">
        <v>8.7040000000000034E-2</v>
      </c>
      <c r="V2" s="19">
        <v>1.7408000000000007E-2</v>
      </c>
      <c r="W2" s="19">
        <v>3.4816000000000014E-3</v>
      </c>
      <c r="X2" s="19"/>
      <c r="Y2" s="19"/>
      <c r="Z2" s="19"/>
      <c r="AA2" s="19"/>
      <c r="AC2" s="6"/>
      <c r="AD2" s="6"/>
      <c r="AE2" s="6"/>
      <c r="AF2" s="6"/>
      <c r="AG2" s="6"/>
      <c r="AH2" s="6"/>
      <c r="AI2" s="6"/>
      <c r="AJ2" s="6"/>
      <c r="AK2" s="6"/>
      <c r="AL2" s="6"/>
      <c r="AM2" s="6"/>
      <c r="AN2" s="6"/>
      <c r="AO2" s="6"/>
      <c r="AP2" s="6">
        <v>141</v>
      </c>
      <c r="AQ2" s="6"/>
      <c r="AS2" s="19"/>
      <c r="AT2" s="19"/>
      <c r="AU2" s="19"/>
      <c r="AV2" s="19"/>
      <c r="AW2" s="19">
        <v>170</v>
      </c>
      <c r="AX2" s="19">
        <v>150</v>
      </c>
      <c r="AY2" s="19">
        <v>179</v>
      </c>
      <c r="AZ2" s="19">
        <v>208</v>
      </c>
      <c r="BA2" s="19">
        <v>191</v>
      </c>
      <c r="BB2" s="19">
        <v>153</v>
      </c>
      <c r="BC2" s="19">
        <v>157</v>
      </c>
      <c r="BD2" s="19">
        <v>165</v>
      </c>
      <c r="BE2" s="133">
        <v>100</v>
      </c>
      <c r="BF2" s="19">
        <v>73</v>
      </c>
      <c r="BG2" s="19">
        <v>77</v>
      </c>
      <c r="BH2" s="19">
        <v>44</v>
      </c>
      <c r="BI2" s="19">
        <v>68</v>
      </c>
      <c r="BJ2" s="19"/>
      <c r="BK2" s="133">
        <v>61</v>
      </c>
      <c r="BL2" s="133">
        <v>68</v>
      </c>
      <c r="BM2" s="19">
        <v>68</v>
      </c>
      <c r="BN2" s="19">
        <v>68</v>
      </c>
      <c r="BO2" s="19">
        <v>68</v>
      </c>
      <c r="BP2" s="19">
        <v>68</v>
      </c>
      <c r="BQ2" s="6"/>
      <c r="BR2" s="6"/>
      <c r="BS2" s="6"/>
      <c r="BT2" s="6"/>
    </row>
    <row r="3" spans="1:72" outlineLevel="1">
      <c r="B3" s="111" t="s">
        <v>1007</v>
      </c>
      <c r="C3" s="19"/>
      <c r="D3" s="19"/>
      <c r="E3" s="19"/>
      <c r="F3" s="19"/>
      <c r="G3" s="19"/>
      <c r="H3" s="19"/>
      <c r="I3" s="19"/>
      <c r="J3" s="19"/>
      <c r="K3" s="19">
        <v>430</v>
      </c>
      <c r="L3" s="19">
        <v>444</v>
      </c>
      <c r="M3" s="19">
        <v>387</v>
      </c>
      <c r="N3" s="19">
        <v>89</v>
      </c>
      <c r="O3" s="19"/>
      <c r="P3" s="19"/>
      <c r="Q3" s="19"/>
      <c r="R3" s="19"/>
      <c r="S3" s="19"/>
      <c r="T3" s="19"/>
      <c r="U3" s="19"/>
      <c r="V3" s="19"/>
      <c r="W3" s="19"/>
      <c r="X3" s="19"/>
      <c r="Y3" s="19"/>
      <c r="Z3" s="19"/>
      <c r="AA3" s="19"/>
      <c r="AC3" s="6"/>
      <c r="AD3" s="6"/>
      <c r="AE3" s="6"/>
      <c r="AF3" s="6"/>
      <c r="AG3" s="6"/>
      <c r="AH3" s="6"/>
      <c r="AI3" s="6"/>
      <c r="AJ3" s="6"/>
      <c r="AK3" s="6"/>
      <c r="AL3" s="6"/>
      <c r="AM3" s="6"/>
      <c r="AN3" s="6"/>
      <c r="AO3" s="6"/>
      <c r="AP3" s="6"/>
      <c r="AQ3" s="6"/>
      <c r="AS3" s="19"/>
      <c r="AT3" s="19"/>
      <c r="AU3" s="19"/>
      <c r="AV3" s="19"/>
      <c r="AW3" s="19">
        <v>113</v>
      </c>
      <c r="AX3" s="19">
        <v>87</v>
      </c>
      <c r="AY3" s="19">
        <v>111</v>
      </c>
      <c r="AZ3" s="19">
        <v>133</v>
      </c>
      <c r="BA3" s="19">
        <v>125</v>
      </c>
      <c r="BB3" s="19">
        <v>81</v>
      </c>
      <c r="BC3" s="19">
        <v>91</v>
      </c>
      <c r="BD3" s="19"/>
      <c r="BE3" s="133"/>
      <c r="BF3" s="19"/>
      <c r="BG3" s="19"/>
      <c r="BH3" s="19"/>
      <c r="BI3" s="19"/>
      <c r="BJ3" s="19"/>
      <c r="BK3" s="19"/>
      <c r="BL3" s="133"/>
      <c r="BM3" s="19"/>
      <c r="BN3" s="19"/>
      <c r="BO3" s="19"/>
      <c r="BP3" s="19"/>
      <c r="BQ3" s="19"/>
      <c r="BR3" s="19"/>
      <c r="BS3" s="19"/>
      <c r="BT3" s="19"/>
    </row>
    <row r="4" spans="1:72" outlineLevel="1">
      <c r="B4" s="111" t="s">
        <v>1008</v>
      </c>
      <c r="C4" s="19"/>
      <c r="D4" s="19"/>
      <c r="E4" s="19"/>
      <c r="F4" s="19"/>
      <c r="G4" s="19"/>
      <c r="H4" s="19"/>
      <c r="I4" s="19"/>
      <c r="J4" s="19"/>
      <c r="K4" s="19">
        <v>239</v>
      </c>
      <c r="L4" s="19">
        <v>263</v>
      </c>
      <c r="M4" s="19">
        <v>279</v>
      </c>
      <c r="N4" s="19">
        <v>273</v>
      </c>
      <c r="O4" s="19"/>
      <c r="P4" s="19"/>
      <c r="Q4" s="19"/>
      <c r="R4" s="19"/>
      <c r="S4" s="19"/>
      <c r="T4" s="19"/>
      <c r="U4" s="19"/>
      <c r="V4" s="19"/>
      <c r="W4" s="19"/>
      <c r="X4" s="19"/>
      <c r="Y4" s="19"/>
      <c r="Z4" s="19"/>
      <c r="AA4" s="19"/>
      <c r="AC4" s="6"/>
      <c r="AD4" s="6"/>
      <c r="AE4" s="6"/>
      <c r="AF4" s="6"/>
      <c r="AG4" s="6"/>
      <c r="AH4" s="6"/>
      <c r="AI4" s="6"/>
      <c r="AJ4" s="6"/>
      <c r="AK4" s="6"/>
      <c r="AL4" s="6"/>
      <c r="AM4" s="6"/>
      <c r="AN4" s="6"/>
      <c r="AO4" s="6"/>
      <c r="AP4" s="6"/>
      <c r="AQ4" s="6"/>
      <c r="AS4" s="19"/>
      <c r="AT4" s="19"/>
      <c r="AU4" s="19"/>
      <c r="AV4" s="19"/>
      <c r="AW4" s="19">
        <v>57</v>
      </c>
      <c r="AX4" s="19">
        <v>63</v>
      </c>
      <c r="AY4" s="19">
        <v>68</v>
      </c>
      <c r="AZ4" s="19">
        <v>75</v>
      </c>
      <c r="BA4" s="19">
        <v>66</v>
      </c>
      <c r="BB4" s="19">
        <v>72</v>
      </c>
      <c r="BC4" s="19">
        <v>66</v>
      </c>
      <c r="BD4" s="19"/>
      <c r="BE4" s="133"/>
      <c r="BF4" s="19"/>
      <c r="BG4" s="19"/>
      <c r="BH4" s="19"/>
      <c r="BI4" s="19"/>
      <c r="BJ4" s="19"/>
      <c r="BK4" s="19"/>
      <c r="BL4" s="133"/>
      <c r="BM4" s="19"/>
      <c r="BN4" s="19"/>
      <c r="BO4" s="19"/>
      <c r="BP4" s="19"/>
      <c r="BQ4" s="19"/>
      <c r="BR4" s="19"/>
      <c r="BS4" s="19"/>
      <c r="BT4" s="19"/>
    </row>
  </sheetData>
  <phoneticPr fontId="3" type="noConversion"/>
  <hyperlinks>
    <hyperlink ref="A1" location="Main!A1" display="Main" xr:uid="{00000000-0004-0000-2000-000000000000}"/>
  </hyperlinks>
  <pageMargins left="0.75" right="0.75" top="1" bottom="1" header="0.5" footer="0.5"/>
  <headerFooter alignWithMargins="0"/>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3"/>
  <dimension ref="A1:C6"/>
  <sheetViews>
    <sheetView workbookViewId="0"/>
  </sheetViews>
  <sheetFormatPr baseColWidth="10" defaultColWidth="8.83203125" defaultRowHeight="13"/>
  <cols>
    <col min="1" max="1" width="5" bestFit="1" customWidth="1"/>
    <col min="2" max="2" width="12" bestFit="1" customWidth="1"/>
  </cols>
  <sheetData>
    <row r="1" spans="1:3">
      <c r="A1" s="16" t="s">
        <v>0</v>
      </c>
    </row>
    <row r="2" spans="1:3">
      <c r="B2" t="s">
        <v>2</v>
      </c>
      <c r="C2" t="s">
        <v>18</v>
      </c>
    </row>
    <row r="3" spans="1:3">
      <c r="B3" t="s">
        <v>6</v>
      </c>
      <c r="C3" t="s">
        <v>388</v>
      </c>
    </row>
    <row r="4" spans="1:3">
      <c r="B4" t="s">
        <v>885</v>
      </c>
      <c r="C4" t="s">
        <v>113</v>
      </c>
    </row>
    <row r="5" spans="1:3">
      <c r="B5" t="s">
        <v>933</v>
      </c>
    </row>
    <row r="6" spans="1:3">
      <c r="C6" s="38" t="s">
        <v>1192</v>
      </c>
    </row>
  </sheetData>
  <phoneticPr fontId="3" type="noConversion"/>
  <hyperlinks>
    <hyperlink ref="A1" location="Main!A1" display="Main" xr:uid="{00000000-0004-0000-21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1"/>
  <dimension ref="A1:C13"/>
  <sheetViews>
    <sheetView workbookViewId="0">
      <selection activeCell="B6" sqref="B6"/>
    </sheetView>
  </sheetViews>
  <sheetFormatPr baseColWidth="10" defaultColWidth="9.1640625" defaultRowHeight="13"/>
  <cols>
    <col min="1" max="1" width="5" style="4" bestFit="1" customWidth="1"/>
    <col min="2" max="2" width="12.83203125" style="4" bestFit="1" customWidth="1"/>
    <col min="3" max="16384" width="9.1640625" style="4"/>
  </cols>
  <sheetData>
    <row r="1" spans="1:3">
      <c r="A1" s="13" t="s">
        <v>0</v>
      </c>
    </row>
    <row r="2" spans="1:3">
      <c r="B2" s="4" t="s">
        <v>2</v>
      </c>
      <c r="C2" s="4" t="s">
        <v>1184</v>
      </c>
    </row>
    <row r="3" spans="1:3">
      <c r="B3" s="4" t="s">
        <v>3</v>
      </c>
      <c r="C3" s="4" t="s">
        <v>410</v>
      </c>
    </row>
    <row r="4" spans="1:3">
      <c r="B4" s="4" t="s">
        <v>885</v>
      </c>
      <c r="C4" s="4" t="s">
        <v>1185</v>
      </c>
    </row>
    <row r="5" spans="1:3">
      <c r="B5" s="14" t="s">
        <v>6</v>
      </c>
      <c r="C5" s="14" t="s">
        <v>1186</v>
      </c>
    </row>
    <row r="6" spans="1:3">
      <c r="B6" s="14" t="s">
        <v>295</v>
      </c>
      <c r="C6" s="14" t="s">
        <v>1187</v>
      </c>
    </row>
    <row r="7" spans="1:3">
      <c r="B7" s="4" t="s">
        <v>933</v>
      </c>
    </row>
    <row r="8" spans="1:3">
      <c r="C8" s="22" t="s">
        <v>1188</v>
      </c>
    </row>
    <row r="11" spans="1:3">
      <c r="C11" s="22" t="s">
        <v>1189</v>
      </c>
    </row>
    <row r="12" spans="1:3">
      <c r="C12" s="4" t="s">
        <v>1190</v>
      </c>
    </row>
    <row r="13" spans="1:3">
      <c r="C13" s="4" t="s">
        <v>1191</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4"/>
  <dimension ref="B5:C7"/>
  <sheetViews>
    <sheetView workbookViewId="0">
      <selection activeCell="A8" sqref="A8"/>
    </sheetView>
  </sheetViews>
  <sheetFormatPr baseColWidth="10" defaultColWidth="8.83203125" defaultRowHeight="13"/>
  <cols>
    <col min="2" max="2" width="9.83203125" bestFit="1" customWidth="1"/>
  </cols>
  <sheetData>
    <row r="5" spans="2:3">
      <c r="B5" t="s">
        <v>1233</v>
      </c>
      <c r="C5" s="36">
        <v>37712</v>
      </c>
    </row>
    <row r="6" spans="2:3">
      <c r="B6" t="s">
        <v>1234</v>
      </c>
      <c r="C6" s="36">
        <v>38018</v>
      </c>
    </row>
    <row r="7" spans="2:3">
      <c r="B7" t="s">
        <v>1235</v>
      </c>
      <c r="C7" s="36">
        <v>38596</v>
      </c>
    </row>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20"/>
  <sheetViews>
    <sheetView workbookViewId="0">
      <selection activeCell="I7" sqref="I7"/>
    </sheetView>
  </sheetViews>
  <sheetFormatPr baseColWidth="10" defaultColWidth="8.83203125" defaultRowHeight="13"/>
  <cols>
    <col min="1" max="1" width="5" bestFit="1" customWidth="1"/>
    <col min="2" max="2" width="19" bestFit="1" customWidth="1"/>
    <col min="3" max="3" width="17" customWidth="1"/>
    <col min="4" max="5" width="14" customWidth="1"/>
    <col min="13" max="13" width="10.1640625" bestFit="1" customWidth="1"/>
    <col min="15" max="15" width="10.1640625" bestFit="1" customWidth="1"/>
  </cols>
  <sheetData>
    <row r="1" spans="1:7">
      <c r="A1" s="16" t="s">
        <v>0</v>
      </c>
    </row>
    <row r="2" spans="1:7">
      <c r="B2" s="102" t="s">
        <v>248</v>
      </c>
      <c r="C2" s="102" t="s">
        <v>249</v>
      </c>
      <c r="D2" s="102" t="s">
        <v>250</v>
      </c>
      <c r="E2" s="102" t="s">
        <v>251</v>
      </c>
      <c r="F2" s="102" t="s">
        <v>252</v>
      </c>
      <c r="G2" s="102" t="s">
        <v>253</v>
      </c>
    </row>
    <row r="3" spans="1:7">
      <c r="B3" s="102" t="s">
        <v>254</v>
      </c>
      <c r="C3" s="102" t="s">
        <v>255</v>
      </c>
      <c r="D3" s="102"/>
      <c r="E3" s="102"/>
    </row>
    <row r="4" spans="1:7">
      <c r="B4" s="102" t="s">
        <v>256</v>
      </c>
      <c r="C4" s="102" t="s">
        <v>257</v>
      </c>
      <c r="D4" s="102" t="s">
        <v>258</v>
      </c>
      <c r="E4" s="102"/>
    </row>
    <row r="6" spans="1:7">
      <c r="B6" s="102" t="s">
        <v>259</v>
      </c>
    </row>
    <row r="7" spans="1:7">
      <c r="B7" s="102" t="s">
        <v>260</v>
      </c>
    </row>
    <row r="8" spans="1:7">
      <c r="B8" s="102" t="s">
        <v>261</v>
      </c>
    </row>
    <row r="9" spans="1:7">
      <c r="B9" s="102" t="s">
        <v>262</v>
      </c>
    </row>
    <row r="11" spans="1:7">
      <c r="B11" s="102" t="s">
        <v>263</v>
      </c>
    </row>
    <row r="12" spans="1:7">
      <c r="B12" s="102" t="s">
        <v>264</v>
      </c>
    </row>
    <row r="13" spans="1:7">
      <c r="B13" s="102" t="s">
        <v>265</v>
      </c>
    </row>
    <row r="14" spans="1:7">
      <c r="B14" s="102" t="s">
        <v>266</v>
      </c>
    </row>
    <row r="17" spans="2:17">
      <c r="B17" t="s">
        <v>267</v>
      </c>
      <c r="C17" t="s">
        <v>268</v>
      </c>
      <c r="D17" t="s">
        <v>269</v>
      </c>
      <c r="E17" t="s">
        <v>270</v>
      </c>
      <c r="F17" t="s">
        <v>271</v>
      </c>
      <c r="G17" t="s">
        <v>272</v>
      </c>
      <c r="H17" t="s">
        <v>273</v>
      </c>
      <c r="I17" t="s">
        <v>274</v>
      </c>
      <c r="J17" t="s">
        <v>275</v>
      </c>
      <c r="K17" t="s">
        <v>276</v>
      </c>
      <c r="L17" t="s">
        <v>277</v>
      </c>
      <c r="M17" t="s">
        <v>278</v>
      </c>
      <c r="N17" t="s">
        <v>279</v>
      </c>
      <c r="O17" t="s">
        <v>280</v>
      </c>
      <c r="P17" t="s">
        <v>281</v>
      </c>
      <c r="Q17" t="s">
        <v>282</v>
      </c>
    </row>
    <row r="18" spans="2:17">
      <c r="B18" t="s">
        <v>283</v>
      </c>
      <c r="C18" s="30">
        <v>50131</v>
      </c>
      <c r="D18" s="30">
        <v>39163</v>
      </c>
      <c r="E18" t="s">
        <v>284</v>
      </c>
      <c r="F18">
        <v>2000</v>
      </c>
      <c r="G18" s="71">
        <v>5.9499999999999997E-2</v>
      </c>
      <c r="H18">
        <v>112.127</v>
      </c>
      <c r="I18" s="71">
        <v>5.11E-2</v>
      </c>
      <c r="J18" t="s">
        <v>285</v>
      </c>
      <c r="K18" t="s">
        <v>286</v>
      </c>
      <c r="L18">
        <v>8.2880000000000003</v>
      </c>
      <c r="M18" s="30">
        <v>39736</v>
      </c>
      <c r="N18">
        <v>4.8120000000000003</v>
      </c>
      <c r="O18" s="30">
        <v>39808</v>
      </c>
      <c r="P18" s="71">
        <v>4.02E-2</v>
      </c>
      <c r="Q18" s="71">
        <f>+I18-P18</f>
        <v>1.09E-2</v>
      </c>
    </row>
    <row r="19" spans="2:17">
      <c r="B19" t="s">
        <v>287</v>
      </c>
      <c r="C19" s="30">
        <v>50559</v>
      </c>
      <c r="D19" s="30">
        <v>39960</v>
      </c>
      <c r="E19" t="s">
        <v>288</v>
      </c>
      <c r="F19">
        <v>1500</v>
      </c>
      <c r="G19" s="71">
        <v>6.5000000000000002E-2</v>
      </c>
      <c r="H19">
        <v>119.6</v>
      </c>
      <c r="I19" s="71">
        <v>5.16E-2</v>
      </c>
      <c r="J19" t="s">
        <v>289</v>
      </c>
      <c r="K19" t="s">
        <v>286</v>
      </c>
      <c r="L19">
        <v>6.3940000000000001</v>
      </c>
      <c r="M19" s="30">
        <v>39961</v>
      </c>
      <c r="N19">
        <v>5.0620000000000003</v>
      </c>
      <c r="O19" s="30">
        <v>40042</v>
      </c>
      <c r="P19" s="71">
        <v>4.0300000000000002E-2</v>
      </c>
      <c r="Q19" s="71">
        <f>+I19-P19</f>
        <v>1.1299999999999998E-2</v>
      </c>
    </row>
    <row r="20" spans="2:17">
      <c r="B20" t="s">
        <v>290</v>
      </c>
      <c r="C20" s="30">
        <v>50844</v>
      </c>
      <c r="D20" s="30">
        <v>39889</v>
      </c>
      <c r="E20" s="30" t="s">
        <v>291</v>
      </c>
      <c r="F20">
        <v>2500</v>
      </c>
      <c r="G20" s="71">
        <v>7.1999999999999995E-2</v>
      </c>
      <c r="H20">
        <v>129.31700000000001</v>
      </c>
      <c r="I20" s="71">
        <v>5.2200000000000003E-2</v>
      </c>
      <c r="J20" t="s">
        <v>289</v>
      </c>
      <c r="K20" t="s">
        <v>286</v>
      </c>
      <c r="L20">
        <v>6.9489999999999998</v>
      </c>
      <c r="M20" s="30">
        <v>39897</v>
      </c>
      <c r="N20">
        <v>5.21</v>
      </c>
      <c r="O20" s="30">
        <v>40053</v>
      </c>
      <c r="P20" s="71">
        <v>4.0399999999999998E-2</v>
      </c>
      <c r="Q20" s="71">
        <f>+I20-P20</f>
        <v>1.1800000000000005E-2</v>
      </c>
    </row>
  </sheetData>
  <hyperlinks>
    <hyperlink ref="A1" location="Main!A1" display="Main" xr:uid="{00000000-0004-0000-02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6"/>
  <dimension ref="B2:F12"/>
  <sheetViews>
    <sheetView workbookViewId="0">
      <selection activeCell="F13" sqref="F13"/>
    </sheetView>
  </sheetViews>
  <sheetFormatPr baseColWidth="10" defaultColWidth="8.83203125" defaultRowHeight="13"/>
  <cols>
    <col min="2" max="2" width="10.6640625" style="127" customWidth="1"/>
    <col min="3" max="3" width="33.33203125" customWidth="1"/>
    <col min="4" max="4" width="10.5" bestFit="1" customWidth="1"/>
  </cols>
  <sheetData>
    <row r="2" spans="2:6">
      <c r="B2" s="127" t="s">
        <v>1303</v>
      </c>
      <c r="C2" t="s">
        <v>1304</v>
      </c>
      <c r="D2" t="s">
        <v>241</v>
      </c>
      <c r="E2" t="s">
        <v>1305</v>
      </c>
      <c r="F2" t="s">
        <v>603</v>
      </c>
    </row>
    <row r="3" spans="2:6">
      <c r="B3" s="127">
        <v>11365263</v>
      </c>
      <c r="C3" t="s">
        <v>1306</v>
      </c>
      <c r="D3" s="30">
        <v>44141</v>
      </c>
      <c r="E3">
        <v>2</v>
      </c>
    </row>
    <row r="4" spans="2:6">
      <c r="B4" s="127">
        <v>11365253</v>
      </c>
      <c r="C4" t="s">
        <v>1307</v>
      </c>
      <c r="D4" s="30">
        <v>43259</v>
      </c>
      <c r="E4">
        <v>6</v>
      </c>
    </row>
    <row r="5" spans="2:6">
      <c r="B5" s="127">
        <v>11364303</v>
      </c>
      <c r="C5" t="s">
        <v>1308</v>
      </c>
      <c r="D5" s="30">
        <v>43367</v>
      </c>
      <c r="E5">
        <v>3</v>
      </c>
    </row>
    <row r="6" spans="2:6">
      <c r="B6" s="127">
        <v>11359024</v>
      </c>
      <c r="C6" t="s">
        <v>1309</v>
      </c>
      <c r="D6" s="30">
        <v>43713</v>
      </c>
      <c r="E6">
        <v>5</v>
      </c>
    </row>
    <row r="7" spans="2:6">
      <c r="B7" s="127">
        <v>11351149</v>
      </c>
      <c r="C7" t="s">
        <v>1310</v>
      </c>
      <c r="D7" s="30">
        <v>44413</v>
      </c>
      <c r="E7">
        <v>3</v>
      </c>
      <c r="F7" t="s">
        <v>1311</v>
      </c>
    </row>
    <row r="8" spans="2:6">
      <c r="B8" s="127">
        <v>11339159</v>
      </c>
      <c r="C8" t="s">
        <v>1312</v>
      </c>
      <c r="D8" s="30">
        <v>44025</v>
      </c>
      <c r="E8">
        <v>3</v>
      </c>
    </row>
    <row r="9" spans="2:6">
      <c r="B9" s="127">
        <v>11326185</v>
      </c>
      <c r="C9" t="s">
        <v>1313</v>
      </c>
      <c r="D9" s="30">
        <v>43404</v>
      </c>
      <c r="E9">
        <v>2</v>
      </c>
      <c r="F9" t="s">
        <v>1314</v>
      </c>
    </row>
    <row r="10" spans="2:6">
      <c r="B10" s="127">
        <v>11325909</v>
      </c>
      <c r="C10" t="s">
        <v>1315</v>
      </c>
      <c r="D10" s="30">
        <v>43418</v>
      </c>
      <c r="E10">
        <v>3</v>
      </c>
      <c r="F10" t="s">
        <v>1316</v>
      </c>
    </row>
    <row r="11" spans="2:6">
      <c r="B11" s="127">
        <v>11312782</v>
      </c>
      <c r="C11" t="s">
        <v>1317</v>
      </c>
      <c r="D11" s="30">
        <v>43570</v>
      </c>
      <c r="E11">
        <v>3</v>
      </c>
      <c r="F11" t="s">
        <v>1318</v>
      </c>
    </row>
    <row r="12" spans="2:6">
      <c r="B12" s="127">
        <v>11312713</v>
      </c>
      <c r="C12" t="s">
        <v>1319</v>
      </c>
      <c r="D12" s="30">
        <v>43165</v>
      </c>
      <c r="E12">
        <v>7</v>
      </c>
      <c r="F12" t="s">
        <v>1320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M82"/>
  <sheetViews>
    <sheetView tabSelected="1" zoomScale="160" zoomScaleNormal="160" workbookViewId="0">
      <selection activeCell="K4" sqref="K4"/>
    </sheetView>
  </sheetViews>
  <sheetFormatPr baseColWidth="10" defaultColWidth="8.83203125" defaultRowHeight="13"/>
  <cols>
    <col min="1" max="1" width="2.33203125" customWidth="1"/>
    <col min="2" max="2" width="27.5" customWidth="1"/>
    <col min="3" max="3" width="23.1640625" customWidth="1"/>
    <col min="4" max="4" width="24.5" bestFit="1" customWidth="1"/>
    <col min="5" max="5" width="8.6640625" customWidth="1"/>
    <col min="6" max="6" width="14" customWidth="1"/>
    <col min="7" max="7" width="8.6640625" style="1" customWidth="1"/>
    <col min="8" max="8" width="23.6640625" customWidth="1"/>
    <col min="9" max="9" width="2.83203125" customWidth="1"/>
    <col min="10" max="10" width="9" bestFit="1" customWidth="1"/>
    <col min="11" max="11" width="8.1640625" customWidth="1"/>
    <col min="12" max="12" width="8" customWidth="1"/>
  </cols>
  <sheetData>
    <row r="1" spans="1:13">
      <c r="A1" s="102"/>
    </row>
    <row r="2" spans="1:13">
      <c r="B2" s="142" t="s">
        <v>267</v>
      </c>
      <c r="C2" s="143" t="s">
        <v>5</v>
      </c>
      <c r="D2" s="143" t="s">
        <v>292</v>
      </c>
      <c r="E2" s="143" t="s">
        <v>293</v>
      </c>
      <c r="F2" s="143" t="s">
        <v>294</v>
      </c>
      <c r="G2" s="143" t="s">
        <v>296</v>
      </c>
      <c r="H2" s="144" t="s">
        <v>297</v>
      </c>
      <c r="J2" t="s">
        <v>273</v>
      </c>
      <c r="K2" s="145">
        <v>28</v>
      </c>
    </row>
    <row r="3" spans="1:13">
      <c r="B3" s="191" t="s">
        <v>1353</v>
      </c>
      <c r="C3" s="150" t="s">
        <v>1402</v>
      </c>
      <c r="D3" s="150" t="s">
        <v>1403</v>
      </c>
      <c r="E3" s="151" t="s">
        <v>1404</v>
      </c>
      <c r="F3" s="148"/>
      <c r="G3" s="150" t="s">
        <v>305</v>
      </c>
      <c r="H3" s="189" t="s">
        <v>1405</v>
      </c>
      <c r="J3" t="s">
        <v>299</v>
      </c>
      <c r="K3" s="57">
        <v>5666.6949999999997</v>
      </c>
      <c r="L3" s="135" t="s">
        <v>1608</v>
      </c>
    </row>
    <row r="4" spans="1:13">
      <c r="B4" s="192" t="s">
        <v>1424</v>
      </c>
      <c r="C4" s="150" t="s">
        <v>402</v>
      </c>
      <c r="D4" s="150" t="s">
        <v>403</v>
      </c>
      <c r="E4" s="151">
        <v>1</v>
      </c>
      <c r="F4" s="150"/>
      <c r="G4" s="150" t="s">
        <v>141</v>
      </c>
      <c r="H4" s="153"/>
      <c r="J4" t="s">
        <v>306</v>
      </c>
      <c r="K4" s="57">
        <f>K3*K2</f>
        <v>158667.46</v>
      </c>
    </row>
    <row r="5" spans="1:13">
      <c r="B5" s="146" t="s">
        <v>322</v>
      </c>
      <c r="C5" s="150" t="s">
        <v>323</v>
      </c>
      <c r="D5" s="150" t="s">
        <v>324</v>
      </c>
      <c r="E5" s="151" t="s">
        <v>325</v>
      </c>
      <c r="F5" s="148">
        <v>36573</v>
      </c>
      <c r="G5" s="150" t="s">
        <v>326</v>
      </c>
      <c r="H5" s="153" t="s">
        <v>324</v>
      </c>
      <c r="J5" t="s">
        <v>310</v>
      </c>
      <c r="K5" s="134">
        <f>Model!DH148</f>
        <v>18248</v>
      </c>
      <c r="L5" s="135" t="s">
        <v>1608</v>
      </c>
      <c r="M5" s="149"/>
    </row>
    <row r="6" spans="1:13">
      <c r="B6" s="146" t="s">
        <v>327</v>
      </c>
      <c r="C6" s="150" t="s">
        <v>323</v>
      </c>
      <c r="D6" s="150" t="s">
        <v>324</v>
      </c>
      <c r="E6" s="147">
        <v>1</v>
      </c>
      <c r="F6" s="148">
        <v>40233</v>
      </c>
      <c r="G6" s="150" t="s">
        <v>326</v>
      </c>
      <c r="H6" s="153" t="s">
        <v>324</v>
      </c>
      <c r="J6" t="s">
        <v>314</v>
      </c>
      <c r="K6" s="57">
        <f>Model!DH158</f>
        <v>69450</v>
      </c>
      <c r="L6" s="135" t="s">
        <v>1608</v>
      </c>
    </row>
    <row r="7" spans="1:13">
      <c r="B7" s="192" t="s">
        <v>1427</v>
      </c>
      <c r="C7" s="150" t="s">
        <v>1402</v>
      </c>
      <c r="D7" s="150" t="s">
        <v>1411</v>
      </c>
      <c r="E7" s="147">
        <v>1</v>
      </c>
      <c r="F7" s="152"/>
      <c r="G7" s="150" t="s">
        <v>141</v>
      </c>
      <c r="H7" s="153"/>
      <c r="J7" t="s">
        <v>318</v>
      </c>
      <c r="K7" s="57">
        <f>K4-K5+K6</f>
        <v>209869.46</v>
      </c>
    </row>
    <row r="8" spans="1:13">
      <c r="B8" s="156" t="s">
        <v>404</v>
      </c>
      <c r="C8" s="154" t="s">
        <v>405</v>
      </c>
      <c r="D8" s="150" t="s">
        <v>406</v>
      </c>
      <c r="E8" s="147">
        <v>1</v>
      </c>
      <c r="F8" s="150"/>
      <c r="G8" s="150" t="s">
        <v>141</v>
      </c>
      <c r="H8" s="153"/>
      <c r="K8" s="145"/>
    </row>
    <row r="9" spans="1:13">
      <c r="B9" s="146" t="s">
        <v>390</v>
      </c>
      <c r="C9" s="150" t="s">
        <v>391</v>
      </c>
      <c r="D9" s="150" t="s">
        <v>392</v>
      </c>
      <c r="E9" s="151" t="s">
        <v>393</v>
      </c>
      <c r="F9" s="148">
        <v>41271</v>
      </c>
      <c r="G9" s="150" t="s">
        <v>141</v>
      </c>
      <c r="H9" s="153"/>
      <c r="J9" s="102" t="s">
        <v>1391</v>
      </c>
    </row>
    <row r="10" spans="1:13">
      <c r="B10" s="146" t="s">
        <v>301</v>
      </c>
      <c r="C10" s="150" t="s">
        <v>302</v>
      </c>
      <c r="D10" s="150" t="s">
        <v>303</v>
      </c>
      <c r="E10" s="151" t="s">
        <v>304</v>
      </c>
      <c r="F10" s="152">
        <v>36101</v>
      </c>
      <c r="G10" s="150" t="s">
        <v>305</v>
      </c>
      <c r="H10" s="153"/>
      <c r="J10" s="102" t="s">
        <v>1517</v>
      </c>
    </row>
    <row r="11" spans="1:13">
      <c r="B11" s="146" t="s">
        <v>307</v>
      </c>
      <c r="C11" s="150" t="s">
        <v>302</v>
      </c>
      <c r="D11" s="150" t="s">
        <v>308</v>
      </c>
      <c r="E11" s="151">
        <v>1</v>
      </c>
      <c r="F11" s="148">
        <v>41219</v>
      </c>
      <c r="G11" s="150" t="s">
        <v>141</v>
      </c>
      <c r="H11" s="153"/>
      <c r="J11" s="102" t="s">
        <v>1570</v>
      </c>
    </row>
    <row r="12" spans="1:13">
      <c r="B12" s="146" t="s">
        <v>311</v>
      </c>
      <c r="C12" s="150" t="s">
        <v>312</v>
      </c>
      <c r="D12" s="150" t="s">
        <v>313</v>
      </c>
      <c r="E12" s="151">
        <v>1</v>
      </c>
      <c r="F12" s="148">
        <v>40935</v>
      </c>
      <c r="G12" s="150" t="s">
        <v>141</v>
      </c>
      <c r="H12" s="153"/>
    </row>
    <row r="13" spans="1:13">
      <c r="B13" s="146" t="s">
        <v>315</v>
      </c>
      <c r="C13" s="150" t="s">
        <v>116</v>
      </c>
      <c r="D13" s="150" t="s">
        <v>316</v>
      </c>
      <c r="E13" s="151">
        <v>1</v>
      </c>
      <c r="F13" s="148">
        <v>40781</v>
      </c>
      <c r="G13" s="150" t="s">
        <v>141</v>
      </c>
      <c r="H13" s="153" t="s">
        <v>317</v>
      </c>
    </row>
    <row r="14" spans="1:13">
      <c r="B14" s="146" t="s">
        <v>319</v>
      </c>
      <c r="C14" s="1" t="s">
        <v>320</v>
      </c>
      <c r="D14" s="1" t="s">
        <v>321</v>
      </c>
      <c r="E14" s="147">
        <v>1</v>
      </c>
      <c r="F14" s="152">
        <v>38743</v>
      </c>
      <c r="G14" s="1" t="s">
        <v>141</v>
      </c>
      <c r="H14" s="153" t="s">
        <v>1440</v>
      </c>
    </row>
    <row r="15" spans="1:13">
      <c r="B15" s="156" t="s">
        <v>333</v>
      </c>
      <c r="C15" s="150" t="s">
        <v>334</v>
      </c>
      <c r="D15" s="150" t="s">
        <v>335</v>
      </c>
      <c r="E15" s="147">
        <v>1</v>
      </c>
      <c r="F15" s="152">
        <v>35822</v>
      </c>
      <c r="G15" s="150" t="s">
        <v>336</v>
      </c>
      <c r="H15" s="153" t="s">
        <v>216</v>
      </c>
    </row>
    <row r="16" spans="1:13">
      <c r="B16" s="156" t="s">
        <v>337</v>
      </c>
      <c r="C16" s="150" t="s">
        <v>338</v>
      </c>
      <c r="D16" s="150" t="s">
        <v>339</v>
      </c>
      <c r="E16" s="147">
        <v>1</v>
      </c>
      <c r="F16" s="152">
        <v>35472</v>
      </c>
      <c r="G16" s="150" t="s">
        <v>209</v>
      </c>
      <c r="H16" s="153" t="s">
        <v>216</v>
      </c>
    </row>
    <row r="17" spans="2:10">
      <c r="B17" s="156" t="s">
        <v>340</v>
      </c>
      <c r="C17" s="150" t="s">
        <v>338</v>
      </c>
      <c r="D17" s="150" t="s">
        <v>341</v>
      </c>
      <c r="E17" s="151" t="s">
        <v>342</v>
      </c>
      <c r="F17" s="152"/>
      <c r="G17" s="150" t="s">
        <v>209</v>
      </c>
      <c r="H17" s="153" t="s">
        <v>216</v>
      </c>
    </row>
    <row r="18" spans="2:10">
      <c r="B18" s="146" t="s">
        <v>358</v>
      </c>
      <c r="C18" s="1" t="s">
        <v>359</v>
      </c>
      <c r="D18" s="150" t="s">
        <v>360</v>
      </c>
      <c r="E18" s="147">
        <v>1</v>
      </c>
      <c r="F18" s="148">
        <v>36634</v>
      </c>
      <c r="G18" s="150" t="s">
        <v>220</v>
      </c>
      <c r="H18" s="153"/>
    </row>
    <row r="19" spans="2:10">
      <c r="B19" s="146" t="s">
        <v>361</v>
      </c>
      <c r="C19" s="1" t="s">
        <v>362</v>
      </c>
      <c r="D19" s="1" t="s">
        <v>363</v>
      </c>
      <c r="E19" s="147">
        <v>1</v>
      </c>
      <c r="F19" s="152">
        <v>38847</v>
      </c>
      <c r="G19" s="1" t="s">
        <v>141</v>
      </c>
      <c r="H19" s="161" t="s">
        <v>364</v>
      </c>
    </row>
    <row r="20" spans="2:10">
      <c r="B20" s="146" t="s">
        <v>371</v>
      </c>
      <c r="C20" s="150" t="s">
        <v>218</v>
      </c>
      <c r="D20" s="150" t="s">
        <v>207</v>
      </c>
      <c r="E20" s="147">
        <v>1</v>
      </c>
      <c r="F20" s="152">
        <v>37380</v>
      </c>
      <c r="G20" s="150" t="s">
        <v>220</v>
      </c>
      <c r="H20" s="153"/>
    </row>
    <row r="21" spans="2:10">
      <c r="B21" s="146" t="s">
        <v>372</v>
      </c>
      <c r="C21" s="1" t="s">
        <v>373</v>
      </c>
      <c r="D21" s="1" t="s">
        <v>350</v>
      </c>
      <c r="E21" s="147" t="s">
        <v>374</v>
      </c>
      <c r="F21" s="1">
        <v>2008</v>
      </c>
      <c r="G21" s="150" t="s">
        <v>141</v>
      </c>
      <c r="H21" s="153"/>
    </row>
    <row r="22" spans="2:10">
      <c r="B22" s="156" t="s">
        <v>1429</v>
      </c>
      <c r="C22" s="150" t="s">
        <v>407</v>
      </c>
      <c r="D22" s="150" t="s">
        <v>1430</v>
      </c>
      <c r="E22" s="147">
        <v>1</v>
      </c>
      <c r="F22" s="150"/>
      <c r="H22" s="153"/>
    </row>
    <row r="23" spans="2:10">
      <c r="B23" s="192" t="s">
        <v>1455</v>
      </c>
      <c r="C23" s="150" t="s">
        <v>1457</v>
      </c>
      <c r="D23" s="150" t="s">
        <v>1458</v>
      </c>
      <c r="E23" s="151" t="s">
        <v>1456</v>
      </c>
      <c r="F23" s="150"/>
      <c r="G23" s="150" t="s">
        <v>141</v>
      </c>
      <c r="H23" s="153"/>
    </row>
    <row r="24" spans="2:10" s="118" customFormat="1">
      <c r="B24" s="156" t="s">
        <v>1433</v>
      </c>
      <c r="C24" s="150" t="s">
        <v>402</v>
      </c>
      <c r="D24" s="150" t="s">
        <v>413</v>
      </c>
      <c r="E24" s="147">
        <v>1</v>
      </c>
      <c r="F24" s="150"/>
      <c r="G24" s="150" t="s">
        <v>209</v>
      </c>
      <c r="H24" s="153"/>
    </row>
    <row r="25" spans="2:10" s="118" customFormat="1">
      <c r="B25" s="156" t="s">
        <v>1543</v>
      </c>
      <c r="C25" s="150" t="s">
        <v>1544</v>
      </c>
      <c r="D25" s="150" t="s">
        <v>324</v>
      </c>
      <c r="E25" s="147">
        <v>1</v>
      </c>
      <c r="F25" s="150"/>
      <c r="G25" s="150"/>
      <c r="H25" s="153"/>
    </row>
    <row r="26" spans="2:10" s="118" customFormat="1">
      <c r="B26" s="156" t="s">
        <v>1545</v>
      </c>
      <c r="C26" s="150" t="s">
        <v>166</v>
      </c>
      <c r="D26" s="150" t="s">
        <v>1546</v>
      </c>
      <c r="E26" s="147">
        <v>1</v>
      </c>
      <c r="F26" s="150" t="s">
        <v>1547</v>
      </c>
      <c r="G26" s="150" t="s">
        <v>141</v>
      </c>
      <c r="H26" s="153"/>
    </row>
    <row r="27" spans="2:10" s="118" customFormat="1">
      <c r="B27" s="156" t="s">
        <v>1531</v>
      </c>
      <c r="C27" s="150" t="s">
        <v>334</v>
      </c>
      <c r="D27" s="150" t="s">
        <v>1534</v>
      </c>
      <c r="E27" s="151" t="s">
        <v>1532</v>
      </c>
      <c r="F27" s="150"/>
      <c r="G27" s="150" t="s">
        <v>1533</v>
      </c>
      <c r="H27" s="153"/>
    </row>
    <row r="28" spans="2:10">
      <c r="B28" s="192" t="s">
        <v>1528</v>
      </c>
      <c r="C28" s="150" t="s">
        <v>151</v>
      </c>
      <c r="D28" s="150" t="s">
        <v>316</v>
      </c>
      <c r="E28" s="151">
        <v>1</v>
      </c>
      <c r="F28" s="150"/>
      <c r="G28" s="150" t="s">
        <v>141</v>
      </c>
      <c r="H28" s="153"/>
    </row>
    <row r="29" spans="2:10" s="168" customFormat="1">
      <c r="B29" s="156" t="s">
        <v>1432</v>
      </c>
      <c r="C29" s="150" t="s">
        <v>412</v>
      </c>
      <c r="D29" s="150" t="s">
        <v>324</v>
      </c>
      <c r="E29" s="147">
        <v>1</v>
      </c>
      <c r="F29" s="150"/>
      <c r="G29" s="1"/>
      <c r="H29" s="153"/>
      <c r="J29" s="102" t="s">
        <v>1498</v>
      </c>
    </row>
    <row r="30" spans="2:10" s="118" customFormat="1">
      <c r="B30" s="156" t="s">
        <v>1436</v>
      </c>
      <c r="C30" s="150" t="s">
        <v>454</v>
      </c>
      <c r="D30" s="150" t="s">
        <v>455</v>
      </c>
      <c r="E30" s="151">
        <v>1</v>
      </c>
      <c r="F30" s="150"/>
      <c r="G30" s="150"/>
      <c r="H30" s="153"/>
      <c r="J30" s="102" t="s">
        <v>1567</v>
      </c>
    </row>
    <row r="31" spans="2:10" s="118" customFormat="1">
      <c r="B31" s="156" t="s">
        <v>1437</v>
      </c>
      <c r="C31" s="150" t="s">
        <v>151</v>
      </c>
      <c r="D31" s="150" t="s">
        <v>508</v>
      </c>
      <c r="E31" s="151">
        <v>1</v>
      </c>
      <c r="F31" s="150"/>
      <c r="G31" s="150"/>
      <c r="H31" s="153"/>
      <c r="J31" s="102" t="s">
        <v>1569</v>
      </c>
    </row>
    <row r="32" spans="2:10">
      <c r="B32" s="156" t="s">
        <v>378</v>
      </c>
      <c r="C32" s="150" t="s">
        <v>379</v>
      </c>
      <c r="D32" s="150" t="s">
        <v>380</v>
      </c>
      <c r="E32" s="151">
        <v>1</v>
      </c>
      <c r="F32" s="1">
        <v>1984</v>
      </c>
      <c r="G32" s="150" t="s">
        <v>141</v>
      </c>
      <c r="H32" s="153" t="s">
        <v>216</v>
      </c>
      <c r="J32" s="102" t="s">
        <v>1417</v>
      </c>
    </row>
    <row r="33" spans="2:10">
      <c r="B33" s="156" t="s">
        <v>1602</v>
      </c>
      <c r="C33" s="150" t="s">
        <v>1603</v>
      </c>
      <c r="D33" s="150" t="s">
        <v>1285</v>
      </c>
      <c r="E33" s="151">
        <v>1</v>
      </c>
      <c r="F33" s="1"/>
      <c r="G33" s="150"/>
      <c r="H33" s="153"/>
      <c r="J33" s="102"/>
    </row>
    <row r="34" spans="2:10" s="118" customFormat="1">
      <c r="B34" s="156" t="s">
        <v>1589</v>
      </c>
      <c r="C34" s="150"/>
      <c r="D34" s="150"/>
      <c r="E34" s="151">
        <v>1</v>
      </c>
      <c r="F34" s="148">
        <v>37270</v>
      </c>
      <c r="G34" s="150" t="s">
        <v>141</v>
      </c>
      <c r="H34" s="153"/>
    </row>
    <row r="35" spans="2:10" s="118" customFormat="1">
      <c r="B35" s="156" t="s">
        <v>1618</v>
      </c>
      <c r="C35" s="150" t="s">
        <v>1606</v>
      </c>
      <c r="D35" s="150" t="s">
        <v>324</v>
      </c>
      <c r="E35" s="151">
        <v>1</v>
      </c>
      <c r="F35" s="150"/>
      <c r="G35" s="150"/>
      <c r="H35" s="153"/>
    </row>
    <row r="36" spans="2:10" s="102" customFormat="1">
      <c r="B36" s="162" t="s">
        <v>394</v>
      </c>
      <c r="C36" s="163" t="s">
        <v>376</v>
      </c>
      <c r="D36" s="163" t="s">
        <v>377</v>
      </c>
      <c r="E36" s="164">
        <v>1</v>
      </c>
      <c r="F36" s="165">
        <v>39507</v>
      </c>
      <c r="G36" s="163" t="s">
        <v>141</v>
      </c>
      <c r="H36" s="167"/>
      <c r="J36" s="102" t="s">
        <v>1418</v>
      </c>
    </row>
    <row r="37" spans="2:10" s="102" customFormat="1">
      <c r="B37" s="142"/>
      <c r="C37" s="175"/>
      <c r="D37" s="175"/>
      <c r="E37" s="176"/>
      <c r="F37" s="190" t="s">
        <v>7</v>
      </c>
      <c r="G37" s="175"/>
      <c r="H37" s="177"/>
      <c r="J37" s="102" t="s">
        <v>1507</v>
      </c>
    </row>
    <row r="38" spans="2:10" s="102" customFormat="1">
      <c r="B38" s="157"/>
      <c r="C38" s="150" t="s">
        <v>1402</v>
      </c>
      <c r="D38" s="150" t="s">
        <v>1408</v>
      </c>
      <c r="E38" s="1" t="s">
        <v>1404</v>
      </c>
      <c r="F38"/>
      <c r="G38" s="1"/>
      <c r="H38" s="193"/>
      <c r="J38" s="102" t="s">
        <v>1503</v>
      </c>
    </row>
    <row r="39" spans="2:10">
      <c r="B39" s="157"/>
      <c r="C39" s="150" t="s">
        <v>1402</v>
      </c>
      <c r="D39" s="150" t="s">
        <v>1409</v>
      </c>
      <c r="E39" s="1" t="s">
        <v>1404</v>
      </c>
      <c r="H39" s="193"/>
    </row>
    <row r="40" spans="2:10">
      <c r="B40" s="157"/>
      <c r="C40" s="150" t="s">
        <v>1413</v>
      </c>
      <c r="D40" s="150" t="s">
        <v>1412</v>
      </c>
      <c r="E40" s="1" t="s">
        <v>1596</v>
      </c>
      <c r="H40" s="193"/>
    </row>
    <row r="41" spans="2:10">
      <c r="B41" s="157" t="s">
        <v>1595</v>
      </c>
      <c r="C41" s="150" t="s">
        <v>125</v>
      </c>
      <c r="D41" s="150" t="s">
        <v>1414</v>
      </c>
      <c r="E41" s="147">
        <v>1</v>
      </c>
      <c r="G41" s="150" t="s">
        <v>141</v>
      </c>
      <c r="H41" s="193"/>
      <c r="J41" s="102" t="s">
        <v>1508</v>
      </c>
    </row>
    <row r="42" spans="2:10">
      <c r="B42" s="157"/>
      <c r="C42" s="150"/>
      <c r="D42" s="150" t="s">
        <v>1415</v>
      </c>
      <c r="E42" s="147">
        <v>1</v>
      </c>
      <c r="G42" s="150"/>
      <c r="H42" s="193"/>
    </row>
    <row r="43" spans="2:10">
      <c r="B43" s="156" t="s">
        <v>1580</v>
      </c>
      <c r="C43" s="150" t="s">
        <v>1581</v>
      </c>
      <c r="D43" s="150" t="s">
        <v>1597</v>
      </c>
      <c r="E43" s="1" t="s">
        <v>200</v>
      </c>
      <c r="G43" s="150"/>
      <c r="H43" s="193"/>
    </row>
    <row r="44" spans="2:10">
      <c r="B44" s="156" t="s">
        <v>1522</v>
      </c>
      <c r="C44" s="150" t="s">
        <v>302</v>
      </c>
      <c r="D44" s="150" t="s">
        <v>1521</v>
      </c>
      <c r="E44" s="151">
        <v>1</v>
      </c>
      <c r="F44" s="150" t="s">
        <v>1520</v>
      </c>
      <c r="G44" s="150" t="s">
        <v>305</v>
      </c>
      <c r="H44" s="153"/>
      <c r="J44" s="102" t="s">
        <v>1568</v>
      </c>
    </row>
    <row r="45" spans="2:10">
      <c r="B45" s="192" t="s">
        <v>1416</v>
      </c>
      <c r="C45" s="150" t="s">
        <v>1594</v>
      </c>
      <c r="D45" s="150" t="s">
        <v>1428</v>
      </c>
      <c r="E45" s="150" t="s">
        <v>200</v>
      </c>
      <c r="F45" s="150" t="s">
        <v>1486</v>
      </c>
      <c r="G45" s="150" t="s">
        <v>141</v>
      </c>
      <c r="H45" s="193"/>
      <c r="J45" s="150" t="s">
        <v>1571</v>
      </c>
    </row>
    <row r="46" spans="2:10">
      <c r="B46" s="192" t="s">
        <v>1471</v>
      </c>
      <c r="C46" s="150" t="s">
        <v>1472</v>
      </c>
      <c r="D46" s="150" t="s">
        <v>1473</v>
      </c>
      <c r="E46" s="150" t="s">
        <v>200</v>
      </c>
      <c r="F46" s="150" t="s">
        <v>1587</v>
      </c>
      <c r="G46" s="150"/>
      <c r="H46" s="193"/>
    </row>
    <row r="47" spans="2:10">
      <c r="B47" s="156" t="s">
        <v>1383</v>
      </c>
      <c r="C47" s="150" t="s">
        <v>1385</v>
      </c>
      <c r="D47" s="150" t="s">
        <v>1384</v>
      </c>
      <c r="E47" s="151" t="s">
        <v>200</v>
      </c>
      <c r="F47" s="150"/>
      <c r="G47" s="150"/>
      <c r="H47" s="153"/>
    </row>
    <row r="48" spans="2:10">
      <c r="B48" s="192" t="s">
        <v>1550</v>
      </c>
      <c r="C48" s="150" t="s">
        <v>1548</v>
      </c>
      <c r="D48" s="150" t="s">
        <v>1549</v>
      </c>
      <c r="E48" s="151">
        <v>1</v>
      </c>
      <c r="F48" s="150" t="s">
        <v>114</v>
      </c>
      <c r="G48" s="150"/>
      <c r="H48" s="153"/>
    </row>
    <row r="49" spans="2:11">
      <c r="B49" s="192" t="s">
        <v>1554</v>
      </c>
      <c r="C49" s="150" t="s">
        <v>1555</v>
      </c>
      <c r="D49" s="150" t="s">
        <v>1549</v>
      </c>
      <c r="E49" s="151" t="s">
        <v>1556</v>
      </c>
      <c r="F49" s="150" t="s">
        <v>114</v>
      </c>
      <c r="G49" s="150"/>
      <c r="H49" s="153"/>
    </row>
    <row r="50" spans="2:11">
      <c r="B50" s="195" t="s">
        <v>1604</v>
      </c>
      <c r="C50" s="150" t="s">
        <v>1605</v>
      </c>
      <c r="D50" s="150"/>
      <c r="E50" s="151"/>
      <c r="F50" s="150"/>
      <c r="G50" s="150"/>
      <c r="H50" s="153"/>
    </row>
    <row r="51" spans="2:11">
      <c r="B51" s="156" t="s">
        <v>1494</v>
      </c>
      <c r="C51" s="150" t="s">
        <v>1495</v>
      </c>
      <c r="D51" s="150" t="s">
        <v>1497</v>
      </c>
      <c r="E51" s="151">
        <v>1</v>
      </c>
      <c r="F51" s="150" t="s">
        <v>136</v>
      </c>
      <c r="G51" s="150"/>
      <c r="H51" s="153"/>
    </row>
    <row r="52" spans="2:11">
      <c r="B52" s="156" t="s">
        <v>1493</v>
      </c>
      <c r="C52" s="150" t="s">
        <v>1495</v>
      </c>
      <c r="D52" s="150" t="s">
        <v>1496</v>
      </c>
      <c r="E52" s="151">
        <v>1</v>
      </c>
      <c r="F52" s="150" t="s">
        <v>136</v>
      </c>
      <c r="G52" s="150"/>
      <c r="H52" s="153"/>
    </row>
    <row r="53" spans="2:11">
      <c r="B53" s="156" t="s">
        <v>1513</v>
      </c>
      <c r="C53" s="150" t="s">
        <v>402</v>
      </c>
      <c r="D53" s="150" t="s">
        <v>1515</v>
      </c>
      <c r="E53" s="151" t="s">
        <v>1514</v>
      </c>
      <c r="F53" s="150" t="s">
        <v>136</v>
      </c>
      <c r="G53" s="150"/>
      <c r="H53" s="153"/>
    </row>
    <row r="54" spans="2:11" s="118" customFormat="1">
      <c r="B54" s="156" t="s">
        <v>1592</v>
      </c>
      <c r="C54" s="150" t="s">
        <v>1593</v>
      </c>
      <c r="D54" s="150" t="s">
        <v>1588</v>
      </c>
      <c r="E54" s="151"/>
      <c r="F54" s="150" t="s">
        <v>1591</v>
      </c>
      <c r="G54" s="150"/>
      <c r="H54" s="153"/>
    </row>
    <row r="55" spans="2:11" s="118" customFormat="1">
      <c r="B55" s="192" t="s">
        <v>1504</v>
      </c>
      <c r="C55" s="150" t="s">
        <v>1505</v>
      </c>
      <c r="D55" s="150" t="s">
        <v>324</v>
      </c>
      <c r="E55" s="151" t="s">
        <v>1506</v>
      </c>
      <c r="F55" s="150" t="s">
        <v>136</v>
      </c>
      <c r="G55" s="150"/>
      <c r="H55" s="153"/>
    </row>
    <row r="56" spans="2:11" s="118" customFormat="1">
      <c r="B56" s="192" t="s">
        <v>480</v>
      </c>
      <c r="C56" s="150" t="s">
        <v>481</v>
      </c>
      <c r="D56" s="150" t="s">
        <v>324</v>
      </c>
      <c r="E56" s="151">
        <v>1</v>
      </c>
      <c r="F56" s="150" t="s">
        <v>114</v>
      </c>
      <c r="G56" s="150"/>
      <c r="H56" s="153"/>
    </row>
    <row r="57" spans="2:11" s="118" customFormat="1">
      <c r="B57" s="156" t="s">
        <v>1499</v>
      </c>
      <c r="C57" s="150" t="s">
        <v>1500</v>
      </c>
      <c r="D57" s="150" t="s">
        <v>1502</v>
      </c>
      <c r="E57" s="151" t="s">
        <v>1501</v>
      </c>
      <c r="F57" s="150" t="s">
        <v>136</v>
      </c>
      <c r="G57" s="150"/>
      <c r="H57" s="153"/>
    </row>
    <row r="58" spans="2:11" s="118" customFormat="1">
      <c r="B58" s="156" t="s">
        <v>1598</v>
      </c>
      <c r="C58" s="150" t="s">
        <v>1599</v>
      </c>
      <c r="D58" s="150"/>
      <c r="E58" s="151"/>
      <c r="F58" s="150" t="s">
        <v>123</v>
      </c>
      <c r="G58" s="150"/>
      <c r="H58" s="153"/>
    </row>
    <row r="59" spans="2:11" s="118" customFormat="1">
      <c r="B59" s="156" t="s">
        <v>1600</v>
      </c>
      <c r="C59" s="150" t="s">
        <v>402</v>
      </c>
      <c r="D59" s="150" t="s">
        <v>1601</v>
      </c>
      <c r="E59" s="151"/>
      <c r="F59" s="150"/>
      <c r="G59" s="150"/>
      <c r="H59" s="153"/>
    </row>
    <row r="60" spans="2:11" s="118" customFormat="1">
      <c r="B60" s="156"/>
      <c r="C60" s="150" t="s">
        <v>1511</v>
      </c>
      <c r="D60" s="150" t="s">
        <v>1510</v>
      </c>
      <c r="E60" s="151" t="s">
        <v>1509</v>
      </c>
      <c r="F60" s="150" t="s">
        <v>1512</v>
      </c>
      <c r="G60" s="150"/>
      <c r="H60" s="153"/>
    </row>
    <row r="61" spans="2:11" s="118" customFormat="1">
      <c r="B61" s="156"/>
      <c r="C61" s="150" t="s">
        <v>1519</v>
      </c>
      <c r="D61" s="150" t="s">
        <v>324</v>
      </c>
      <c r="E61" s="151" t="s">
        <v>1404</v>
      </c>
      <c r="F61" s="150" t="s">
        <v>1512</v>
      </c>
      <c r="G61" s="150"/>
      <c r="H61" s="153"/>
    </row>
    <row r="62" spans="2:11" s="168" customFormat="1">
      <c r="B62" s="162" t="s">
        <v>511</v>
      </c>
      <c r="C62" s="163" t="s">
        <v>302</v>
      </c>
      <c r="D62" s="163" t="s">
        <v>512</v>
      </c>
      <c r="E62" s="164">
        <v>1</v>
      </c>
      <c r="F62" s="163" t="s">
        <v>123</v>
      </c>
      <c r="G62" s="170"/>
      <c r="H62" s="171"/>
      <c r="I62" s="102"/>
      <c r="J62" s="102"/>
      <c r="K62" s="102"/>
    </row>
    <row r="63" spans="2:11" s="168" customFormat="1">
      <c r="B63" s="102"/>
      <c r="C63" s="150"/>
      <c r="D63" s="150"/>
      <c r="E63" s="151"/>
      <c r="F63" s="150"/>
      <c r="G63" s="150"/>
      <c r="H63" s="1"/>
      <c r="I63" s="102"/>
      <c r="J63" s="102"/>
      <c r="K63" s="102"/>
    </row>
    <row r="64" spans="2:11" s="168" customFormat="1">
      <c r="B64" s="118"/>
      <c r="C64" s="159"/>
      <c r="D64" s="159"/>
      <c r="E64" s="159"/>
      <c r="F64" s="159" t="s">
        <v>513</v>
      </c>
      <c r="G64" s="172"/>
      <c r="H64" s="159"/>
      <c r="I64" s="102"/>
      <c r="J64" s="102"/>
      <c r="K64" s="102"/>
    </row>
    <row r="65" spans="2:11" s="168" customFormat="1">
      <c r="C65" s="159"/>
      <c r="D65" s="159"/>
      <c r="E65" s="159"/>
      <c r="F65" t="s">
        <v>515</v>
      </c>
      <c r="G65" s="172"/>
      <c r="H65" s="159"/>
      <c r="I65" s="102"/>
      <c r="J65" s="102"/>
      <c r="K65" s="102"/>
    </row>
    <row r="66" spans="2:11" s="168" customFormat="1">
      <c r="B66" s="102"/>
      <c r="C66" s="127"/>
      <c r="D66" s="127"/>
      <c r="E66"/>
      <c r="F66" t="s">
        <v>516</v>
      </c>
      <c r="G66" s="1"/>
      <c r="H66"/>
      <c r="I66" s="102"/>
      <c r="J66" s="102"/>
      <c r="K66" s="102"/>
    </row>
    <row r="67" spans="2:11" s="168" customFormat="1">
      <c r="B67" s="102"/>
      <c r="C67" s="127"/>
      <c r="D67" s="127"/>
      <c r="E67"/>
      <c r="F67" t="s">
        <v>517</v>
      </c>
      <c r="G67" s="1"/>
      <c r="H67"/>
      <c r="I67" s="102"/>
      <c r="J67" s="102"/>
      <c r="K67" s="102"/>
    </row>
    <row r="68" spans="2:11" s="168" customFormat="1">
      <c r="B68" s="102"/>
      <c r="C68" s="173"/>
      <c r="D68" s="173"/>
      <c r="E68" s="118"/>
      <c r="F68" s="159" t="s">
        <v>518</v>
      </c>
      <c r="G68" s="174"/>
      <c r="H68" s="118"/>
      <c r="I68" s="102"/>
      <c r="J68" s="102"/>
      <c r="K68" s="102"/>
    </row>
    <row r="69" spans="2:11" s="168" customFormat="1">
      <c r="B69" s="118"/>
      <c r="C69" s="127"/>
      <c r="D69" s="127"/>
      <c r="E69"/>
      <c r="F69" s="159" t="s">
        <v>519</v>
      </c>
      <c r="G69" s="1"/>
      <c r="H69"/>
    </row>
    <row r="70" spans="2:11" s="168" customFormat="1">
      <c r="B70" s="118"/>
      <c r="C70" s="173"/>
      <c r="D70" s="173"/>
      <c r="E70" s="118"/>
      <c r="F70" s="159" t="s">
        <v>520</v>
      </c>
      <c r="G70" s="174"/>
      <c r="H70" s="118"/>
    </row>
    <row r="71" spans="2:11" s="168" customFormat="1">
      <c r="B71" s="102"/>
      <c r="C71" s="173"/>
      <c r="D71" s="173"/>
      <c r="E71" s="118"/>
      <c r="F71" s="159" t="s">
        <v>521</v>
      </c>
      <c r="G71" s="174"/>
      <c r="H71" s="118"/>
    </row>
    <row r="72" spans="2:11" s="168" customFormat="1">
      <c r="B72"/>
      <c r="C72"/>
      <c r="D72"/>
      <c r="E72"/>
      <c r="F72" s="102" t="s">
        <v>522</v>
      </c>
      <c r="G72" s="1"/>
      <c r="H72"/>
    </row>
    <row r="73" spans="2:11" s="159" customFormat="1" ht="12.75" customHeight="1">
      <c r="B73"/>
      <c r="C73"/>
      <c r="D73"/>
      <c r="E73"/>
      <c r="F73" s="102" t="s">
        <v>523</v>
      </c>
      <c r="G73" s="1"/>
      <c r="H73"/>
    </row>
    <row r="74" spans="2:11" s="159" customFormat="1" ht="12.75" customHeight="1">
      <c r="B74"/>
      <c r="C74"/>
      <c r="D74"/>
      <c r="E74"/>
      <c r="F74" s="102" t="s">
        <v>524</v>
      </c>
      <c r="G74" s="1"/>
      <c r="H74"/>
    </row>
    <row r="75" spans="2:11">
      <c r="F75" s="102" t="s">
        <v>525</v>
      </c>
    </row>
    <row r="76" spans="2:11">
      <c r="F76" t="s">
        <v>526</v>
      </c>
    </row>
    <row r="77" spans="2:11">
      <c r="F77" s="102" t="s">
        <v>527</v>
      </c>
    </row>
    <row r="78" spans="2:11">
      <c r="F78" s="102" t="s">
        <v>528</v>
      </c>
    </row>
    <row r="79" spans="2:11" s="118" customFormat="1">
      <c r="B79"/>
      <c r="C79"/>
      <c r="D79"/>
      <c r="E79"/>
      <c r="F79" s="102" t="s">
        <v>514</v>
      </c>
      <c r="G79" s="1"/>
      <c r="H79"/>
    </row>
    <row r="80" spans="2:11">
      <c r="F80" s="102" t="s">
        <v>1516</v>
      </c>
    </row>
    <row r="81" spans="2:8" s="118" customFormat="1">
      <c r="B81"/>
      <c r="C81"/>
      <c r="D81"/>
      <c r="E81"/>
      <c r="F81"/>
      <c r="G81" s="1"/>
      <c r="H81"/>
    </row>
    <row r="82" spans="2:8" s="118" customFormat="1">
      <c r="B82"/>
      <c r="C82"/>
      <c r="D82"/>
      <c r="E82"/>
      <c r="F82"/>
      <c r="G82" s="1"/>
      <c r="H82"/>
    </row>
  </sheetData>
  <phoneticPr fontId="3" type="noConversion"/>
  <hyperlinks>
    <hyperlink ref="B14" location="Sutent!A1" display="Sutent" xr:uid="{00000000-0004-0000-0300-000000000000}"/>
    <hyperlink ref="B20" location="Vfend!A1" display="Vfend" xr:uid="{00000000-0004-0000-0300-000003000000}"/>
    <hyperlink ref="B18" location="Zyvox!A1" display="Zyvox" xr:uid="{00000000-0004-0000-0300-000004000000}"/>
    <hyperlink ref="B19" location="Chantix!A1" display="Chantix (varenicline)" xr:uid="{00000000-0004-0000-0300-000008000000}"/>
    <hyperlink ref="B12" location="Inlyta!A1" display="Inlyta (axitinib)" xr:uid="{00000000-0004-0000-0300-000009000000}"/>
    <hyperlink ref="B9" location="Eliquis!A1" display="Eliquis (apixaban)" xr:uid="{00000000-0004-0000-0300-00000A000000}"/>
    <hyperlink ref="B11" location="Xeljanz!A1" display="Xeljanz (tofacitinib)" xr:uid="{00000000-0004-0000-0300-00000B000000}"/>
    <hyperlink ref="B21" location="Toviaz!A1" display="Toviaz (fesoterodine)" xr:uid="{00000000-0004-0000-0300-00000C000000}"/>
    <hyperlink ref="B5" location="Prevnar!A1" display="Prevnar" xr:uid="{00000000-0004-0000-0300-00000D000000}"/>
    <hyperlink ref="B10" location="Enbrel!A1" display="Enbrel (etanercept)" xr:uid="{00000000-0004-0000-0300-00000E000000}"/>
    <hyperlink ref="B6" location="Prevnar!A1" display="Prevnar 13" xr:uid="{00000000-0004-0000-0300-00000F000000}"/>
    <hyperlink ref="B13" location="Xalkori!A1" display="Xalkori (crizotinib)" xr:uid="{00000000-0004-0000-0300-000010000000}"/>
    <hyperlink ref="B3" location="Comirnaty!A1" display="Comirnaty" xr:uid="{D1A09BB4-80AE-4758-AC3B-A8B66840836D}"/>
    <hyperlink ref="B4" location="Ibrance!A1" display="Ibrance (palbociclib)" xr:uid="{000DF780-78B9-4AEA-B6A2-B880C7521541}"/>
    <hyperlink ref="B7" location="Paxlovid!A1" display="Paxlovid (nirmatrelvir)" xr:uid="{8577F12B-510A-405F-8142-F33C3A19DB3E}"/>
    <hyperlink ref="B46" location="elranatamab!A1" display="elranatamab" xr:uid="{22EE3204-C875-4DB6-B821-72920E15C43A}"/>
    <hyperlink ref="B45" location="etrasimod!A1" display="etrasimod" xr:uid="{1DB5DC42-EE13-434E-9F06-4B833CD48160}"/>
    <hyperlink ref="B23" location="Myfembree!A1" display="Myfembree (relugolix, estradiol, norethindrone)" xr:uid="{E79F4573-6EDE-4B00-81AE-631D18E9C584}"/>
    <hyperlink ref="B28" location="Lorbrena!A1" display="Lorbrena/Lorviqua (lorlatinib) PF-06463922" xr:uid="{2195357D-F14A-4F23-B2C4-DB0115C03CA5}"/>
    <hyperlink ref="B56" location="'PF-06425090'!A1" display="PF-06425090" xr:uid="{88A0F8A3-A134-49FD-BA70-FF29733EDF87}"/>
    <hyperlink ref="B55" location="'VLA15'!A1" display="VLA15" xr:uid="{95C71F0C-E345-410F-9E77-4351DEAA1DAD}"/>
    <hyperlink ref="B49" location="giroctocogene!A1" display="giroctocogene fitelparvovec" xr:uid="{7B08DDA2-F5FF-4EF5-9DC5-68304C03C9EE}"/>
    <hyperlink ref="B48" location="fordadistrogene!A1" display="fordadistrogene movaparvovec" xr:uid="{C40491FF-D7A6-4433-8FB1-F5C564B195CA}"/>
  </hyperlinks>
  <pageMargins left="0.75" right="0.75" top="1" bottom="1" header="0.5" footer="0.5"/>
  <pageSetup scale="37" orientation="portrait" horizontalDpi="1200" verticalDpi="12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HE214"/>
  <sheetViews>
    <sheetView showOutlineSymbols="0" zoomScale="145" zoomScaleNormal="145" workbookViewId="0">
      <pane xSplit="2" ySplit="2" topLeftCell="CX142" activePane="bottomRight" state="frozen"/>
      <selection activeCell="CV111" sqref="CV111"/>
      <selection pane="topRight" activeCell="CV111" sqref="CV111"/>
      <selection pane="bottomLeft" activeCell="CV111" sqref="CV111"/>
      <selection pane="bottomRight" activeCell="DH148" sqref="DH148"/>
    </sheetView>
  </sheetViews>
  <sheetFormatPr baseColWidth="10" defaultColWidth="9.1640625" defaultRowHeight="13"/>
  <cols>
    <col min="1" max="1" width="5" style="4" bestFit="1" customWidth="1"/>
    <col min="2" max="2" width="32.1640625" style="4" bestFit="1" customWidth="1"/>
    <col min="3" max="22" width="5.5" style="37" bestFit="1" customWidth="1"/>
    <col min="23" max="26" width="6.33203125" style="37" bestFit="1" customWidth="1"/>
    <col min="27" max="27" width="5.5" style="37" bestFit="1" customWidth="1"/>
    <col min="28" max="29" width="6.5" style="37" bestFit="1" customWidth="1"/>
    <col min="30" max="30" width="6.6640625" style="37" bestFit="1" customWidth="1"/>
    <col min="31" max="34" width="7.1640625" style="37" bestFit="1" customWidth="1"/>
    <col min="35" max="35" width="6.6640625" style="37" bestFit="1" customWidth="1"/>
    <col min="36" max="36" width="6.5" style="37" bestFit="1" customWidth="1"/>
    <col min="37" max="41" width="6.6640625" style="37" bestFit="1" customWidth="1"/>
    <col min="42" max="42" width="6.6640625" style="46" bestFit="1" customWidth="1"/>
    <col min="43" max="43" width="6.6640625" style="37" bestFit="1" customWidth="1"/>
    <col min="44" max="45" width="7" style="37" bestFit="1" customWidth="1"/>
    <col min="46" max="49" width="7.6640625" style="37" bestFit="1" customWidth="1"/>
    <col min="50" max="50" width="7.1640625" style="37" bestFit="1" customWidth="1"/>
    <col min="51" max="56" width="7.6640625" style="37" bestFit="1" customWidth="1"/>
    <col min="57" max="57" width="7.1640625" style="37" bestFit="1" customWidth="1"/>
    <col min="58" max="58" width="7.5" style="37" bestFit="1" customWidth="1"/>
    <col min="59" max="61" width="7.1640625" style="37" bestFit="1" customWidth="1"/>
    <col min="62" max="63" width="7.6640625" style="69" bestFit="1" customWidth="1"/>
    <col min="64" max="64" width="7.6640625" style="37" bestFit="1" customWidth="1"/>
    <col min="65" max="66" width="7.1640625" style="37" bestFit="1" customWidth="1"/>
    <col min="67" max="91" width="7.1640625" style="37" customWidth="1"/>
    <col min="92" max="102" width="7.1640625" style="113" customWidth="1"/>
    <col min="103" max="119" width="7.83203125" style="113" customWidth="1"/>
    <col min="120" max="121" width="7.1640625" style="37" customWidth="1"/>
    <col min="122" max="122" width="9.1640625" style="4"/>
    <col min="123" max="124" width="5" style="4" bestFit="1" customWidth="1"/>
    <col min="125" max="125" width="5" style="37" bestFit="1" customWidth="1"/>
    <col min="126" max="126" width="6.33203125" style="37" bestFit="1" customWidth="1"/>
    <col min="127" max="130" width="6.5" style="37" bestFit="1" customWidth="1"/>
    <col min="131" max="136" width="6.6640625" style="37" bestFit="1" customWidth="1"/>
    <col min="137" max="137" width="7" style="37" bestFit="1" customWidth="1"/>
    <col min="138" max="139" width="6.6640625" style="37" bestFit="1" customWidth="1"/>
    <col min="140" max="140" width="7.5" style="37" bestFit="1" customWidth="1"/>
    <col min="141" max="141" width="7.33203125" style="44" bestFit="1" customWidth="1"/>
    <col min="142" max="146" width="7.6640625" style="44" bestFit="1" customWidth="1"/>
    <col min="147" max="155" width="8" style="44" customWidth="1"/>
    <col min="156" max="162" width="7.1640625" style="44" customWidth="1"/>
    <col min="163" max="169" width="6.5" style="44" customWidth="1"/>
    <col min="170" max="172" width="6.5" style="44" bestFit="1" customWidth="1"/>
    <col min="173" max="173" width="8.5" style="81" bestFit="1" customWidth="1"/>
    <col min="174" max="174" width="8.5" style="44" bestFit="1" customWidth="1"/>
    <col min="175" max="175" width="8.5" style="82" bestFit="1" customWidth="1"/>
    <col min="176" max="176" width="6.5" style="44" bestFit="1" customWidth="1"/>
    <col min="177" max="177" width="9.6640625" style="4" customWidth="1"/>
    <col min="178" max="186" width="6.5" style="4" bestFit="1" customWidth="1"/>
    <col min="187" max="213" width="5.5" style="4" bestFit="1" customWidth="1"/>
    <col min="214" max="16384" width="9.1640625" style="4"/>
  </cols>
  <sheetData>
    <row r="1" spans="1:177">
      <c r="A1" s="13" t="s">
        <v>0</v>
      </c>
      <c r="AP1" s="62"/>
      <c r="BC1" s="69"/>
      <c r="BF1" s="69"/>
      <c r="BH1" s="69"/>
      <c r="EK1" s="65"/>
      <c r="FQ1" s="76"/>
      <c r="FR1" s="77"/>
      <c r="FS1" s="78"/>
    </row>
    <row r="2" spans="1:177">
      <c r="C2" s="37" t="s">
        <v>529</v>
      </c>
      <c r="D2" s="37" t="s">
        <v>530</v>
      </c>
      <c r="E2" s="37" t="s">
        <v>531</v>
      </c>
      <c r="F2" s="37" t="s">
        <v>532</v>
      </c>
      <c r="G2" s="37" t="s">
        <v>533</v>
      </c>
      <c r="H2" s="37" t="s">
        <v>534</v>
      </c>
      <c r="I2" s="37" t="s">
        <v>535</v>
      </c>
      <c r="J2" s="37" t="s">
        <v>536</v>
      </c>
      <c r="K2" s="37" t="s">
        <v>537</v>
      </c>
      <c r="L2" s="37" t="s">
        <v>538</v>
      </c>
      <c r="M2" s="37" t="s">
        <v>539</v>
      </c>
      <c r="N2" s="37" t="s">
        <v>540</v>
      </c>
      <c r="O2" s="37" t="s">
        <v>541</v>
      </c>
      <c r="P2" s="37" t="s">
        <v>542</v>
      </c>
      <c r="Q2" s="37" t="s">
        <v>543</v>
      </c>
      <c r="R2" s="37" t="s">
        <v>544</v>
      </c>
      <c r="S2" s="37" t="s">
        <v>545</v>
      </c>
      <c r="T2" s="37" t="s">
        <v>546</v>
      </c>
      <c r="U2" s="37" t="s">
        <v>547</v>
      </c>
      <c r="V2" s="37" t="s">
        <v>548</v>
      </c>
      <c r="W2" s="37" t="s">
        <v>549</v>
      </c>
      <c r="X2" s="37" t="s">
        <v>550</v>
      </c>
      <c r="Y2" s="37" t="s">
        <v>551</v>
      </c>
      <c r="Z2" s="37" t="s">
        <v>552</v>
      </c>
      <c r="AA2" s="37" t="s">
        <v>553</v>
      </c>
      <c r="AB2" s="37" t="s">
        <v>554</v>
      </c>
      <c r="AC2" s="37" t="s">
        <v>555</v>
      </c>
      <c r="AD2" s="37" t="s">
        <v>556</v>
      </c>
      <c r="AE2" s="37" t="s">
        <v>557</v>
      </c>
      <c r="AF2" s="37" t="s">
        <v>558</v>
      </c>
      <c r="AG2" s="37" t="s">
        <v>559</v>
      </c>
      <c r="AH2" s="37" t="s">
        <v>560</v>
      </c>
      <c r="AI2" s="37" t="s">
        <v>561</v>
      </c>
      <c r="AJ2" s="37" t="s">
        <v>562</v>
      </c>
      <c r="AK2" s="37" t="s">
        <v>563</v>
      </c>
      <c r="AL2" s="69" t="s">
        <v>564</v>
      </c>
      <c r="AM2" s="69" t="s">
        <v>565</v>
      </c>
      <c r="AN2" s="37" t="s">
        <v>566</v>
      </c>
      <c r="AO2" s="69" t="s">
        <v>567</v>
      </c>
      <c r="AP2" s="62" t="s">
        <v>568</v>
      </c>
      <c r="AQ2" s="37" t="s">
        <v>569</v>
      </c>
      <c r="AR2" s="37" t="s">
        <v>570</v>
      </c>
      <c r="AS2" s="37" t="s">
        <v>571</v>
      </c>
      <c r="AT2" s="37" t="s">
        <v>572</v>
      </c>
      <c r="AU2" s="37" t="s">
        <v>573</v>
      </c>
      <c r="AV2" s="69" t="s">
        <v>574</v>
      </c>
      <c r="AW2" s="37" t="s">
        <v>575</v>
      </c>
      <c r="AX2" s="69" t="s">
        <v>576</v>
      </c>
      <c r="AY2" s="37" t="s">
        <v>577</v>
      </c>
      <c r="AZ2" s="37" t="s">
        <v>578</v>
      </c>
      <c r="BA2" s="37" t="s">
        <v>579</v>
      </c>
      <c r="BB2" s="37" t="s">
        <v>580</v>
      </c>
      <c r="BC2" s="69" t="s">
        <v>581</v>
      </c>
      <c r="BD2" s="37" t="s">
        <v>582</v>
      </c>
      <c r="BE2" s="37" t="s">
        <v>583</v>
      </c>
      <c r="BF2" s="69" t="s">
        <v>584</v>
      </c>
      <c r="BG2" s="37" t="s">
        <v>585</v>
      </c>
      <c r="BH2" s="69" t="s">
        <v>586</v>
      </c>
      <c r="BI2" s="37" t="s">
        <v>587</v>
      </c>
      <c r="BJ2" s="69" t="s">
        <v>588</v>
      </c>
      <c r="BK2" s="103" t="s">
        <v>589</v>
      </c>
      <c r="BL2" s="62" t="s">
        <v>590</v>
      </c>
      <c r="BM2" s="62" t="s">
        <v>591</v>
      </c>
      <c r="BN2" s="62" t="s">
        <v>592</v>
      </c>
      <c r="BO2" s="62" t="s">
        <v>593</v>
      </c>
      <c r="BP2" s="62" t="s">
        <v>594</v>
      </c>
      <c r="BQ2" s="62" t="s">
        <v>595</v>
      </c>
      <c r="BR2" s="62" t="s">
        <v>596</v>
      </c>
      <c r="BS2" s="62" t="s">
        <v>597</v>
      </c>
      <c r="BT2" s="62" t="s">
        <v>300</v>
      </c>
      <c r="BU2" s="62" t="s">
        <v>598</v>
      </c>
      <c r="BV2" s="62" t="s">
        <v>599</v>
      </c>
      <c r="BW2" s="62" t="s">
        <v>1322</v>
      </c>
      <c r="BX2" s="62" t="s">
        <v>1323</v>
      </c>
      <c r="BY2" s="62" t="s">
        <v>1324</v>
      </c>
      <c r="BZ2" s="62" t="s">
        <v>1321</v>
      </c>
      <c r="CA2" s="62" t="s">
        <v>1325</v>
      </c>
      <c r="CB2" s="62" t="s">
        <v>1326</v>
      </c>
      <c r="CC2" s="62" t="s">
        <v>1327</v>
      </c>
      <c r="CD2" s="62" t="s">
        <v>1328</v>
      </c>
      <c r="CE2" s="62" t="s">
        <v>1329</v>
      </c>
      <c r="CF2" s="62" t="s">
        <v>1330</v>
      </c>
      <c r="CG2" s="62" t="s">
        <v>1331</v>
      </c>
      <c r="CH2" s="62" t="s">
        <v>1332</v>
      </c>
      <c r="CI2" s="62" t="s">
        <v>1333</v>
      </c>
      <c r="CJ2" s="62" t="s">
        <v>1334</v>
      </c>
      <c r="CK2" s="62" t="s">
        <v>1335</v>
      </c>
      <c r="CL2" s="62" t="s">
        <v>1336</v>
      </c>
      <c r="CM2" s="62" t="s">
        <v>1337</v>
      </c>
      <c r="CN2" s="135" t="s">
        <v>1338</v>
      </c>
      <c r="CO2" s="135" t="s">
        <v>1339</v>
      </c>
      <c r="CP2" s="135" t="s">
        <v>1340</v>
      </c>
      <c r="CQ2" s="135" t="s">
        <v>1341</v>
      </c>
      <c r="CR2" s="135" t="s">
        <v>1342</v>
      </c>
      <c r="CS2" s="135" t="s">
        <v>1343</v>
      </c>
      <c r="CT2" s="135" t="s">
        <v>1344</v>
      </c>
      <c r="CU2" s="135" t="s">
        <v>1345</v>
      </c>
      <c r="CV2" s="135" t="s">
        <v>1346</v>
      </c>
      <c r="CW2" s="135" t="s">
        <v>1347</v>
      </c>
      <c r="CX2" s="135" t="s">
        <v>1348</v>
      </c>
      <c r="CY2" s="135" t="s">
        <v>1349</v>
      </c>
      <c r="CZ2" s="135" t="s">
        <v>1350</v>
      </c>
      <c r="DA2" s="135" t="s">
        <v>1351</v>
      </c>
      <c r="DB2" s="135" t="s">
        <v>1352</v>
      </c>
      <c r="DC2" s="135" t="s">
        <v>1392</v>
      </c>
      <c r="DD2" s="135" t="s">
        <v>1393</v>
      </c>
      <c r="DE2" s="135" t="s">
        <v>1394</v>
      </c>
      <c r="DF2" s="135" t="s">
        <v>1395</v>
      </c>
      <c r="DG2" s="135" t="s">
        <v>1607</v>
      </c>
      <c r="DH2" s="135" t="s">
        <v>1608</v>
      </c>
      <c r="DI2" s="135" t="s">
        <v>1609</v>
      </c>
      <c r="DJ2" s="135" t="s">
        <v>1610</v>
      </c>
      <c r="DK2" s="135" t="s">
        <v>1611</v>
      </c>
      <c r="DL2" s="135" t="s">
        <v>1612</v>
      </c>
      <c r="DM2" s="135" t="s">
        <v>1613</v>
      </c>
      <c r="DN2" s="135" t="s">
        <v>1614</v>
      </c>
      <c r="DO2" s="135"/>
      <c r="DP2" s="62"/>
      <c r="DQ2" s="62"/>
      <c r="DS2" s="4">
        <v>1991</v>
      </c>
      <c r="DT2" s="4">
        <v>1992</v>
      </c>
      <c r="DU2" s="37">
        <v>1993</v>
      </c>
      <c r="DV2" s="37">
        <v>1994</v>
      </c>
      <c r="DW2" s="37">
        <v>1995</v>
      </c>
      <c r="DX2" s="37">
        <v>1996</v>
      </c>
      <c r="DY2" s="37">
        <v>1997</v>
      </c>
      <c r="DZ2" s="37">
        <v>1998</v>
      </c>
      <c r="EA2" s="37">
        <v>1999</v>
      </c>
      <c r="EB2" s="37">
        <v>2000</v>
      </c>
      <c r="EC2" s="37">
        <v>2001</v>
      </c>
      <c r="ED2" s="37">
        <v>2002</v>
      </c>
      <c r="EE2" s="37">
        <v>2003</v>
      </c>
      <c r="EF2" s="37">
        <v>2004</v>
      </c>
      <c r="EG2" s="37">
        <v>2005</v>
      </c>
      <c r="EH2" s="37">
        <v>2006</v>
      </c>
      <c r="EI2" s="37">
        <v>2007</v>
      </c>
      <c r="EJ2" s="37">
        <v>2008</v>
      </c>
      <c r="EK2" s="66">
        <v>2009</v>
      </c>
      <c r="EL2" s="47">
        <v>2010</v>
      </c>
      <c r="EM2" s="47">
        <v>2011</v>
      </c>
      <c r="EN2" s="47">
        <v>2012</v>
      </c>
      <c r="EO2" s="47">
        <v>2013</v>
      </c>
      <c r="EP2" s="47">
        <v>2014</v>
      </c>
      <c r="EQ2" s="47">
        <v>2015</v>
      </c>
      <c r="ER2" s="47">
        <v>2016</v>
      </c>
      <c r="ES2" s="47">
        <v>2017</v>
      </c>
      <c r="ET2" s="47">
        <v>2018</v>
      </c>
      <c r="EU2" s="47">
        <v>2019</v>
      </c>
      <c r="EV2" s="47">
        <v>2020</v>
      </c>
      <c r="EW2" s="47">
        <v>2021</v>
      </c>
      <c r="EX2" s="47">
        <v>2022</v>
      </c>
      <c r="EY2" s="47">
        <v>2023</v>
      </c>
      <c r="EZ2" s="47">
        <v>2024</v>
      </c>
      <c r="FA2" s="47">
        <f>+EZ2+1</f>
        <v>2025</v>
      </c>
      <c r="FB2" s="47">
        <f t="shared" ref="FB2:FK2" si="0">+FA2+1</f>
        <v>2026</v>
      </c>
      <c r="FC2" s="47">
        <f t="shared" si="0"/>
        <v>2027</v>
      </c>
      <c r="FD2" s="47">
        <f t="shared" si="0"/>
        <v>2028</v>
      </c>
      <c r="FE2" s="47">
        <f t="shared" si="0"/>
        <v>2029</v>
      </c>
      <c r="FF2" s="47">
        <f t="shared" si="0"/>
        <v>2030</v>
      </c>
      <c r="FG2" s="47">
        <f t="shared" si="0"/>
        <v>2031</v>
      </c>
      <c r="FH2" s="47">
        <f t="shared" si="0"/>
        <v>2032</v>
      </c>
      <c r="FI2" s="47">
        <f t="shared" si="0"/>
        <v>2033</v>
      </c>
      <c r="FJ2" s="47">
        <f t="shared" si="0"/>
        <v>2034</v>
      </c>
      <c r="FK2" s="47">
        <f t="shared" si="0"/>
        <v>2035</v>
      </c>
      <c r="FL2" s="47"/>
      <c r="FM2" s="47"/>
      <c r="FN2" s="47"/>
      <c r="FO2" s="47"/>
      <c r="FP2" s="47"/>
      <c r="FQ2" s="79" t="s">
        <v>600</v>
      </c>
      <c r="FR2" s="47" t="s">
        <v>601</v>
      </c>
      <c r="FS2" s="80" t="s">
        <v>602</v>
      </c>
      <c r="FT2" s="74"/>
      <c r="FU2" s="4" t="s">
        <v>603</v>
      </c>
    </row>
    <row r="3" spans="1:177" s="20" customFormat="1">
      <c r="B3" s="111" t="s">
        <v>1353</v>
      </c>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65"/>
      <c r="AM3" s="65"/>
      <c r="AN3" s="44"/>
      <c r="AO3" s="65"/>
      <c r="AP3" s="68"/>
      <c r="AQ3" s="44"/>
      <c r="AR3" s="44"/>
      <c r="AS3" s="44"/>
      <c r="AT3" s="44"/>
      <c r="AU3" s="44"/>
      <c r="AV3" s="65"/>
      <c r="AW3" s="44"/>
      <c r="AX3" s="65"/>
      <c r="AY3" s="44"/>
      <c r="AZ3" s="44"/>
      <c r="BA3" s="44"/>
      <c r="BB3" s="44"/>
      <c r="BC3" s="65"/>
      <c r="BD3" s="44"/>
      <c r="BE3" s="44"/>
      <c r="BF3" s="65"/>
      <c r="BG3" s="44"/>
      <c r="BH3" s="65"/>
      <c r="BI3" s="44"/>
      <c r="BJ3" s="65"/>
      <c r="BK3" s="70"/>
      <c r="BL3" s="68"/>
      <c r="BM3" s="68"/>
      <c r="BN3" s="68"/>
      <c r="BO3" s="68"/>
      <c r="BP3" s="68"/>
      <c r="BQ3" s="68"/>
      <c r="BR3" s="68"/>
      <c r="BS3" s="68"/>
      <c r="BT3" s="68"/>
      <c r="BU3" s="68"/>
      <c r="BV3" s="68"/>
      <c r="BW3" s="68"/>
      <c r="BX3" s="68"/>
      <c r="BY3" s="68"/>
      <c r="BZ3" s="68"/>
      <c r="CA3" s="68"/>
      <c r="CB3" s="68"/>
      <c r="CC3" s="68"/>
      <c r="CD3" s="68"/>
      <c r="CE3" s="68"/>
      <c r="CF3" s="68"/>
      <c r="CG3" s="68"/>
      <c r="CH3" s="68"/>
      <c r="CI3" s="68"/>
      <c r="CJ3" s="68"/>
      <c r="CK3" s="68">
        <v>0</v>
      </c>
      <c r="CL3" s="68">
        <v>0</v>
      </c>
      <c r="CM3" s="122">
        <v>0</v>
      </c>
      <c r="CN3" s="122">
        <v>0</v>
      </c>
      <c r="CO3" s="122">
        <v>0</v>
      </c>
      <c r="CP3" s="122">
        <v>0</v>
      </c>
      <c r="CQ3" s="122">
        <v>0</v>
      </c>
      <c r="CR3" s="122">
        <v>0</v>
      </c>
      <c r="CS3" s="122">
        <v>0</v>
      </c>
      <c r="CT3" s="122">
        <v>154</v>
      </c>
      <c r="CU3" s="122">
        <v>3462</v>
      </c>
      <c r="CV3" s="122">
        <v>7838</v>
      </c>
      <c r="CW3" s="122">
        <v>12977</v>
      </c>
      <c r="CX3" s="122">
        <v>12504</v>
      </c>
      <c r="CY3" s="122">
        <v>13227</v>
      </c>
      <c r="CZ3" s="122">
        <v>8848</v>
      </c>
      <c r="DA3" s="122">
        <v>4402</v>
      </c>
      <c r="DB3" s="122">
        <v>11329</v>
      </c>
      <c r="DC3" s="122">
        <v>3064</v>
      </c>
      <c r="DD3" s="122">
        <v>1488</v>
      </c>
      <c r="DE3" s="122">
        <v>1307</v>
      </c>
      <c r="DF3" s="122">
        <v>5361</v>
      </c>
      <c r="DG3" s="122">
        <v>354</v>
      </c>
      <c r="DH3" s="122">
        <v>195</v>
      </c>
      <c r="DI3" s="122"/>
      <c r="DJ3" s="122"/>
      <c r="DK3" s="122"/>
      <c r="DL3" s="122"/>
      <c r="DM3" s="122"/>
      <c r="DN3" s="122"/>
      <c r="DO3" s="122"/>
      <c r="DP3" s="68"/>
      <c r="DQ3" s="68"/>
      <c r="DU3" s="44"/>
      <c r="DV3" s="44"/>
      <c r="DW3" s="44"/>
      <c r="DX3" s="44"/>
      <c r="DY3" s="44"/>
      <c r="DZ3" s="44"/>
      <c r="EA3" s="44"/>
      <c r="EB3" s="44"/>
      <c r="EC3" s="44"/>
      <c r="ED3" s="44"/>
      <c r="EE3" s="44"/>
      <c r="EF3" s="44"/>
      <c r="EG3" s="44"/>
      <c r="EH3" s="44"/>
      <c r="EI3" s="44"/>
      <c r="EJ3" s="44"/>
      <c r="EK3" s="65"/>
      <c r="EL3" s="44"/>
      <c r="EM3" s="44"/>
      <c r="EN3" s="44"/>
      <c r="EO3" s="44"/>
      <c r="EP3" s="44"/>
      <c r="EQ3" s="44"/>
      <c r="ER3" s="44"/>
      <c r="ES3" s="44"/>
      <c r="ET3" s="44"/>
      <c r="EU3" s="44">
        <f>SUM(CM3:CP3)</f>
        <v>0</v>
      </c>
      <c r="EV3" s="44">
        <f>SUM(CQ3:CT3)</f>
        <v>154</v>
      </c>
      <c r="EW3" s="44">
        <f>SUM(CU3:CX3)</f>
        <v>36781</v>
      </c>
      <c r="EX3" s="44">
        <f>SUM(CY3:DB3)</f>
        <v>37806</v>
      </c>
      <c r="EY3" s="44">
        <f>SUM(DC3:DF3)</f>
        <v>11220</v>
      </c>
      <c r="EZ3" s="44">
        <f>+EY3*0.5</f>
        <v>5610</v>
      </c>
      <c r="FA3" s="44">
        <f>+EZ3*0.9</f>
        <v>5049</v>
      </c>
      <c r="FB3" s="44">
        <f t="shared" ref="FB3:FF3" si="1">+FA3*0.5</f>
        <v>2524.5</v>
      </c>
      <c r="FC3" s="44">
        <f t="shared" si="1"/>
        <v>1262.25</v>
      </c>
      <c r="FD3" s="44">
        <f t="shared" si="1"/>
        <v>631.125</v>
      </c>
      <c r="FE3" s="44">
        <f t="shared" si="1"/>
        <v>315.5625</v>
      </c>
      <c r="FF3" s="44">
        <f t="shared" si="1"/>
        <v>157.78125</v>
      </c>
      <c r="FG3" s="44">
        <f t="shared" ref="FG3:FK3" si="2">+FF3*0.2</f>
        <v>31.556250000000002</v>
      </c>
      <c r="FH3" s="44">
        <f t="shared" si="2"/>
        <v>6.3112500000000011</v>
      </c>
      <c r="FI3" s="44">
        <f t="shared" si="2"/>
        <v>1.2622500000000003</v>
      </c>
      <c r="FJ3" s="44">
        <f t="shared" si="2"/>
        <v>0.25245000000000006</v>
      </c>
      <c r="FK3" s="44">
        <f t="shared" si="2"/>
        <v>5.0490000000000014E-2</v>
      </c>
      <c r="FL3" s="44"/>
      <c r="FM3" s="44"/>
      <c r="FN3" s="44"/>
      <c r="FO3" s="44"/>
      <c r="FP3" s="44"/>
      <c r="FQ3" s="81"/>
      <c r="FR3" s="44"/>
      <c r="FS3" s="84"/>
      <c r="FT3" s="68"/>
    </row>
    <row r="4" spans="1:177" s="14" customFormat="1">
      <c r="B4" s="126" t="s">
        <v>390</v>
      </c>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8"/>
      <c r="AF4" s="68"/>
      <c r="AG4" s="68"/>
      <c r="AH4" s="68"/>
      <c r="AI4" s="62"/>
      <c r="AJ4" s="62"/>
      <c r="AK4" s="62"/>
      <c r="AL4" s="62"/>
      <c r="AM4" s="103"/>
      <c r="AN4" s="62"/>
      <c r="AO4" s="62"/>
      <c r="AP4" s="62"/>
      <c r="AQ4" s="68"/>
      <c r="AR4" s="68"/>
      <c r="AS4" s="68"/>
      <c r="AT4" s="68"/>
      <c r="AU4" s="68"/>
      <c r="AV4" s="70"/>
      <c r="AW4" s="68"/>
      <c r="AX4" s="68"/>
      <c r="AY4" s="68"/>
      <c r="AZ4" s="68"/>
      <c r="BA4" s="68"/>
      <c r="BB4" s="68"/>
      <c r="BC4" s="70"/>
      <c r="BD4" s="68"/>
      <c r="BE4" s="68"/>
      <c r="BF4" s="70"/>
      <c r="BG4" s="70" t="s">
        <v>605</v>
      </c>
      <c r="BH4" s="70" t="s">
        <v>605</v>
      </c>
      <c r="BI4" s="70" t="s">
        <v>605</v>
      </c>
      <c r="BJ4" s="70" t="s">
        <v>605</v>
      </c>
      <c r="BK4" s="70" t="s">
        <v>605</v>
      </c>
      <c r="BL4" s="70" t="s">
        <v>605</v>
      </c>
      <c r="BM4" s="70" t="s">
        <v>605</v>
      </c>
      <c r="BN4" s="70" t="s">
        <v>605</v>
      </c>
      <c r="BO4" s="70" t="s">
        <v>605</v>
      </c>
      <c r="BP4" s="68" t="s">
        <v>605</v>
      </c>
      <c r="BQ4" s="68" t="s">
        <v>605</v>
      </c>
      <c r="BR4" s="68" t="s">
        <v>605</v>
      </c>
      <c r="BS4" s="68"/>
      <c r="BT4" s="68" t="s">
        <v>605</v>
      </c>
      <c r="BU4" s="68" t="s">
        <v>605</v>
      </c>
      <c r="BV4" s="68" t="s">
        <v>605</v>
      </c>
      <c r="BW4" s="68"/>
      <c r="BX4" s="68"/>
      <c r="BY4" s="68"/>
      <c r="BZ4" s="68"/>
      <c r="CA4" s="68"/>
      <c r="CB4" s="68"/>
      <c r="CC4" s="68"/>
      <c r="CD4" s="68"/>
      <c r="CE4" s="68"/>
      <c r="CF4" s="68"/>
      <c r="CG4" s="68"/>
      <c r="CH4" s="68"/>
      <c r="CI4" s="68"/>
      <c r="CJ4" s="68"/>
      <c r="CK4" s="68">
        <v>870</v>
      </c>
      <c r="CL4" s="68">
        <v>910</v>
      </c>
      <c r="CM4" s="68">
        <v>1011</v>
      </c>
      <c r="CN4" s="122">
        <v>1085</v>
      </c>
      <c r="CO4" s="122">
        <v>1025</v>
      </c>
      <c r="CP4" s="122">
        <v>1099</v>
      </c>
      <c r="CQ4" s="122">
        <v>1300</v>
      </c>
      <c r="CR4" s="122">
        <v>1272</v>
      </c>
      <c r="CS4" s="122">
        <v>1114</v>
      </c>
      <c r="CT4" s="122">
        <v>1262</v>
      </c>
      <c r="CU4" s="122">
        <v>1643</v>
      </c>
      <c r="CV4" s="122">
        <v>1481</v>
      </c>
      <c r="CW4" s="122">
        <v>1346</v>
      </c>
      <c r="CX4" s="122">
        <v>1500</v>
      </c>
      <c r="CY4" s="122">
        <v>1793</v>
      </c>
      <c r="CZ4" s="122">
        <v>1745</v>
      </c>
      <c r="DA4" s="122">
        <v>1464</v>
      </c>
      <c r="DB4" s="122">
        <v>1479</v>
      </c>
      <c r="DC4" s="122">
        <v>1874</v>
      </c>
      <c r="DD4" s="122">
        <v>1762</v>
      </c>
      <c r="DE4" s="122">
        <v>1498</v>
      </c>
      <c r="DF4" s="122">
        <v>1612</v>
      </c>
      <c r="DG4" s="122">
        <v>2040</v>
      </c>
      <c r="DH4" s="122">
        <v>1877</v>
      </c>
      <c r="DI4" s="122"/>
      <c r="DJ4" s="122"/>
      <c r="DK4" s="122"/>
      <c r="DL4" s="122"/>
      <c r="DM4" s="122"/>
      <c r="DN4" s="122"/>
      <c r="DO4" s="122"/>
      <c r="DP4" s="68"/>
      <c r="DQ4" s="68"/>
      <c r="DU4" s="68"/>
      <c r="DV4" s="68"/>
      <c r="DW4" s="68"/>
      <c r="DX4" s="68"/>
      <c r="DY4" s="68"/>
      <c r="DZ4" s="68"/>
      <c r="EA4" s="68"/>
      <c r="EB4" s="68"/>
      <c r="EC4" s="68"/>
      <c r="ED4" s="68"/>
      <c r="EE4" s="68"/>
      <c r="EF4" s="68"/>
      <c r="EG4" s="68"/>
      <c r="EH4" s="68"/>
      <c r="EI4" s="68" t="s">
        <v>702</v>
      </c>
      <c r="EJ4" s="68" t="s">
        <v>702</v>
      </c>
      <c r="EK4" s="70"/>
      <c r="EL4" s="68">
        <v>0</v>
      </c>
      <c r="EM4" s="44">
        <f>SUM(BG4:BJ4)</f>
        <v>0</v>
      </c>
      <c r="EN4" s="68"/>
      <c r="EO4" s="68"/>
      <c r="EP4" s="44">
        <f>SUM(BS4:BV4)</f>
        <v>0</v>
      </c>
      <c r="EQ4" s="68"/>
      <c r="ER4" s="68"/>
      <c r="ES4" s="68"/>
      <c r="ET4" s="68"/>
      <c r="EU4" s="44">
        <f>SUM(CM4:CP4)</f>
        <v>4220</v>
      </c>
      <c r="EV4" s="44">
        <f t="shared" ref="EV4:EV79" si="3">SUM(CQ4:CT4)</f>
        <v>4948</v>
      </c>
      <c r="EW4" s="44">
        <f t="shared" ref="EW4:EW80" si="4">SUM(CU4:CX4)</f>
        <v>5970</v>
      </c>
      <c r="EX4" s="44">
        <f t="shared" ref="EX4:EX41" si="5">SUM(CY4:DB4)</f>
        <v>6481</v>
      </c>
      <c r="EY4" s="44">
        <f t="shared" ref="EY4:EY79" si="6">SUM(DC4:DF4)</f>
        <v>6746</v>
      </c>
      <c r="EZ4" s="68">
        <f>+EY4*1.01</f>
        <v>6813.46</v>
      </c>
      <c r="FA4" s="68">
        <f t="shared" ref="FA4:FD4" si="7">+EZ4*1.01</f>
        <v>6881.5946000000004</v>
      </c>
      <c r="FB4" s="68">
        <f t="shared" si="7"/>
        <v>6950.4105460000001</v>
      </c>
      <c r="FC4" s="68">
        <f t="shared" si="7"/>
        <v>7019.9146514599997</v>
      </c>
      <c r="FD4" s="68">
        <f t="shared" si="7"/>
        <v>7090.1137979745999</v>
      </c>
      <c r="FE4" s="68">
        <f>+FD4*0.1</f>
        <v>709.01137979745999</v>
      </c>
      <c r="FF4" s="68">
        <f t="shared" ref="FF4:FK4" si="8">+FE4*0.1</f>
        <v>70.901137979745997</v>
      </c>
      <c r="FG4" s="68">
        <f t="shared" si="8"/>
        <v>7.0901137979745998</v>
      </c>
      <c r="FH4" s="68">
        <f t="shared" si="8"/>
        <v>0.70901137979745998</v>
      </c>
      <c r="FI4" s="68">
        <f t="shared" si="8"/>
        <v>7.0901137979745996E-2</v>
      </c>
      <c r="FJ4" s="68">
        <f t="shared" si="8"/>
        <v>7.0901137979745999E-3</v>
      </c>
      <c r="FK4" s="68">
        <f t="shared" si="8"/>
        <v>7.0901137979746003E-4</v>
      </c>
      <c r="FL4" s="68"/>
      <c r="FM4" s="68"/>
      <c r="FN4" s="68"/>
      <c r="FO4" s="68"/>
      <c r="FP4" s="68"/>
      <c r="FQ4" s="83">
        <v>0</v>
      </c>
      <c r="FR4" s="68">
        <f>EQ4*0.3</f>
        <v>0</v>
      </c>
      <c r="FS4" s="84">
        <f>EV4*0.2</f>
        <v>989.6</v>
      </c>
      <c r="FT4" s="68"/>
    </row>
    <row r="5" spans="1:177" s="23" customFormat="1">
      <c r="B5" s="111" t="s">
        <v>607</v>
      </c>
      <c r="C5" s="68" t="s">
        <v>605</v>
      </c>
      <c r="D5" s="68" t="s">
        <v>605</v>
      </c>
      <c r="E5" s="68" t="s">
        <v>605</v>
      </c>
      <c r="F5" s="68" t="s">
        <v>605</v>
      </c>
      <c r="G5" s="68" t="s">
        <v>605</v>
      </c>
      <c r="H5" s="68" t="s">
        <v>605</v>
      </c>
      <c r="I5" s="68" t="s">
        <v>605</v>
      </c>
      <c r="J5" s="68" t="s">
        <v>605</v>
      </c>
      <c r="K5" s="68" t="s">
        <v>605</v>
      </c>
      <c r="L5" s="68" t="s">
        <v>605</v>
      </c>
      <c r="M5" s="68" t="s">
        <v>605</v>
      </c>
      <c r="N5" s="68" t="s">
        <v>605</v>
      </c>
      <c r="O5" s="68" t="s">
        <v>605</v>
      </c>
      <c r="P5" s="68" t="s">
        <v>605</v>
      </c>
      <c r="Q5" s="68" t="s">
        <v>605</v>
      </c>
      <c r="R5" s="68" t="s">
        <v>605</v>
      </c>
      <c r="S5" s="68" t="s">
        <v>605</v>
      </c>
      <c r="T5" s="68" t="s">
        <v>605</v>
      </c>
      <c r="U5" s="68" t="s">
        <v>605</v>
      </c>
      <c r="V5" s="68" t="s">
        <v>605</v>
      </c>
      <c r="W5" s="68" t="s">
        <v>605</v>
      </c>
      <c r="X5" s="68" t="s">
        <v>605</v>
      </c>
      <c r="Y5" s="68" t="s">
        <v>605</v>
      </c>
      <c r="Z5" s="68" t="s">
        <v>605</v>
      </c>
      <c r="AA5" s="68">
        <v>228.8</v>
      </c>
      <c r="AB5" s="68">
        <v>264.89999999999998</v>
      </c>
      <c r="AC5" s="68">
        <v>242.5</v>
      </c>
      <c r="AD5" s="68">
        <f>945.6-AC5-AB5-AA5</f>
        <v>209.40000000000003</v>
      </c>
      <c r="AE5" s="68">
        <v>173.4</v>
      </c>
      <c r="AF5" s="68">
        <v>219.1</v>
      </c>
      <c r="AG5" s="68">
        <v>320.8</v>
      </c>
      <c r="AH5" s="68">
        <f>1053.6-AG5-AF5-AE5</f>
        <v>340.29999999999995</v>
      </c>
      <c r="AI5" s="68">
        <v>391.1</v>
      </c>
      <c r="AJ5" s="68">
        <v>323.3</v>
      </c>
      <c r="AK5" s="68">
        <v>393.1</v>
      </c>
      <c r="AL5" s="70">
        <f>1508.3-AK5-AJ5-AI5</f>
        <v>400.79999999999984</v>
      </c>
      <c r="AM5" s="70">
        <v>431.6</v>
      </c>
      <c r="AN5" s="70">
        <v>518.20000000000005</v>
      </c>
      <c r="AO5" s="70">
        <v>509.8</v>
      </c>
      <c r="AP5" s="70">
        <v>501.7</v>
      </c>
      <c r="AQ5" s="128" t="s">
        <v>608</v>
      </c>
      <c r="AR5" s="128" t="s">
        <v>609</v>
      </c>
      <c r="AS5" s="128" t="s">
        <v>610</v>
      </c>
      <c r="AT5" s="128" t="s">
        <v>611</v>
      </c>
      <c r="AU5" s="73">
        <v>705.803</v>
      </c>
      <c r="AV5" s="75">
        <v>690.654</v>
      </c>
      <c r="AW5" s="73" t="s">
        <v>612</v>
      </c>
      <c r="AX5" s="75" t="s">
        <v>613</v>
      </c>
      <c r="AY5" s="75">
        <v>754.65</v>
      </c>
      <c r="AZ5" s="73">
        <v>783.61500000000001</v>
      </c>
      <c r="BA5" s="73" t="s">
        <v>614</v>
      </c>
      <c r="BB5" s="73">
        <v>287</v>
      </c>
      <c r="BC5" s="70">
        <f>181+208+339+78</f>
        <v>806</v>
      </c>
      <c r="BD5" s="68">
        <f>569+331</f>
        <v>900</v>
      </c>
      <c r="BE5" s="68">
        <f>735+179</f>
        <v>914</v>
      </c>
      <c r="BF5" s="70">
        <f>826+223</f>
        <v>1049</v>
      </c>
      <c r="BG5" s="68">
        <f>996+153</f>
        <v>1149</v>
      </c>
      <c r="BH5" s="70">
        <f>821+155</f>
        <v>976</v>
      </c>
      <c r="BI5" s="68">
        <f>1006+98</f>
        <v>1104</v>
      </c>
      <c r="BJ5" s="70">
        <f>834+82</f>
        <v>916</v>
      </c>
      <c r="BK5" s="70">
        <f>941+138</f>
        <v>1079</v>
      </c>
      <c r="BL5" s="68">
        <f>916+84</f>
        <v>1000</v>
      </c>
      <c r="BM5" s="68">
        <f>868+81</f>
        <v>949</v>
      </c>
      <c r="BN5" s="68">
        <f>993+96</f>
        <v>1089</v>
      </c>
      <c r="BO5" s="68">
        <f>846+81</f>
        <v>927</v>
      </c>
      <c r="BP5" s="68">
        <v>969</v>
      </c>
      <c r="BQ5" s="68">
        <v>959</v>
      </c>
      <c r="BR5" s="68">
        <v>1119</v>
      </c>
      <c r="BS5" s="68">
        <v>927</v>
      </c>
      <c r="BT5" s="68">
        <v>1097</v>
      </c>
      <c r="BU5" s="68">
        <f>+BQ5*1.01</f>
        <v>968.59</v>
      </c>
      <c r="BV5" s="68">
        <f>+BR5*1.01</f>
        <v>1130.19</v>
      </c>
      <c r="BW5" s="68"/>
      <c r="BX5" s="68"/>
      <c r="BY5" s="68"/>
      <c r="BZ5" s="68"/>
      <c r="CA5" s="68"/>
      <c r="CB5" s="68"/>
      <c r="CC5" s="68"/>
      <c r="CD5" s="68"/>
      <c r="CE5" s="68"/>
      <c r="CF5" s="68"/>
      <c r="CG5" s="68"/>
      <c r="CH5" s="68"/>
      <c r="CI5" s="68"/>
      <c r="CJ5" s="68"/>
      <c r="CK5" s="68">
        <v>1660</v>
      </c>
      <c r="CL5" s="68">
        <v>1512</v>
      </c>
      <c r="CM5" s="68">
        <v>1486</v>
      </c>
      <c r="CN5" s="122">
        <v>1179</v>
      </c>
      <c r="CO5" s="122">
        <v>1603</v>
      </c>
      <c r="CP5" s="122">
        <v>1579</v>
      </c>
      <c r="CQ5" s="122">
        <v>1450</v>
      </c>
      <c r="CR5" s="122">
        <v>1116</v>
      </c>
      <c r="CS5" s="122">
        <v>1534</v>
      </c>
      <c r="CT5" s="122">
        <v>1750</v>
      </c>
      <c r="CU5" s="122">
        <v>1284</v>
      </c>
      <c r="CV5" s="122">
        <v>1241</v>
      </c>
      <c r="CW5" s="122">
        <v>1447</v>
      </c>
      <c r="CX5" s="122">
        <v>1302</v>
      </c>
      <c r="CY5" s="122">
        <v>1565</v>
      </c>
      <c r="CZ5" s="122">
        <v>1429</v>
      </c>
      <c r="DA5" s="122">
        <v>1607</v>
      </c>
      <c r="DB5" s="122">
        <v>1736</v>
      </c>
      <c r="DC5" s="122">
        <v>1602</v>
      </c>
      <c r="DD5" s="122">
        <v>1388</v>
      </c>
      <c r="DE5" s="122">
        <v>1854</v>
      </c>
      <c r="DF5" s="122">
        <v>1605</v>
      </c>
      <c r="DG5" s="122">
        <v>1691</v>
      </c>
      <c r="DH5" s="122">
        <v>1359</v>
      </c>
      <c r="DI5" s="122"/>
      <c r="DJ5" s="122"/>
      <c r="DK5" s="122"/>
      <c r="DL5" s="122"/>
      <c r="DM5" s="122"/>
      <c r="DN5" s="122"/>
      <c r="DO5" s="122"/>
      <c r="DP5" s="68"/>
      <c r="DQ5" s="68"/>
      <c r="DU5" s="68"/>
      <c r="DV5" s="68" t="s">
        <v>605</v>
      </c>
      <c r="DW5" s="68" t="s">
        <v>605</v>
      </c>
      <c r="DX5" s="68" t="s">
        <v>605</v>
      </c>
      <c r="DY5" s="68" t="s">
        <v>605</v>
      </c>
      <c r="DZ5" s="68" t="s">
        <v>605</v>
      </c>
      <c r="EA5" s="68" t="s">
        <v>605</v>
      </c>
      <c r="EB5" s="68">
        <v>460.6</v>
      </c>
      <c r="EC5" s="68">
        <v>798.2</v>
      </c>
      <c r="ED5" s="73">
        <v>647.5</v>
      </c>
      <c r="EE5" s="73">
        <v>945.6</v>
      </c>
      <c r="EF5" s="73">
        <v>1053.5999999999999</v>
      </c>
      <c r="EG5" s="73">
        <v>1508.3</v>
      </c>
      <c r="EH5" s="73">
        <v>1961.3</v>
      </c>
      <c r="EI5" s="73" t="s">
        <v>615</v>
      </c>
      <c r="EJ5" s="73" t="s">
        <v>616</v>
      </c>
      <c r="EK5" s="75">
        <f>SUM(AY5:BB5)</f>
        <v>1825.2649999999999</v>
      </c>
      <c r="EL5" s="68">
        <f>SUM(BC5:BF5)</f>
        <v>3669</v>
      </c>
      <c r="EM5" s="68">
        <f>SUM(BG5:BJ5)</f>
        <v>4145</v>
      </c>
      <c r="EN5" s="44">
        <f>SUM(BK5:BN5)</f>
        <v>4117</v>
      </c>
      <c r="EO5" s="44">
        <f>SUM(BO5:BR5)</f>
        <v>3974</v>
      </c>
      <c r="EP5" s="44">
        <f t="shared" ref="EP5" si="9">SUM(BS5:BV5)</f>
        <v>4122.7800000000007</v>
      </c>
      <c r="EQ5" s="68">
        <f>EP5*1.04</f>
        <v>4287.6912000000011</v>
      </c>
      <c r="ER5" s="68"/>
      <c r="ES5" s="68"/>
      <c r="ET5" s="68"/>
      <c r="EU5" s="44">
        <f>SUM(CM5:CP5)</f>
        <v>5847</v>
      </c>
      <c r="EV5" s="44">
        <f t="shared" si="3"/>
        <v>5850</v>
      </c>
      <c r="EW5" s="44">
        <f t="shared" si="4"/>
        <v>5274</v>
      </c>
      <c r="EX5" s="44">
        <f t="shared" si="5"/>
        <v>6337</v>
      </c>
      <c r="EY5" s="44">
        <f t="shared" si="6"/>
        <v>6449</v>
      </c>
      <c r="EZ5" s="68">
        <f>+EY5*1.01</f>
        <v>6513.49</v>
      </c>
      <c r="FA5" s="68">
        <f t="shared" ref="FA5:FK5" si="10">+EZ5*1.01</f>
        <v>6578.6248999999998</v>
      </c>
      <c r="FB5" s="68">
        <f t="shared" si="10"/>
        <v>6644.4111489999996</v>
      </c>
      <c r="FC5" s="68">
        <f t="shared" si="10"/>
        <v>6710.8552604899996</v>
      </c>
      <c r="FD5" s="68">
        <f t="shared" si="10"/>
        <v>6777.9638130948997</v>
      </c>
      <c r="FE5" s="68">
        <f t="shared" si="10"/>
        <v>6845.7434512258487</v>
      </c>
      <c r="FF5" s="68">
        <f t="shared" si="10"/>
        <v>6914.200885738107</v>
      </c>
      <c r="FG5" s="68">
        <f t="shared" si="10"/>
        <v>6983.3428945954884</v>
      </c>
      <c r="FH5" s="68">
        <f t="shared" si="10"/>
        <v>7053.1763235414437</v>
      </c>
      <c r="FI5" s="68">
        <f t="shared" si="10"/>
        <v>7123.7080867768582</v>
      </c>
      <c r="FJ5" s="68">
        <f t="shared" si="10"/>
        <v>7194.945167644627</v>
      </c>
      <c r="FK5" s="68">
        <f t="shared" si="10"/>
        <v>7266.8946193210732</v>
      </c>
      <c r="FL5" s="68"/>
      <c r="FM5" s="68"/>
      <c r="FN5" s="68"/>
      <c r="FO5" s="68"/>
      <c r="FP5" s="68"/>
      <c r="FQ5" s="83">
        <f>EL5*0.7</f>
        <v>2568.2999999999997</v>
      </c>
      <c r="FR5" s="68">
        <f>EQ5*0.7</f>
        <v>3001.3838400000004</v>
      </c>
      <c r="FS5" s="84">
        <f>EV5*0.7</f>
        <v>4094.9999999999995</v>
      </c>
      <c r="FT5" s="68"/>
      <c r="FU5" s="111"/>
    </row>
    <row r="6" spans="1:177" s="23" customFormat="1">
      <c r="B6" s="111" t="s">
        <v>1354</v>
      </c>
      <c r="C6" s="68"/>
      <c r="D6" s="68"/>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70"/>
      <c r="AM6" s="70"/>
      <c r="AN6" s="70"/>
      <c r="AO6" s="70"/>
      <c r="AP6" s="70"/>
      <c r="AQ6" s="128"/>
      <c r="AR6" s="128"/>
      <c r="AS6" s="128"/>
      <c r="AT6" s="128"/>
      <c r="AU6" s="73"/>
      <c r="AV6" s="75"/>
      <c r="AW6" s="73"/>
      <c r="AX6" s="75"/>
      <c r="AY6" s="75"/>
      <c r="AZ6" s="73"/>
      <c r="BA6" s="73"/>
      <c r="BB6" s="73"/>
      <c r="BC6" s="70"/>
      <c r="BD6" s="68"/>
      <c r="BE6" s="68"/>
      <c r="BF6" s="70"/>
      <c r="BG6" s="68"/>
      <c r="BH6" s="70"/>
      <c r="BI6" s="68"/>
      <c r="BJ6" s="70"/>
      <c r="BK6" s="70"/>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v>0</v>
      </c>
      <c r="CL6" s="68">
        <v>0</v>
      </c>
      <c r="CM6" s="68">
        <v>0</v>
      </c>
      <c r="CN6" s="122">
        <v>0</v>
      </c>
      <c r="CO6" s="122">
        <v>0</v>
      </c>
      <c r="CP6" s="122">
        <v>0</v>
      </c>
      <c r="CQ6" s="122">
        <v>0</v>
      </c>
      <c r="CR6" s="122">
        <v>0</v>
      </c>
      <c r="CS6" s="122">
        <v>0</v>
      </c>
      <c r="CT6" s="122">
        <v>0</v>
      </c>
      <c r="CU6" s="122">
        <v>0</v>
      </c>
      <c r="CV6" s="122">
        <v>0</v>
      </c>
      <c r="CW6" s="122">
        <v>0</v>
      </c>
      <c r="CX6" s="122">
        <v>76</v>
      </c>
      <c r="CY6" s="122">
        <v>1470</v>
      </c>
      <c r="CZ6" s="122">
        <v>8115</v>
      </c>
      <c r="DA6" s="122">
        <v>7514</v>
      </c>
      <c r="DB6" s="122">
        <v>1834</v>
      </c>
      <c r="DC6" s="122">
        <v>4069</v>
      </c>
      <c r="DD6" s="122">
        <v>143</v>
      </c>
      <c r="DE6" s="122">
        <v>202</v>
      </c>
      <c r="DF6" s="122">
        <v>-3135</v>
      </c>
      <c r="DG6" s="122">
        <v>2035</v>
      </c>
      <c r="DH6" s="122">
        <v>251</v>
      </c>
      <c r="DI6" s="122"/>
      <c r="DJ6" s="122"/>
      <c r="DK6" s="122"/>
      <c r="DL6" s="122"/>
      <c r="DM6" s="122"/>
      <c r="DN6" s="122"/>
      <c r="DO6" s="122"/>
      <c r="DP6" s="68"/>
      <c r="DQ6" s="68"/>
      <c r="DU6" s="68"/>
      <c r="DV6" s="68"/>
      <c r="DW6" s="68"/>
      <c r="DX6" s="68"/>
      <c r="DY6" s="68"/>
      <c r="DZ6" s="68"/>
      <c r="EA6" s="68"/>
      <c r="EB6" s="68"/>
      <c r="EC6" s="68"/>
      <c r="ED6" s="73"/>
      <c r="EE6" s="73"/>
      <c r="EF6" s="73"/>
      <c r="EG6" s="73"/>
      <c r="EH6" s="73"/>
      <c r="EI6" s="73"/>
      <c r="EJ6" s="73"/>
      <c r="EK6" s="75"/>
      <c r="EL6" s="68"/>
      <c r="EM6" s="68"/>
      <c r="EN6" s="44"/>
      <c r="EO6" s="44"/>
      <c r="EP6" s="44"/>
      <c r="EQ6" s="68"/>
      <c r="ER6" s="68"/>
      <c r="ES6" s="68"/>
      <c r="ET6" s="68"/>
      <c r="EU6" s="44">
        <f t="shared" ref="EU6:EU85" si="11">SUM(CM6:CP6)</f>
        <v>0</v>
      </c>
      <c r="EV6" s="44">
        <f t="shared" si="3"/>
        <v>0</v>
      </c>
      <c r="EW6" s="44">
        <f t="shared" si="4"/>
        <v>76</v>
      </c>
      <c r="EX6" s="44">
        <f t="shared" si="5"/>
        <v>18933</v>
      </c>
      <c r="EY6" s="44">
        <f t="shared" si="6"/>
        <v>1279</v>
      </c>
      <c r="EZ6" s="68">
        <f>+EY6*0.5</f>
        <v>639.5</v>
      </c>
      <c r="FA6" s="68">
        <f t="shared" ref="FA6:FF6" si="12">+EZ6*0.5</f>
        <v>319.75</v>
      </c>
      <c r="FB6" s="68">
        <f t="shared" si="12"/>
        <v>159.875</v>
      </c>
      <c r="FC6" s="68">
        <f t="shared" si="12"/>
        <v>79.9375</v>
      </c>
      <c r="FD6" s="68">
        <f t="shared" si="12"/>
        <v>39.96875</v>
      </c>
      <c r="FE6" s="68">
        <f t="shared" si="12"/>
        <v>19.984375</v>
      </c>
      <c r="FF6" s="68">
        <f t="shared" si="12"/>
        <v>9.9921875</v>
      </c>
      <c r="FG6" s="68">
        <f t="shared" ref="FG6:FK6" si="13">+FF6*0.1</f>
        <v>0.99921875000000004</v>
      </c>
      <c r="FH6" s="68">
        <f t="shared" si="13"/>
        <v>9.9921875000000007E-2</v>
      </c>
      <c r="FI6" s="68">
        <f t="shared" si="13"/>
        <v>9.9921875000000011E-3</v>
      </c>
      <c r="FJ6" s="68">
        <f t="shared" si="13"/>
        <v>9.9921875000000011E-4</v>
      </c>
      <c r="FK6" s="68">
        <f t="shared" si="13"/>
        <v>9.9921875000000022E-5</v>
      </c>
      <c r="FL6" s="68"/>
      <c r="FM6" s="68"/>
      <c r="FN6" s="68"/>
      <c r="FO6" s="68"/>
      <c r="FP6" s="68"/>
      <c r="FQ6" s="83"/>
      <c r="FR6" s="68"/>
      <c r="FS6" s="84"/>
      <c r="FT6" s="68"/>
      <c r="FU6" s="111"/>
    </row>
    <row r="7" spans="1:177" s="23" customFormat="1">
      <c r="B7" s="111" t="s">
        <v>1355</v>
      </c>
      <c r="C7" s="68"/>
      <c r="D7" s="68"/>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70"/>
      <c r="AM7" s="70"/>
      <c r="AN7" s="70"/>
      <c r="AO7" s="70"/>
      <c r="AP7" s="70"/>
      <c r="AQ7" s="128"/>
      <c r="AR7" s="128"/>
      <c r="AS7" s="128"/>
      <c r="AT7" s="128"/>
      <c r="AU7" s="73"/>
      <c r="AV7" s="75"/>
      <c r="AW7" s="73"/>
      <c r="AX7" s="75"/>
      <c r="AY7" s="75"/>
      <c r="AZ7" s="73"/>
      <c r="BA7" s="73"/>
      <c r="BB7" s="73"/>
      <c r="BC7" s="70"/>
      <c r="BD7" s="68"/>
      <c r="BE7" s="68"/>
      <c r="BF7" s="70"/>
      <c r="BG7" s="68"/>
      <c r="BH7" s="70"/>
      <c r="BI7" s="68"/>
      <c r="BJ7" s="70"/>
      <c r="BK7" s="70"/>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v>1025</v>
      </c>
      <c r="CL7" s="68">
        <v>1133</v>
      </c>
      <c r="CM7" s="68">
        <v>1133</v>
      </c>
      <c r="CN7" s="122">
        <v>1261</v>
      </c>
      <c r="CO7" s="122">
        <v>1283</v>
      </c>
      <c r="CP7" s="122">
        <v>1283</v>
      </c>
      <c r="CQ7" s="122">
        <v>1248</v>
      </c>
      <c r="CR7" s="122">
        <v>1349</v>
      </c>
      <c r="CS7" s="122">
        <v>1357</v>
      </c>
      <c r="CT7" s="122">
        <v>1436</v>
      </c>
      <c r="CU7" s="122">
        <v>1254</v>
      </c>
      <c r="CV7" s="122">
        <v>1404</v>
      </c>
      <c r="CW7" s="122">
        <v>1381</v>
      </c>
      <c r="CX7" s="122">
        <v>1398</v>
      </c>
      <c r="CY7" s="122">
        <v>1237</v>
      </c>
      <c r="CZ7" s="122">
        <v>1320</v>
      </c>
      <c r="DA7" s="122">
        <v>1283</v>
      </c>
      <c r="DB7" s="122">
        <v>1279</v>
      </c>
      <c r="DC7" s="122">
        <v>1144</v>
      </c>
      <c r="DD7" s="122">
        <v>1247</v>
      </c>
      <c r="DE7" s="122">
        <v>1244</v>
      </c>
      <c r="DF7" s="122">
        <v>1118</v>
      </c>
      <c r="DG7" s="122">
        <v>1054</v>
      </c>
      <c r="DH7" s="122">
        <v>1130</v>
      </c>
      <c r="DI7" s="122"/>
      <c r="DJ7" s="122"/>
      <c r="DK7" s="122"/>
      <c r="DL7" s="122"/>
      <c r="DM7" s="122"/>
      <c r="DN7" s="122"/>
      <c r="DO7" s="122"/>
      <c r="DP7" s="68"/>
      <c r="DQ7" s="68"/>
      <c r="DU7" s="68"/>
      <c r="DV7" s="68"/>
      <c r="DW7" s="68"/>
      <c r="DX7" s="68"/>
      <c r="DY7" s="68"/>
      <c r="DZ7" s="68"/>
      <c r="EA7" s="68"/>
      <c r="EB7" s="68"/>
      <c r="EC7" s="68"/>
      <c r="ED7" s="73"/>
      <c r="EE7" s="73"/>
      <c r="EF7" s="73"/>
      <c r="EG7" s="73"/>
      <c r="EH7" s="73"/>
      <c r="EI7" s="73"/>
      <c r="EJ7" s="73"/>
      <c r="EK7" s="75"/>
      <c r="EL7" s="68"/>
      <c r="EM7" s="68"/>
      <c r="EN7" s="44"/>
      <c r="EO7" s="44"/>
      <c r="EP7" s="44"/>
      <c r="EQ7" s="68"/>
      <c r="ER7" s="68"/>
      <c r="ES7" s="68"/>
      <c r="ET7" s="68"/>
      <c r="EU7" s="44">
        <f t="shared" si="11"/>
        <v>4960</v>
      </c>
      <c r="EV7" s="44">
        <f t="shared" si="3"/>
        <v>5390</v>
      </c>
      <c r="EW7" s="44">
        <f t="shared" si="4"/>
        <v>5437</v>
      </c>
      <c r="EX7" s="44">
        <f t="shared" si="5"/>
        <v>5119</v>
      </c>
      <c r="EY7" s="44">
        <f t="shared" si="6"/>
        <v>4753</v>
      </c>
      <c r="EZ7" s="68">
        <f>+EY7*0.8</f>
        <v>3802.4</v>
      </c>
      <c r="FA7" s="68">
        <f t="shared" ref="FA7:FK7" si="14">+EZ7*0.8</f>
        <v>3041.92</v>
      </c>
      <c r="FB7" s="68">
        <f t="shared" si="14"/>
        <v>2433.5360000000001</v>
      </c>
      <c r="FC7" s="68">
        <f t="shared" si="14"/>
        <v>1946.8288000000002</v>
      </c>
      <c r="FD7" s="68">
        <f t="shared" si="14"/>
        <v>1557.4630400000003</v>
      </c>
      <c r="FE7" s="68">
        <f t="shared" si="14"/>
        <v>1245.9704320000003</v>
      </c>
      <c r="FF7" s="68">
        <f t="shared" si="14"/>
        <v>996.77634560000024</v>
      </c>
      <c r="FG7" s="68">
        <f t="shared" si="14"/>
        <v>797.42107648000024</v>
      </c>
      <c r="FH7" s="68">
        <f t="shared" si="14"/>
        <v>637.93686118400024</v>
      </c>
      <c r="FI7" s="68">
        <f t="shared" si="14"/>
        <v>510.3494889472002</v>
      </c>
      <c r="FJ7" s="68">
        <f t="shared" si="14"/>
        <v>408.27959115776019</v>
      </c>
      <c r="FK7" s="68">
        <f t="shared" si="14"/>
        <v>326.6236729262082</v>
      </c>
      <c r="FL7" s="68"/>
      <c r="FM7" s="68"/>
      <c r="FN7" s="68"/>
      <c r="FO7" s="68"/>
      <c r="FP7" s="68"/>
      <c r="FQ7" s="83"/>
      <c r="FR7" s="68"/>
      <c r="FS7" s="84"/>
      <c r="FT7" s="68"/>
      <c r="FU7" s="111"/>
    </row>
    <row r="8" spans="1:177" s="23" customFormat="1">
      <c r="B8" s="111" t="s">
        <v>1356</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70"/>
      <c r="AM8" s="70"/>
      <c r="AN8" s="70"/>
      <c r="AO8" s="70"/>
      <c r="AP8" s="70"/>
      <c r="AQ8" s="128"/>
      <c r="AR8" s="128"/>
      <c r="AS8" s="128"/>
      <c r="AT8" s="128"/>
      <c r="AU8" s="73"/>
      <c r="AV8" s="75"/>
      <c r="AW8" s="73"/>
      <c r="AX8" s="75"/>
      <c r="AY8" s="75"/>
      <c r="AZ8" s="73"/>
      <c r="BA8" s="73"/>
      <c r="BB8" s="73"/>
      <c r="BC8" s="70"/>
      <c r="BD8" s="68"/>
      <c r="BE8" s="68"/>
      <c r="BF8" s="70"/>
      <c r="BG8" s="68"/>
      <c r="BH8" s="70"/>
      <c r="BI8" s="68"/>
      <c r="BJ8" s="70"/>
      <c r="BK8" s="70"/>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v>37</v>
      </c>
      <c r="CL8" s="68">
        <v>39</v>
      </c>
      <c r="CM8" s="68">
        <v>41</v>
      </c>
      <c r="CN8" s="122">
        <v>63</v>
      </c>
      <c r="CO8" s="122">
        <v>156</v>
      </c>
      <c r="CP8" s="122">
        <v>213</v>
      </c>
      <c r="CQ8" s="122">
        <v>231</v>
      </c>
      <c r="CR8" s="122">
        <v>277</v>
      </c>
      <c r="CS8" s="122">
        <v>351</v>
      </c>
      <c r="CT8" s="122">
        <v>429</v>
      </c>
      <c r="CU8" s="122">
        <v>453</v>
      </c>
      <c r="CV8" s="122">
        <v>501</v>
      </c>
      <c r="CW8" s="122">
        <v>501</v>
      </c>
      <c r="CX8" s="122">
        <v>561</v>
      </c>
      <c r="CY8" s="122">
        <v>612</v>
      </c>
      <c r="CZ8" s="122">
        <v>552</v>
      </c>
      <c r="DA8" s="122">
        <v>602</v>
      </c>
      <c r="DB8" s="122">
        <v>680</v>
      </c>
      <c r="DC8" s="122">
        <v>686</v>
      </c>
      <c r="DD8" s="122">
        <v>782</v>
      </c>
      <c r="DE8" s="122">
        <v>892</v>
      </c>
      <c r="DF8" s="122">
        <v>961</v>
      </c>
      <c r="DG8" s="122">
        <v>1137</v>
      </c>
      <c r="DH8" s="122">
        <v>1323</v>
      </c>
      <c r="DI8" s="122"/>
      <c r="DJ8" s="122"/>
      <c r="DK8" s="122"/>
      <c r="DL8" s="122"/>
      <c r="DM8" s="122"/>
      <c r="DN8" s="122"/>
      <c r="DO8" s="122"/>
      <c r="DP8" s="68"/>
      <c r="DQ8" s="68"/>
      <c r="DU8" s="68"/>
      <c r="DV8" s="68"/>
      <c r="DW8" s="68"/>
      <c r="DX8" s="68"/>
      <c r="DY8" s="68"/>
      <c r="DZ8" s="68"/>
      <c r="EA8" s="68"/>
      <c r="EB8" s="68"/>
      <c r="EC8" s="68"/>
      <c r="ED8" s="73"/>
      <c r="EE8" s="73"/>
      <c r="EF8" s="73"/>
      <c r="EG8" s="73"/>
      <c r="EH8" s="73"/>
      <c r="EI8" s="73"/>
      <c r="EJ8" s="73"/>
      <c r="EK8" s="75"/>
      <c r="EL8" s="68"/>
      <c r="EM8" s="68"/>
      <c r="EN8" s="44"/>
      <c r="EO8" s="44"/>
      <c r="EP8" s="44"/>
      <c r="EQ8" s="68"/>
      <c r="ER8" s="68"/>
      <c r="ES8" s="68"/>
      <c r="ET8" s="68"/>
      <c r="EU8" s="44">
        <f t="shared" si="11"/>
        <v>473</v>
      </c>
      <c r="EV8" s="44">
        <f t="shared" si="3"/>
        <v>1288</v>
      </c>
      <c r="EW8" s="44">
        <f t="shared" si="4"/>
        <v>2016</v>
      </c>
      <c r="EX8" s="44">
        <f t="shared" si="5"/>
        <v>2446</v>
      </c>
      <c r="EY8" s="44">
        <f t="shared" si="6"/>
        <v>3321</v>
      </c>
      <c r="EZ8" s="68">
        <f>+EY8*1.03</f>
        <v>3420.63</v>
      </c>
      <c r="FA8" s="68">
        <f t="shared" ref="FA8:FB8" si="15">+EZ8*1.03</f>
        <v>3523.2489</v>
      </c>
      <c r="FB8" s="68">
        <f t="shared" si="15"/>
        <v>3628.946367</v>
      </c>
      <c r="FC8" s="68">
        <f>+FB8*0.8</f>
        <v>2903.1570936000003</v>
      </c>
      <c r="FD8" s="68">
        <f t="shared" ref="FD8:FK8" si="16">+FC8*0.8</f>
        <v>2322.5256748800002</v>
      </c>
      <c r="FE8" s="68">
        <f t="shared" si="16"/>
        <v>1858.0205399040003</v>
      </c>
      <c r="FF8" s="68">
        <f t="shared" si="16"/>
        <v>1486.4164319232004</v>
      </c>
      <c r="FG8" s="68">
        <f t="shared" si="16"/>
        <v>1189.1331455385605</v>
      </c>
      <c r="FH8" s="68">
        <f t="shared" si="16"/>
        <v>951.30651643084843</v>
      </c>
      <c r="FI8" s="68">
        <f t="shared" si="16"/>
        <v>761.04521314467877</v>
      </c>
      <c r="FJ8" s="68">
        <f t="shared" si="16"/>
        <v>608.83617051574299</v>
      </c>
      <c r="FK8" s="68">
        <f t="shared" si="16"/>
        <v>487.06893641259444</v>
      </c>
      <c r="FL8" s="68"/>
      <c r="FM8" s="68"/>
      <c r="FN8" s="68"/>
      <c r="FO8" s="68"/>
      <c r="FP8" s="68"/>
      <c r="FQ8" s="83"/>
      <c r="FR8" s="68"/>
      <c r="FS8" s="84"/>
      <c r="FT8" s="68"/>
      <c r="FU8" s="111"/>
    </row>
    <row r="9" spans="1:177" s="14" customFormat="1">
      <c r="B9" s="14" t="s">
        <v>307</v>
      </c>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8"/>
      <c r="AF9" s="68"/>
      <c r="AG9" s="68"/>
      <c r="AH9" s="68"/>
      <c r="AI9" s="62"/>
      <c r="AJ9" s="62"/>
      <c r="AK9" s="62"/>
      <c r="AL9" s="62"/>
      <c r="AM9" s="103"/>
      <c r="AN9" s="62"/>
      <c r="AO9" s="62"/>
      <c r="AP9" s="62"/>
      <c r="AQ9" s="68"/>
      <c r="AR9" s="68"/>
      <c r="AS9" s="68"/>
      <c r="AT9" s="68"/>
      <c r="AU9" s="68"/>
      <c r="AV9" s="70"/>
      <c r="AW9" s="68"/>
      <c r="AX9" s="68"/>
      <c r="AY9" s="68"/>
      <c r="AZ9" s="68"/>
      <c r="BA9" s="68"/>
      <c r="BB9" s="68"/>
      <c r="BC9" s="70"/>
      <c r="BD9" s="68"/>
      <c r="BE9" s="68"/>
      <c r="BF9" s="70"/>
      <c r="BG9" s="68"/>
      <c r="BH9" s="70"/>
      <c r="BI9" s="68"/>
      <c r="BJ9" s="70"/>
      <c r="BK9" s="70"/>
      <c r="BL9" s="68"/>
      <c r="BM9" s="68"/>
      <c r="BN9" s="68">
        <v>6</v>
      </c>
      <c r="BO9" s="68" t="s">
        <v>605</v>
      </c>
      <c r="BP9" s="68">
        <v>22</v>
      </c>
      <c r="BQ9" s="68">
        <v>35</v>
      </c>
      <c r="BR9" s="68">
        <v>46</v>
      </c>
      <c r="BS9" s="68">
        <v>52</v>
      </c>
      <c r="BT9" s="68">
        <v>68</v>
      </c>
      <c r="BU9" s="68">
        <f t="shared" ref="BU9:BV9" si="17">+BT9+10</f>
        <v>78</v>
      </c>
      <c r="BV9" s="68">
        <f t="shared" si="17"/>
        <v>88</v>
      </c>
      <c r="BW9" s="68"/>
      <c r="BX9" s="68"/>
      <c r="BY9" s="68"/>
      <c r="BZ9" s="68"/>
      <c r="CA9" s="68"/>
      <c r="CB9" s="68"/>
      <c r="CC9" s="68"/>
      <c r="CD9" s="68"/>
      <c r="CE9" s="68"/>
      <c r="CF9" s="68"/>
      <c r="CG9" s="68"/>
      <c r="CH9" s="68"/>
      <c r="CI9" s="68"/>
      <c r="CJ9" s="68"/>
      <c r="CK9" s="68">
        <v>432</v>
      </c>
      <c r="CL9" s="68">
        <v>553</v>
      </c>
      <c r="CM9" s="68">
        <v>423</v>
      </c>
      <c r="CN9" s="122">
        <v>613</v>
      </c>
      <c r="CO9" s="122">
        <v>599</v>
      </c>
      <c r="CP9" s="122">
        <v>607</v>
      </c>
      <c r="CQ9" s="122">
        <v>451</v>
      </c>
      <c r="CR9" s="122">
        <v>635</v>
      </c>
      <c r="CS9" s="122">
        <v>654</v>
      </c>
      <c r="CT9" s="122">
        <v>696</v>
      </c>
      <c r="CU9" s="122">
        <v>538</v>
      </c>
      <c r="CV9" s="122">
        <v>586</v>
      </c>
      <c r="CW9" s="122">
        <v>610</v>
      </c>
      <c r="CX9" s="122">
        <v>721</v>
      </c>
      <c r="CY9" s="122">
        <v>372</v>
      </c>
      <c r="CZ9" s="122">
        <v>430</v>
      </c>
      <c r="DA9" s="122">
        <v>502</v>
      </c>
      <c r="DB9" s="122">
        <v>493</v>
      </c>
      <c r="DC9" s="122">
        <v>237</v>
      </c>
      <c r="DD9" s="122">
        <v>469</v>
      </c>
      <c r="DE9" s="122">
        <v>503</v>
      </c>
      <c r="DF9" s="122">
        <v>493</v>
      </c>
      <c r="DG9" s="122">
        <v>194</v>
      </c>
      <c r="DH9" s="122">
        <v>303</v>
      </c>
      <c r="DI9" s="122"/>
      <c r="DJ9" s="122"/>
      <c r="DK9" s="122"/>
      <c r="DL9" s="122"/>
      <c r="DM9" s="122"/>
      <c r="DN9" s="122"/>
      <c r="DO9" s="122"/>
      <c r="DP9" s="68"/>
      <c r="DQ9" s="68"/>
      <c r="DU9" s="68"/>
      <c r="DV9" s="68"/>
      <c r="DW9" s="68"/>
      <c r="DX9" s="68"/>
      <c r="DY9" s="68"/>
      <c r="DZ9" s="68"/>
      <c r="EA9" s="68"/>
      <c r="EB9" s="68"/>
      <c r="EC9" s="68"/>
      <c r="ED9" s="68"/>
      <c r="EE9" s="68"/>
      <c r="EF9" s="68"/>
      <c r="EG9" s="68" t="s">
        <v>709</v>
      </c>
      <c r="EH9" s="68" t="s">
        <v>709</v>
      </c>
      <c r="EI9" s="68" t="s">
        <v>702</v>
      </c>
      <c r="EJ9" s="68" t="s">
        <v>709</v>
      </c>
      <c r="EK9" s="70" t="s">
        <v>702</v>
      </c>
      <c r="EL9" s="68" t="s">
        <v>702</v>
      </c>
      <c r="EM9" s="44" t="s">
        <v>710</v>
      </c>
      <c r="EN9" s="68">
        <f>SUM(BO9:BR9)</f>
        <v>103</v>
      </c>
      <c r="EO9" s="68"/>
      <c r="EP9" s="44">
        <f>SUM(BS9:BV9)</f>
        <v>286</v>
      </c>
      <c r="EQ9" s="68">
        <v>500</v>
      </c>
      <c r="ER9" s="68"/>
      <c r="ES9" s="68"/>
      <c r="ET9" s="68"/>
      <c r="EU9" s="44">
        <f t="shared" si="11"/>
        <v>2242</v>
      </c>
      <c r="EV9" s="44">
        <f t="shared" si="3"/>
        <v>2436</v>
      </c>
      <c r="EW9" s="44">
        <f t="shared" si="4"/>
        <v>2455</v>
      </c>
      <c r="EX9" s="44">
        <f t="shared" si="5"/>
        <v>1797</v>
      </c>
      <c r="EY9" s="44">
        <f t="shared" si="6"/>
        <v>1702</v>
      </c>
      <c r="EZ9" s="68">
        <f>+EY9*0.8</f>
        <v>1361.6000000000001</v>
      </c>
      <c r="FA9" s="68">
        <f t="shared" ref="FA9:FK9" si="18">+EZ9*0.8</f>
        <v>1089.2800000000002</v>
      </c>
      <c r="FB9" s="68">
        <f t="shared" si="18"/>
        <v>871.42400000000021</v>
      </c>
      <c r="FC9" s="68">
        <f t="shared" si="18"/>
        <v>697.13920000000019</v>
      </c>
      <c r="FD9" s="68">
        <f t="shared" si="18"/>
        <v>557.71136000000013</v>
      </c>
      <c r="FE9" s="68">
        <f t="shared" si="18"/>
        <v>446.1690880000001</v>
      </c>
      <c r="FF9" s="68">
        <f t="shared" si="18"/>
        <v>356.93527040000009</v>
      </c>
      <c r="FG9" s="68">
        <f t="shared" si="18"/>
        <v>285.54821632000011</v>
      </c>
      <c r="FH9" s="68">
        <f t="shared" si="18"/>
        <v>228.43857305600011</v>
      </c>
      <c r="FI9" s="68">
        <f t="shared" si="18"/>
        <v>182.75085844480009</v>
      </c>
      <c r="FJ9" s="68">
        <f t="shared" si="18"/>
        <v>146.20068675584008</v>
      </c>
      <c r="FK9" s="68">
        <f t="shared" si="18"/>
        <v>116.96054940467207</v>
      </c>
      <c r="FL9" s="68"/>
      <c r="FM9" s="68"/>
      <c r="FN9" s="68"/>
      <c r="FO9" s="68"/>
      <c r="FP9" s="68"/>
      <c r="FQ9" s="83">
        <v>0</v>
      </c>
      <c r="FR9" s="68">
        <f>EQ9*0.7</f>
        <v>350</v>
      </c>
      <c r="FS9" s="84">
        <f>EV9*0.6</f>
        <v>1461.6</v>
      </c>
      <c r="FT9" s="68"/>
    </row>
    <row r="10" spans="1:177" s="23" customFormat="1">
      <c r="B10" s="111" t="s">
        <v>617</v>
      </c>
      <c r="C10" s="68" t="s">
        <v>605</v>
      </c>
      <c r="D10" s="68" t="s">
        <v>605</v>
      </c>
      <c r="E10" s="68" t="s">
        <v>605</v>
      </c>
      <c r="F10" s="68" t="s">
        <v>605</v>
      </c>
      <c r="G10" s="68" t="s">
        <v>605</v>
      </c>
      <c r="H10" s="68" t="s">
        <v>605</v>
      </c>
      <c r="I10" s="68" t="s">
        <v>605</v>
      </c>
      <c r="J10" s="68" t="s">
        <v>605</v>
      </c>
      <c r="K10" s="68" t="s">
        <v>605</v>
      </c>
      <c r="L10" s="68" t="s">
        <v>605</v>
      </c>
      <c r="M10" s="68" t="s">
        <v>605</v>
      </c>
      <c r="N10" s="68" t="s">
        <v>605</v>
      </c>
      <c r="O10" s="68" t="s">
        <v>605</v>
      </c>
      <c r="P10" s="68" t="s">
        <v>605</v>
      </c>
      <c r="Q10" s="68" t="s">
        <v>605</v>
      </c>
      <c r="R10" s="68" t="s">
        <v>605</v>
      </c>
      <c r="S10" s="68" t="s">
        <v>605</v>
      </c>
      <c r="T10" s="68" t="s">
        <v>605</v>
      </c>
      <c r="U10" s="68" t="s">
        <v>605</v>
      </c>
      <c r="V10" s="68" t="s">
        <v>605</v>
      </c>
      <c r="W10" s="68" t="s">
        <v>605</v>
      </c>
      <c r="X10" s="68" t="s">
        <v>605</v>
      </c>
      <c r="Y10" s="68" t="s">
        <v>605</v>
      </c>
      <c r="Z10" s="68" t="s">
        <v>605</v>
      </c>
      <c r="AA10" s="68" t="s">
        <v>605</v>
      </c>
      <c r="AB10" s="68" t="s">
        <v>605</v>
      </c>
      <c r="AC10" s="68" t="s">
        <v>605</v>
      </c>
      <c r="AD10" s="68" t="s">
        <v>605</v>
      </c>
      <c r="AE10" s="68" t="s">
        <v>605</v>
      </c>
      <c r="AF10" s="68" t="s">
        <v>605</v>
      </c>
      <c r="AG10" s="68" t="s">
        <v>605</v>
      </c>
      <c r="AH10" s="68" t="s">
        <v>605</v>
      </c>
      <c r="AI10" s="68" t="s">
        <v>605</v>
      </c>
      <c r="AJ10" s="68" t="s">
        <v>605</v>
      </c>
      <c r="AK10" s="68" t="s">
        <v>605</v>
      </c>
      <c r="AL10" s="67" t="s">
        <v>605</v>
      </c>
      <c r="AM10" s="70" t="s">
        <v>605</v>
      </c>
      <c r="AN10" s="70" t="s">
        <v>605</v>
      </c>
      <c r="AO10" s="70" t="s">
        <v>605</v>
      </c>
      <c r="AP10" s="70" t="s">
        <v>605</v>
      </c>
      <c r="AQ10" s="128" t="s">
        <v>618</v>
      </c>
      <c r="AR10" s="128" t="s">
        <v>619</v>
      </c>
      <c r="AS10" s="128" t="s">
        <v>620</v>
      </c>
      <c r="AT10" s="128" t="s">
        <v>621</v>
      </c>
      <c r="AU10" s="73" t="s">
        <v>622</v>
      </c>
      <c r="AV10" s="75" t="s">
        <v>623</v>
      </c>
      <c r="AW10" s="73" t="s">
        <v>624</v>
      </c>
      <c r="AX10" s="75" t="s">
        <v>625</v>
      </c>
      <c r="AY10" s="75" t="s">
        <v>626</v>
      </c>
      <c r="AZ10" s="73" t="s">
        <v>627</v>
      </c>
      <c r="BA10" s="73" t="s">
        <v>627</v>
      </c>
      <c r="BB10" s="73">
        <v>378</v>
      </c>
      <c r="BC10" s="70">
        <f>0+802</f>
        <v>802</v>
      </c>
      <c r="BD10" s="68">
        <v>808</v>
      </c>
      <c r="BE10" s="68">
        <v>799</v>
      </c>
      <c r="BF10" s="70">
        <v>865</v>
      </c>
      <c r="BG10" s="68">
        <v>870</v>
      </c>
      <c r="BH10" s="70">
        <v>914</v>
      </c>
      <c r="BI10" s="68">
        <v>957</v>
      </c>
      <c r="BJ10" s="70">
        <v>925</v>
      </c>
      <c r="BK10" s="70">
        <v>899</v>
      </c>
      <c r="BL10" s="68">
        <v>988</v>
      </c>
      <c r="BM10" s="68">
        <v>893</v>
      </c>
      <c r="BN10" s="68">
        <v>957</v>
      </c>
      <c r="BO10" s="68">
        <v>877</v>
      </c>
      <c r="BP10" s="68">
        <v>960</v>
      </c>
      <c r="BQ10" s="68">
        <v>932</v>
      </c>
      <c r="BR10" s="68">
        <v>1005</v>
      </c>
      <c r="BS10" s="68">
        <v>914</v>
      </c>
      <c r="BT10" s="68">
        <v>977</v>
      </c>
      <c r="BU10" s="68">
        <f>+BQ10*0.99</f>
        <v>922.68</v>
      </c>
      <c r="BV10" s="68">
        <f>+BR10*0.99</f>
        <v>994.95</v>
      </c>
      <c r="BW10" s="68"/>
      <c r="BX10" s="68"/>
      <c r="BY10" s="68"/>
      <c r="BZ10" s="68"/>
      <c r="CA10" s="68"/>
      <c r="CB10" s="68"/>
      <c r="CC10" s="68"/>
      <c r="CD10" s="68"/>
      <c r="CE10" s="68"/>
      <c r="CF10" s="68"/>
      <c r="CG10" s="68"/>
      <c r="CH10" s="68"/>
      <c r="CI10" s="68"/>
      <c r="CJ10" s="68"/>
      <c r="CK10" s="68">
        <v>531</v>
      </c>
      <c r="CL10" s="68">
        <v>524</v>
      </c>
      <c r="CM10" s="68">
        <v>451</v>
      </c>
      <c r="CN10" s="122">
        <v>420</v>
      </c>
      <c r="CO10" s="122">
        <v>415</v>
      </c>
      <c r="CP10" s="122">
        <v>414</v>
      </c>
      <c r="CQ10" s="122">
        <v>347</v>
      </c>
      <c r="CR10" s="122">
        <v>337</v>
      </c>
      <c r="CS10" s="122">
        <v>321</v>
      </c>
      <c r="CT10" s="122">
        <v>345</v>
      </c>
      <c r="CU10" s="122">
        <v>319</v>
      </c>
      <c r="CV10" s="122">
        <v>286</v>
      </c>
      <c r="CW10" s="122">
        <v>283</v>
      </c>
      <c r="CX10" s="122">
        <v>297</v>
      </c>
      <c r="CY10" s="122">
        <v>280</v>
      </c>
      <c r="CZ10" s="122">
        <v>257</v>
      </c>
      <c r="DA10" s="122">
        <v>230</v>
      </c>
      <c r="DB10" s="122">
        <v>236</v>
      </c>
      <c r="DC10" s="122">
        <v>199</v>
      </c>
      <c r="DD10" s="122">
        <v>219</v>
      </c>
      <c r="DE10" s="122">
        <v>208</v>
      </c>
      <c r="DF10" s="122">
        <v>203</v>
      </c>
      <c r="DG10" s="122">
        <v>159</v>
      </c>
      <c r="DH10" s="122">
        <v>179</v>
      </c>
      <c r="DI10" s="122"/>
      <c r="DJ10" s="122"/>
      <c r="DK10" s="122"/>
      <c r="DL10" s="122"/>
      <c r="DM10" s="122"/>
      <c r="DN10" s="122"/>
      <c r="DO10" s="122"/>
      <c r="DP10" s="68"/>
      <c r="DQ10" s="68"/>
      <c r="DU10" s="68"/>
      <c r="DV10" s="68" t="s">
        <v>605</v>
      </c>
      <c r="DW10" s="68" t="s">
        <v>605</v>
      </c>
      <c r="DX10" s="68" t="s">
        <v>605</v>
      </c>
      <c r="DY10" s="68" t="s">
        <v>605</v>
      </c>
      <c r="DZ10" s="68" t="s">
        <v>605</v>
      </c>
      <c r="EA10" s="68" t="s">
        <v>605</v>
      </c>
      <c r="EB10" s="68" t="s">
        <v>605</v>
      </c>
      <c r="EC10" s="68" t="s">
        <v>605</v>
      </c>
      <c r="ED10" s="68" t="s">
        <v>605</v>
      </c>
      <c r="EE10" s="68" t="s">
        <v>605</v>
      </c>
      <c r="EF10" s="68" t="s">
        <v>605</v>
      </c>
      <c r="EG10" s="68" t="s">
        <v>605</v>
      </c>
      <c r="EH10" s="73" t="s">
        <v>628</v>
      </c>
      <c r="EI10" s="73" t="s">
        <v>629</v>
      </c>
      <c r="EJ10" s="73" t="s">
        <v>630</v>
      </c>
      <c r="EK10" s="75">
        <f>SUM(AY10:BB10)</f>
        <v>378</v>
      </c>
      <c r="EL10" s="68">
        <f>SUM(BC10:BF10)</f>
        <v>3274</v>
      </c>
      <c r="EM10" s="68">
        <f>SUM(BG10:BJ10)</f>
        <v>3666</v>
      </c>
      <c r="EN10" s="44">
        <f>SUM(BK10:BN10)</f>
        <v>3737</v>
      </c>
      <c r="EO10" s="44">
        <f>SUM(BO10:BR10)</f>
        <v>3774</v>
      </c>
      <c r="EP10" s="44">
        <f>SUM(BS10:BV10)</f>
        <v>3808.63</v>
      </c>
      <c r="EQ10" s="68">
        <f t="shared" ref="EQ10" si="19">EP10*0.98</f>
        <v>3732.4574000000002</v>
      </c>
      <c r="ER10" s="68"/>
      <c r="ES10" s="68"/>
      <c r="ET10" s="68"/>
      <c r="EU10" s="44">
        <f t="shared" si="11"/>
        <v>1700</v>
      </c>
      <c r="EV10" s="44">
        <f t="shared" si="3"/>
        <v>1350</v>
      </c>
      <c r="EW10" s="44">
        <f t="shared" si="4"/>
        <v>1185</v>
      </c>
      <c r="EX10" s="44">
        <f t="shared" si="5"/>
        <v>1003</v>
      </c>
      <c r="EY10" s="44">
        <f t="shared" si="6"/>
        <v>829</v>
      </c>
      <c r="EZ10" s="68">
        <f>+EY10*0.9</f>
        <v>746.1</v>
      </c>
      <c r="FA10" s="68">
        <f t="shared" ref="FA10:FK10" si="20">+EZ10*0.9</f>
        <v>671.49</v>
      </c>
      <c r="FB10" s="68">
        <f t="shared" si="20"/>
        <v>604.34100000000001</v>
      </c>
      <c r="FC10" s="68">
        <f t="shared" si="20"/>
        <v>543.90690000000006</v>
      </c>
      <c r="FD10" s="68">
        <f t="shared" si="20"/>
        <v>489.51621000000006</v>
      </c>
      <c r="FE10" s="68">
        <f t="shared" si="20"/>
        <v>440.56458900000007</v>
      </c>
      <c r="FF10" s="68">
        <f t="shared" si="20"/>
        <v>396.50813010000007</v>
      </c>
      <c r="FG10" s="68">
        <f t="shared" si="20"/>
        <v>356.85731709000009</v>
      </c>
      <c r="FH10" s="68">
        <f t="shared" si="20"/>
        <v>321.17158538100011</v>
      </c>
      <c r="FI10" s="68">
        <f t="shared" si="20"/>
        <v>289.05442684290011</v>
      </c>
      <c r="FJ10" s="68">
        <f t="shared" si="20"/>
        <v>260.14898415861012</v>
      </c>
      <c r="FK10" s="68">
        <f t="shared" si="20"/>
        <v>234.13408574274911</v>
      </c>
      <c r="FL10" s="68"/>
      <c r="FM10" s="68"/>
      <c r="FN10" s="68"/>
      <c r="FO10" s="68"/>
      <c r="FP10" s="68"/>
      <c r="FQ10" s="83">
        <f>EL10*0.6</f>
        <v>1964.3999999999999</v>
      </c>
      <c r="FR10" s="68">
        <f>EQ10*0.6</f>
        <v>2239.47444</v>
      </c>
      <c r="FS10" s="84">
        <f>EV10*0.6</f>
        <v>810</v>
      </c>
      <c r="FT10" s="68"/>
      <c r="FU10" s="111"/>
    </row>
    <row r="11" spans="1:177">
      <c r="B11" s="14" t="s">
        <v>1357</v>
      </c>
      <c r="W11" s="44"/>
      <c r="X11" s="44"/>
      <c r="Y11" s="44"/>
      <c r="Z11" s="44"/>
      <c r="AA11" s="44"/>
      <c r="AB11" s="44"/>
      <c r="AC11" s="44"/>
      <c r="AD11" s="44"/>
      <c r="AE11" s="44"/>
      <c r="AF11" s="44"/>
      <c r="AG11" s="44"/>
      <c r="AH11" s="44"/>
      <c r="AI11" s="68"/>
      <c r="AJ11" s="44"/>
      <c r="AK11" s="44"/>
      <c r="AL11" s="65"/>
      <c r="AM11" s="65"/>
      <c r="AN11" s="65"/>
      <c r="AO11" s="65"/>
      <c r="AP11" s="70"/>
      <c r="AQ11" s="65"/>
      <c r="AR11" s="65"/>
      <c r="AS11" s="65"/>
      <c r="AT11" s="65"/>
      <c r="AU11" s="44"/>
      <c r="AV11" s="65"/>
      <c r="AW11" s="44"/>
      <c r="AX11" s="65"/>
      <c r="AY11" s="65"/>
      <c r="AZ11" s="44"/>
      <c r="BA11" s="44"/>
      <c r="BB11" s="44"/>
      <c r="BC11" s="65"/>
      <c r="BD11" s="44"/>
      <c r="BE11" s="44"/>
      <c r="BF11" s="65"/>
      <c r="BG11" s="44"/>
      <c r="BH11" s="65"/>
      <c r="BI11" s="44"/>
      <c r="BJ11" s="65"/>
      <c r="BK11" s="65"/>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v>180</v>
      </c>
      <c r="CL11" s="44">
        <v>189</v>
      </c>
      <c r="CM11" s="44">
        <v>168</v>
      </c>
      <c r="CN11" s="115">
        <v>201</v>
      </c>
      <c r="CO11" s="115">
        <v>225</v>
      </c>
      <c r="CP11" s="115">
        <v>244</v>
      </c>
      <c r="CQ11" s="115">
        <v>209</v>
      </c>
      <c r="CR11" s="115">
        <v>266</v>
      </c>
      <c r="CS11" s="115">
        <v>266</v>
      </c>
      <c r="CT11" s="115">
        <v>283</v>
      </c>
      <c r="CU11" s="115">
        <v>267</v>
      </c>
      <c r="CV11" s="115">
        <v>303</v>
      </c>
      <c r="CW11" s="115">
        <v>309</v>
      </c>
      <c r="CX11" s="115">
        <v>306</v>
      </c>
      <c r="CY11" s="115">
        <v>268</v>
      </c>
      <c r="CZ11" s="115">
        <v>290</v>
      </c>
      <c r="DA11" s="115">
        <v>320</v>
      </c>
      <c r="DB11" s="115">
        <v>320</v>
      </c>
      <c r="DC11" s="115">
        <v>339</v>
      </c>
      <c r="DD11" s="115">
        <v>305</v>
      </c>
      <c r="DE11" s="115">
        <v>313</v>
      </c>
      <c r="DF11" s="115">
        <v>314</v>
      </c>
      <c r="DG11" s="115">
        <v>418</v>
      </c>
      <c r="DH11" s="115">
        <v>495</v>
      </c>
      <c r="DI11" s="115"/>
      <c r="DJ11" s="115"/>
      <c r="DK11" s="115"/>
      <c r="DL11" s="115"/>
      <c r="DM11" s="115"/>
      <c r="DN11" s="115"/>
      <c r="DO11" s="115"/>
      <c r="DP11" s="44"/>
      <c r="DQ11" s="44"/>
      <c r="DU11" s="68"/>
      <c r="DV11" s="68"/>
      <c r="DW11" s="44"/>
      <c r="DX11" s="44"/>
      <c r="DY11" s="44"/>
      <c r="DZ11" s="68"/>
      <c r="EA11" s="68"/>
      <c r="EB11" s="68"/>
      <c r="EC11" s="68"/>
      <c r="ED11" s="68"/>
      <c r="EE11" s="68"/>
      <c r="EF11" s="68"/>
      <c r="EG11" s="44"/>
      <c r="EH11" s="44"/>
      <c r="EI11" s="44"/>
      <c r="EJ11" s="44"/>
      <c r="EK11" s="65"/>
      <c r="EU11" s="44">
        <f t="shared" si="11"/>
        <v>838</v>
      </c>
      <c r="EV11" s="44">
        <f t="shared" si="3"/>
        <v>1024</v>
      </c>
      <c r="EW11" s="44">
        <f t="shared" si="4"/>
        <v>1185</v>
      </c>
      <c r="EX11" s="44">
        <f t="shared" si="5"/>
        <v>1198</v>
      </c>
      <c r="EY11" s="44">
        <f t="shared" si="6"/>
        <v>1271</v>
      </c>
      <c r="EZ11" s="44">
        <f>+EY11*0.9</f>
        <v>1143.9000000000001</v>
      </c>
      <c r="FA11" s="44">
        <f t="shared" ref="FA11:FK11" si="21">+EZ11*0.9</f>
        <v>1029.5100000000002</v>
      </c>
      <c r="FB11" s="44">
        <f t="shared" si="21"/>
        <v>926.5590000000002</v>
      </c>
      <c r="FC11" s="44">
        <f t="shared" si="21"/>
        <v>833.90310000000022</v>
      </c>
      <c r="FD11" s="44">
        <f t="shared" si="21"/>
        <v>750.51279000000022</v>
      </c>
      <c r="FE11" s="44">
        <f t="shared" si="21"/>
        <v>675.4615110000002</v>
      </c>
      <c r="FF11" s="44">
        <f t="shared" si="21"/>
        <v>607.91535990000023</v>
      </c>
      <c r="FG11" s="44">
        <f t="shared" si="21"/>
        <v>547.12382391000017</v>
      </c>
      <c r="FH11" s="44">
        <f t="shared" si="21"/>
        <v>492.41144151900016</v>
      </c>
      <c r="FI11" s="44">
        <f t="shared" si="21"/>
        <v>443.17029736710015</v>
      </c>
      <c r="FJ11" s="44">
        <f t="shared" si="21"/>
        <v>398.85326763039012</v>
      </c>
      <c r="FK11" s="44">
        <f t="shared" si="21"/>
        <v>358.9679408673511</v>
      </c>
      <c r="FQ11" s="44"/>
    </row>
    <row r="12" spans="1:177">
      <c r="B12" s="14" t="s">
        <v>1615</v>
      </c>
      <c r="W12" s="44"/>
      <c r="X12" s="44"/>
      <c r="Y12" s="44"/>
      <c r="Z12" s="44"/>
      <c r="AA12" s="44"/>
      <c r="AB12" s="44"/>
      <c r="AC12" s="44"/>
      <c r="AD12" s="44"/>
      <c r="AE12" s="44"/>
      <c r="AF12" s="44"/>
      <c r="AG12" s="44"/>
      <c r="AH12" s="44"/>
      <c r="AI12" s="68"/>
      <c r="AJ12" s="44"/>
      <c r="AK12" s="44"/>
      <c r="AL12" s="65"/>
      <c r="AM12" s="65"/>
      <c r="AN12" s="65"/>
      <c r="AO12" s="65"/>
      <c r="AP12" s="70"/>
      <c r="AQ12" s="65"/>
      <c r="AR12" s="65"/>
      <c r="AS12" s="65"/>
      <c r="AT12" s="65"/>
      <c r="AU12" s="44"/>
      <c r="AV12" s="65"/>
      <c r="AW12" s="44"/>
      <c r="AX12" s="65"/>
      <c r="AY12" s="65"/>
      <c r="AZ12" s="44"/>
      <c r="BA12" s="44"/>
      <c r="BB12" s="44"/>
      <c r="BC12" s="65"/>
      <c r="BD12" s="44"/>
      <c r="BE12" s="44"/>
      <c r="BF12" s="65"/>
      <c r="BG12" s="44"/>
      <c r="BH12" s="65"/>
      <c r="BI12" s="44"/>
      <c r="BJ12" s="65"/>
      <c r="BK12" s="65"/>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115"/>
      <c r="CO12" s="115"/>
      <c r="CP12" s="115"/>
      <c r="CQ12" s="115"/>
      <c r="CR12" s="115"/>
      <c r="CS12" s="115"/>
      <c r="CT12" s="115"/>
      <c r="CU12" s="115"/>
      <c r="CV12" s="115"/>
      <c r="CW12" s="115"/>
      <c r="CX12" s="115"/>
      <c r="CY12" s="115"/>
      <c r="CZ12" s="115"/>
      <c r="DA12" s="115"/>
      <c r="DB12" s="115"/>
      <c r="DC12" s="115"/>
      <c r="DD12" s="115">
        <v>0</v>
      </c>
      <c r="DE12" s="115"/>
      <c r="DF12" s="115">
        <v>52</v>
      </c>
      <c r="DG12" s="115">
        <v>341</v>
      </c>
      <c r="DH12" s="115">
        <v>394</v>
      </c>
      <c r="DI12" s="115"/>
      <c r="DJ12" s="115"/>
      <c r="DK12" s="115"/>
      <c r="DL12" s="115"/>
      <c r="DM12" s="115"/>
      <c r="DN12" s="115"/>
      <c r="DO12" s="115"/>
      <c r="DP12" s="44"/>
      <c r="DQ12" s="44"/>
      <c r="DU12" s="68"/>
      <c r="DV12" s="68"/>
      <c r="DW12" s="44"/>
      <c r="DX12" s="44"/>
      <c r="DY12" s="44"/>
      <c r="DZ12" s="68"/>
      <c r="EA12" s="68"/>
      <c r="EB12" s="68"/>
      <c r="EC12" s="68"/>
      <c r="ED12" s="68"/>
      <c r="EE12" s="68"/>
      <c r="EF12" s="68"/>
      <c r="EG12" s="44"/>
      <c r="EH12" s="44"/>
      <c r="EI12" s="44"/>
      <c r="EJ12" s="44"/>
      <c r="EK12" s="65"/>
      <c r="FQ12" s="44"/>
    </row>
    <row r="13" spans="1:177" s="14" customFormat="1">
      <c r="B13" s="14" t="s">
        <v>311</v>
      </c>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8"/>
      <c r="AF13" s="68"/>
      <c r="AG13" s="68"/>
      <c r="AH13" s="68"/>
      <c r="AI13" s="68"/>
      <c r="AJ13" s="68"/>
      <c r="AK13" s="68"/>
      <c r="AL13" s="68"/>
      <c r="AM13" s="70"/>
      <c r="AN13" s="103"/>
      <c r="AO13" s="103"/>
      <c r="AP13" s="103"/>
      <c r="AQ13" s="70"/>
      <c r="AR13" s="70"/>
      <c r="AS13" s="70"/>
      <c r="AT13" s="70"/>
      <c r="AU13" s="68"/>
      <c r="AV13" s="70"/>
      <c r="AW13" s="68"/>
      <c r="AX13" s="68"/>
      <c r="AY13" s="68"/>
      <c r="AZ13" s="68"/>
      <c r="BA13" s="68"/>
      <c r="BB13" s="68"/>
      <c r="BC13" s="70"/>
      <c r="BD13" s="68"/>
      <c r="BE13" s="68"/>
      <c r="BF13" s="70"/>
      <c r="BG13" s="68"/>
      <c r="BH13" s="70"/>
      <c r="BI13" s="68"/>
      <c r="BJ13" s="70"/>
      <c r="BK13" s="70">
        <v>7</v>
      </c>
      <c r="BL13" s="68"/>
      <c r="BM13" s="68"/>
      <c r="BN13" s="68">
        <v>47</v>
      </c>
      <c r="BO13" s="68">
        <v>63</v>
      </c>
      <c r="BP13" s="68">
        <v>71</v>
      </c>
      <c r="BQ13" s="68">
        <v>83</v>
      </c>
      <c r="BR13" s="68">
        <v>102</v>
      </c>
      <c r="BS13" s="44">
        <v>88</v>
      </c>
      <c r="BT13" s="44">
        <v>101</v>
      </c>
      <c r="BU13" s="44">
        <f t="shared" ref="BU13:BV13" si="22">+BT13+10</f>
        <v>111</v>
      </c>
      <c r="BV13" s="44">
        <f t="shared" si="22"/>
        <v>121</v>
      </c>
      <c r="BW13" s="44"/>
      <c r="BX13" s="44"/>
      <c r="BY13" s="44"/>
      <c r="BZ13" s="44"/>
      <c r="CA13" s="44"/>
      <c r="CB13" s="44"/>
      <c r="CC13" s="44"/>
      <c r="CD13" s="44"/>
      <c r="CE13" s="44"/>
      <c r="CF13" s="44"/>
      <c r="CG13" s="44"/>
      <c r="CH13" s="44"/>
      <c r="CI13" s="44"/>
      <c r="CJ13" s="44"/>
      <c r="CK13" s="44">
        <v>71</v>
      </c>
      <c r="CL13" s="44">
        <v>72</v>
      </c>
      <c r="CM13" s="44">
        <v>73</v>
      </c>
      <c r="CN13" s="115">
        <v>104</v>
      </c>
      <c r="CO13" s="115">
        <v>139</v>
      </c>
      <c r="CP13" s="115">
        <v>161</v>
      </c>
      <c r="CQ13" s="115">
        <v>169</v>
      </c>
      <c r="CR13" s="115">
        <v>195</v>
      </c>
      <c r="CS13" s="115">
        <v>195</v>
      </c>
      <c r="CT13" s="115">
        <v>228</v>
      </c>
      <c r="CU13" s="115">
        <v>229</v>
      </c>
      <c r="CV13" s="115">
        <v>257</v>
      </c>
      <c r="CW13" s="115">
        <v>256</v>
      </c>
      <c r="CX13" s="115">
        <v>260</v>
      </c>
      <c r="CY13" s="115">
        <v>234</v>
      </c>
      <c r="CZ13" s="115">
        <v>274</v>
      </c>
      <c r="DA13" s="115">
        <v>252</v>
      </c>
      <c r="DB13" s="115">
        <v>243</v>
      </c>
      <c r="DC13" s="115">
        <v>259</v>
      </c>
      <c r="DD13" s="115">
        <v>262</v>
      </c>
      <c r="DE13" s="115">
        <v>252</v>
      </c>
      <c r="DF13" s="115">
        <v>263</v>
      </c>
      <c r="DG13" s="115">
        <v>237</v>
      </c>
      <c r="DH13" s="115">
        <v>252</v>
      </c>
      <c r="DI13" s="115"/>
      <c r="DJ13" s="115"/>
      <c r="DK13" s="115"/>
      <c r="DL13" s="115"/>
      <c r="DM13" s="115"/>
      <c r="DN13" s="115"/>
      <c r="DO13" s="115"/>
      <c r="DP13" s="44"/>
      <c r="DQ13" s="44"/>
      <c r="DU13" s="68"/>
      <c r="DV13" s="68"/>
      <c r="DW13" s="68"/>
      <c r="DX13" s="68"/>
      <c r="DY13" s="68"/>
      <c r="DZ13" s="68"/>
      <c r="EA13" s="68"/>
      <c r="EB13" s="68"/>
      <c r="EC13" s="68"/>
      <c r="ED13" s="68"/>
      <c r="EE13" s="68"/>
      <c r="EF13" s="68"/>
      <c r="EG13" s="68"/>
      <c r="EH13" s="68"/>
      <c r="EI13" s="68" t="s">
        <v>702</v>
      </c>
      <c r="EJ13" s="68" t="s">
        <v>702</v>
      </c>
      <c r="EK13" s="70" t="s">
        <v>702</v>
      </c>
      <c r="EL13" s="68" t="s">
        <v>702</v>
      </c>
      <c r="EM13" s="68">
        <f>SUM(BG13:BJ13)</f>
        <v>0</v>
      </c>
      <c r="EN13" s="68"/>
      <c r="EO13" s="68">
        <f>SUM(BO13:BR13)</f>
        <v>319</v>
      </c>
      <c r="EP13" s="44">
        <f>SUM(BS13:BV13)</f>
        <v>421</v>
      </c>
      <c r="EQ13" s="68"/>
      <c r="ER13" s="68"/>
      <c r="ES13" s="68"/>
      <c r="ET13" s="68"/>
      <c r="EU13" s="44">
        <f t="shared" si="11"/>
        <v>477</v>
      </c>
      <c r="EV13" s="44">
        <f t="shared" si="3"/>
        <v>787</v>
      </c>
      <c r="EW13" s="44">
        <f t="shared" si="4"/>
        <v>1002</v>
      </c>
      <c r="EX13" s="44">
        <f t="shared" si="5"/>
        <v>1003</v>
      </c>
      <c r="EY13" s="44">
        <f t="shared" si="6"/>
        <v>1036</v>
      </c>
      <c r="EZ13" s="44">
        <f t="shared" ref="EZ13:FK13" si="23">+EY13*0.9</f>
        <v>932.4</v>
      </c>
      <c r="FA13" s="44">
        <f t="shared" si="23"/>
        <v>839.16</v>
      </c>
      <c r="FB13" s="44">
        <f t="shared" si="23"/>
        <v>755.24400000000003</v>
      </c>
      <c r="FC13" s="44">
        <f t="shared" si="23"/>
        <v>679.71960000000001</v>
      </c>
      <c r="FD13" s="44">
        <f t="shared" si="23"/>
        <v>611.74764000000005</v>
      </c>
      <c r="FE13" s="44">
        <f t="shared" si="23"/>
        <v>550.57287600000006</v>
      </c>
      <c r="FF13" s="44">
        <f t="shared" si="23"/>
        <v>495.51558840000007</v>
      </c>
      <c r="FG13" s="44">
        <f t="shared" si="23"/>
        <v>445.96402956000009</v>
      </c>
      <c r="FH13" s="44">
        <f t="shared" si="23"/>
        <v>401.36762660400007</v>
      </c>
      <c r="FI13" s="44">
        <f t="shared" si="23"/>
        <v>361.23086394360007</v>
      </c>
      <c r="FJ13" s="44">
        <f t="shared" si="23"/>
        <v>325.1077775492401</v>
      </c>
      <c r="FK13" s="44">
        <f t="shared" si="23"/>
        <v>292.5969997943161</v>
      </c>
      <c r="FL13" s="68"/>
      <c r="FM13" s="68"/>
      <c r="FN13" s="68"/>
      <c r="FO13" s="68"/>
      <c r="FP13" s="68"/>
      <c r="FQ13" s="83">
        <v>0</v>
      </c>
      <c r="FR13" s="68">
        <f>EQ13*0.7</f>
        <v>0</v>
      </c>
      <c r="FS13" s="84">
        <f>EV13*0.7</f>
        <v>550.9</v>
      </c>
      <c r="FT13" s="68"/>
    </row>
    <row r="14" spans="1:177" s="14" customFormat="1">
      <c r="B14" s="14" t="s">
        <v>1585</v>
      </c>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8"/>
      <c r="AF14" s="68"/>
      <c r="AG14" s="68"/>
      <c r="AH14" s="68"/>
      <c r="AI14" s="68"/>
      <c r="AJ14" s="68"/>
      <c r="AK14" s="68"/>
      <c r="AL14" s="68"/>
      <c r="AM14" s="70"/>
      <c r="AN14" s="103"/>
      <c r="AO14" s="103"/>
      <c r="AP14" s="103"/>
      <c r="AQ14" s="70"/>
      <c r="AR14" s="70"/>
      <c r="AS14" s="70"/>
      <c r="AT14" s="70"/>
      <c r="AU14" s="68"/>
      <c r="AV14" s="70"/>
      <c r="AW14" s="68"/>
      <c r="AX14" s="68"/>
      <c r="AY14" s="68"/>
      <c r="AZ14" s="68"/>
      <c r="BA14" s="68"/>
      <c r="BB14" s="68"/>
      <c r="BC14" s="70"/>
      <c r="BD14" s="68"/>
      <c r="BE14" s="68"/>
      <c r="BF14" s="70"/>
      <c r="BG14" s="68"/>
      <c r="BH14" s="70"/>
      <c r="BI14" s="68"/>
      <c r="BJ14" s="70"/>
      <c r="BK14" s="70"/>
      <c r="BL14" s="68"/>
      <c r="BM14" s="68"/>
      <c r="BN14" s="68"/>
      <c r="BO14" s="68"/>
      <c r="BP14" s="68"/>
      <c r="BQ14" s="68"/>
      <c r="BR14" s="68"/>
      <c r="BS14" s="44"/>
      <c r="BT14" s="44"/>
      <c r="BU14" s="44"/>
      <c r="BV14" s="44"/>
      <c r="BW14" s="44"/>
      <c r="BX14" s="44"/>
      <c r="BY14" s="44"/>
      <c r="BZ14" s="44"/>
      <c r="CA14" s="44"/>
      <c r="CB14" s="44"/>
      <c r="CC14" s="44"/>
      <c r="CD14" s="44"/>
      <c r="CE14" s="44"/>
      <c r="CF14" s="44"/>
      <c r="CG14" s="44"/>
      <c r="CH14" s="44"/>
      <c r="CI14" s="44"/>
      <c r="CJ14" s="44"/>
      <c r="CK14" s="44"/>
      <c r="CL14" s="44"/>
      <c r="CM14" s="44"/>
      <c r="CN14" s="115"/>
      <c r="CO14" s="115"/>
      <c r="CP14" s="115"/>
      <c r="CQ14" s="115"/>
      <c r="CR14" s="115"/>
      <c r="CS14" s="115"/>
      <c r="CT14" s="115"/>
      <c r="CU14" s="115"/>
      <c r="CV14" s="115"/>
      <c r="CW14" s="115"/>
      <c r="CX14" s="115"/>
      <c r="CY14" s="115"/>
      <c r="CZ14" s="115"/>
      <c r="DA14" s="115"/>
      <c r="DB14" s="115">
        <v>211</v>
      </c>
      <c r="DC14" s="115">
        <v>167</v>
      </c>
      <c r="DD14" s="115">
        <v>247</v>
      </c>
      <c r="DE14" s="115">
        <v>233</v>
      </c>
      <c r="DF14" s="115">
        <v>282</v>
      </c>
      <c r="DG14" s="115">
        <v>178</v>
      </c>
      <c r="DH14" s="115">
        <v>356</v>
      </c>
      <c r="DI14" s="115"/>
      <c r="DJ14" s="115"/>
      <c r="DK14" s="115"/>
      <c r="DL14" s="115"/>
      <c r="DM14" s="115"/>
      <c r="DN14" s="115"/>
      <c r="DO14" s="115"/>
      <c r="DP14" s="44"/>
      <c r="DQ14" s="44"/>
      <c r="DU14" s="68"/>
      <c r="DV14" s="68"/>
      <c r="DW14" s="68"/>
      <c r="DX14" s="68"/>
      <c r="DY14" s="68"/>
      <c r="DZ14" s="68"/>
      <c r="EA14" s="68"/>
      <c r="EB14" s="68"/>
      <c r="EC14" s="68"/>
      <c r="ED14" s="68"/>
      <c r="EE14" s="68"/>
      <c r="EF14" s="68"/>
      <c r="EG14" s="68"/>
      <c r="EH14" s="68"/>
      <c r="EI14" s="68"/>
      <c r="EJ14" s="68"/>
      <c r="EK14" s="70"/>
      <c r="EL14" s="68"/>
      <c r="EM14" s="68"/>
      <c r="EN14" s="68"/>
      <c r="EO14" s="68"/>
      <c r="EP14" s="44"/>
      <c r="EQ14" s="68"/>
      <c r="ER14" s="68"/>
      <c r="ES14" s="68"/>
      <c r="ET14" s="68"/>
      <c r="EU14" s="44"/>
      <c r="EV14" s="44"/>
      <c r="EW14" s="44"/>
      <c r="EX14" s="44"/>
      <c r="EY14" s="44">
        <f>SUM(DC14:DF14)</f>
        <v>929</v>
      </c>
      <c r="EZ14" s="44">
        <f>+EY14*1.3</f>
        <v>1207.7</v>
      </c>
      <c r="FA14" s="44">
        <f t="shared" ref="FA14:FF14" si="24">+EZ14*1.1</f>
        <v>1328.4700000000003</v>
      </c>
      <c r="FB14" s="44">
        <f t="shared" si="24"/>
        <v>1461.3170000000005</v>
      </c>
      <c r="FC14" s="44">
        <f t="shared" si="24"/>
        <v>1607.4487000000006</v>
      </c>
      <c r="FD14" s="44">
        <f t="shared" si="24"/>
        <v>1768.1935700000008</v>
      </c>
      <c r="FE14" s="44">
        <f t="shared" si="24"/>
        <v>1945.0129270000011</v>
      </c>
      <c r="FF14" s="44">
        <f t="shared" si="24"/>
        <v>2139.5142197000014</v>
      </c>
      <c r="FG14" s="44"/>
      <c r="FH14" s="44"/>
      <c r="FI14" s="44"/>
      <c r="FJ14" s="44"/>
      <c r="FK14" s="44"/>
      <c r="FL14" s="68"/>
      <c r="FM14" s="68"/>
      <c r="FN14" s="68"/>
      <c r="FO14" s="68"/>
      <c r="FP14" s="68"/>
      <c r="FQ14" s="68"/>
      <c r="FR14" s="68"/>
      <c r="FS14" s="84"/>
      <c r="FT14" s="68"/>
    </row>
    <row r="15" spans="1:177" s="14" customFormat="1">
      <c r="B15" s="14" t="s">
        <v>1616</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8"/>
      <c r="AF15" s="68"/>
      <c r="AG15" s="68"/>
      <c r="AH15" s="68"/>
      <c r="AI15" s="68"/>
      <c r="AJ15" s="68"/>
      <c r="AK15" s="68"/>
      <c r="AL15" s="68"/>
      <c r="AM15" s="70"/>
      <c r="AN15" s="103"/>
      <c r="AO15" s="103"/>
      <c r="AP15" s="103"/>
      <c r="AQ15" s="70"/>
      <c r="AR15" s="70"/>
      <c r="AS15" s="70"/>
      <c r="AT15" s="70"/>
      <c r="AU15" s="68"/>
      <c r="AV15" s="70"/>
      <c r="AW15" s="68"/>
      <c r="AX15" s="68"/>
      <c r="AY15" s="68"/>
      <c r="AZ15" s="68"/>
      <c r="BA15" s="68"/>
      <c r="BB15" s="68"/>
      <c r="BC15" s="70"/>
      <c r="BD15" s="68"/>
      <c r="BE15" s="68"/>
      <c r="BF15" s="70"/>
      <c r="BG15" s="68"/>
      <c r="BH15" s="70"/>
      <c r="BI15" s="68"/>
      <c r="BJ15" s="70"/>
      <c r="BK15" s="70"/>
      <c r="BL15" s="68"/>
      <c r="BM15" s="68"/>
      <c r="BN15" s="68"/>
      <c r="BO15" s="68"/>
      <c r="BP15" s="68"/>
      <c r="BQ15" s="68"/>
      <c r="BR15" s="68"/>
      <c r="BS15" s="44"/>
      <c r="BT15" s="44"/>
      <c r="BU15" s="44"/>
      <c r="BV15" s="44"/>
      <c r="BW15" s="44"/>
      <c r="BX15" s="44"/>
      <c r="BY15" s="44"/>
      <c r="BZ15" s="44"/>
      <c r="CA15" s="44"/>
      <c r="CB15" s="44"/>
      <c r="CC15" s="44"/>
      <c r="CD15" s="44"/>
      <c r="CE15" s="44"/>
      <c r="CF15" s="44"/>
      <c r="CG15" s="44"/>
      <c r="CH15" s="44"/>
      <c r="CI15" s="44"/>
      <c r="CJ15" s="44"/>
      <c r="CK15" s="44"/>
      <c r="CL15" s="44"/>
      <c r="CM15" s="44"/>
      <c r="CN15" s="115"/>
      <c r="CO15" s="115"/>
      <c r="CP15" s="115"/>
      <c r="CQ15" s="115"/>
      <c r="CR15" s="115"/>
      <c r="CS15" s="115"/>
      <c r="CT15" s="115"/>
      <c r="CU15" s="115"/>
      <c r="CV15" s="115"/>
      <c r="CW15" s="115"/>
      <c r="CX15" s="115"/>
      <c r="CY15" s="115"/>
      <c r="CZ15" s="115"/>
      <c r="DA15" s="115"/>
      <c r="DB15" s="115"/>
      <c r="DC15" s="115"/>
      <c r="DD15" s="115">
        <v>0</v>
      </c>
      <c r="DE15" s="115"/>
      <c r="DF15" s="115">
        <v>46</v>
      </c>
      <c r="DG15" s="115">
        <v>257</v>
      </c>
      <c r="DH15" s="115">
        <v>279</v>
      </c>
      <c r="DI15" s="115"/>
      <c r="DJ15" s="115"/>
      <c r="DK15" s="115"/>
      <c r="DL15" s="115"/>
      <c r="DM15" s="115"/>
      <c r="DN15" s="115"/>
      <c r="DO15" s="115"/>
      <c r="DP15" s="44"/>
      <c r="DQ15" s="44"/>
      <c r="DU15" s="68"/>
      <c r="DV15" s="68"/>
      <c r="DW15" s="68"/>
      <c r="DX15" s="68"/>
      <c r="DY15" s="68"/>
      <c r="DZ15" s="68"/>
      <c r="EA15" s="68"/>
      <c r="EB15" s="68"/>
      <c r="EC15" s="68"/>
      <c r="ED15" s="68"/>
      <c r="EE15" s="68"/>
      <c r="EF15" s="68"/>
      <c r="EG15" s="68"/>
      <c r="EH15" s="68"/>
      <c r="EI15" s="68"/>
      <c r="EJ15" s="68"/>
      <c r="EK15" s="70"/>
      <c r="EL15" s="68"/>
      <c r="EM15" s="68"/>
      <c r="EN15" s="68"/>
      <c r="EO15" s="68"/>
      <c r="EP15" s="44"/>
      <c r="EQ15" s="68"/>
      <c r="ER15" s="68"/>
      <c r="ES15" s="68"/>
      <c r="ET15" s="68"/>
      <c r="EU15" s="44"/>
      <c r="EV15" s="44"/>
      <c r="EW15" s="44"/>
      <c r="EX15" s="44"/>
      <c r="EY15" s="44"/>
      <c r="EZ15" s="44"/>
      <c r="FA15" s="44"/>
      <c r="FB15" s="44"/>
      <c r="FC15" s="44"/>
      <c r="FD15" s="44"/>
      <c r="FE15" s="44"/>
      <c r="FF15" s="44"/>
      <c r="FG15" s="44"/>
      <c r="FH15" s="44"/>
      <c r="FI15" s="44"/>
      <c r="FJ15" s="44"/>
      <c r="FK15" s="44"/>
      <c r="FL15" s="68"/>
      <c r="FM15" s="68"/>
      <c r="FN15" s="68"/>
      <c r="FO15" s="68"/>
      <c r="FP15" s="68"/>
      <c r="FQ15" s="68"/>
      <c r="FR15" s="68"/>
      <c r="FS15" s="84"/>
      <c r="FT15" s="68"/>
    </row>
    <row r="16" spans="1:177">
      <c r="B16" s="14" t="s">
        <v>726</v>
      </c>
      <c r="W16" s="44"/>
      <c r="X16" s="44"/>
      <c r="Y16" s="44"/>
      <c r="Z16" s="44"/>
      <c r="AA16" s="44"/>
      <c r="AB16" s="44"/>
      <c r="AC16" s="44"/>
      <c r="AD16" s="44"/>
      <c r="AE16" s="44"/>
      <c r="AF16" s="44"/>
      <c r="AG16" s="44"/>
      <c r="AH16" s="44"/>
      <c r="AI16" s="68"/>
      <c r="AJ16" s="44"/>
      <c r="AK16" s="44"/>
      <c r="AL16" s="65"/>
      <c r="AM16" s="65"/>
      <c r="AN16" s="65"/>
      <c r="AO16" s="65"/>
      <c r="AP16" s="70"/>
      <c r="AQ16" s="65"/>
      <c r="AR16" s="65"/>
      <c r="AS16" s="65"/>
      <c r="AT16" s="65"/>
      <c r="AU16" s="44"/>
      <c r="AV16" s="65"/>
      <c r="AW16" s="44"/>
      <c r="AX16" s="65"/>
      <c r="AY16" s="65"/>
      <c r="AZ16" s="44"/>
      <c r="BA16" s="44"/>
      <c r="BB16" s="44"/>
      <c r="BC16" s="65"/>
      <c r="BD16" s="44"/>
      <c r="BE16" s="44">
        <v>49</v>
      </c>
      <c r="BF16" s="65">
        <v>60</v>
      </c>
      <c r="BG16" s="44"/>
      <c r="BH16" s="65">
        <v>49</v>
      </c>
      <c r="BI16" s="44">
        <v>51</v>
      </c>
      <c r="BJ16" s="65">
        <v>63</v>
      </c>
      <c r="BK16" s="65">
        <v>58</v>
      </c>
      <c r="BL16" s="44">
        <v>71</v>
      </c>
      <c r="BM16" s="44">
        <v>62</v>
      </c>
      <c r="BN16" s="44">
        <v>71</v>
      </c>
      <c r="BO16" s="44">
        <v>71</v>
      </c>
      <c r="BP16" s="44">
        <v>73</v>
      </c>
      <c r="BQ16" s="44">
        <v>78</v>
      </c>
      <c r="BR16" s="44">
        <v>87</v>
      </c>
      <c r="BS16" s="44">
        <v>88</v>
      </c>
      <c r="BT16" s="44">
        <v>92</v>
      </c>
      <c r="BU16" s="44">
        <f>+BQ16</f>
        <v>78</v>
      </c>
      <c r="BV16" s="44">
        <f>+BR16</f>
        <v>87</v>
      </c>
      <c r="BW16" s="44"/>
      <c r="BX16" s="44"/>
      <c r="BY16" s="44"/>
      <c r="BZ16" s="44"/>
      <c r="CA16" s="44"/>
      <c r="CB16" s="44"/>
      <c r="CC16" s="44"/>
      <c r="CD16" s="44"/>
      <c r="CE16" s="44"/>
      <c r="CF16" s="44"/>
      <c r="CG16" s="44"/>
      <c r="CH16" s="44"/>
      <c r="CI16" s="44"/>
      <c r="CJ16" s="44"/>
      <c r="CK16" s="44">
        <v>145</v>
      </c>
      <c r="CL16" s="44">
        <v>149</v>
      </c>
      <c r="CM16" s="44">
        <v>177</v>
      </c>
      <c r="CN16" s="115">
        <v>165</v>
      </c>
      <c r="CO16" s="115">
        <v>163</v>
      </c>
      <c r="CP16" s="115">
        <v>179</v>
      </c>
      <c r="CQ16" s="115">
        <v>187</v>
      </c>
      <c r="CR16" s="115">
        <v>102</v>
      </c>
      <c r="CS16" s="115">
        <v>143</v>
      </c>
      <c r="CT16" s="115">
        <v>186</v>
      </c>
      <c r="CU16" s="115">
        <v>192</v>
      </c>
      <c r="CV16" s="115">
        <v>141</v>
      </c>
      <c r="CW16" s="115">
        <v>181</v>
      </c>
      <c r="CX16" s="115">
        <v>169</v>
      </c>
      <c r="CY16" s="115">
        <v>210</v>
      </c>
      <c r="CZ16" s="115">
        <v>210</v>
      </c>
      <c r="DA16" s="115">
        <v>178</v>
      </c>
      <c r="DB16" s="115">
        <v>189</v>
      </c>
      <c r="DC16" s="115">
        <v>320</v>
      </c>
      <c r="DD16" s="115">
        <v>177</v>
      </c>
      <c r="DE16" s="115">
        <v>122</v>
      </c>
      <c r="DF16" s="115">
        <v>138</v>
      </c>
      <c r="DG16" s="115">
        <v>167</v>
      </c>
      <c r="DH16" s="115">
        <v>144</v>
      </c>
      <c r="DI16" s="115"/>
      <c r="DJ16" s="115"/>
      <c r="DK16" s="115"/>
      <c r="DL16" s="115"/>
      <c r="DM16" s="115"/>
      <c r="DN16" s="115"/>
      <c r="DO16" s="115"/>
      <c r="DP16" s="44"/>
      <c r="DQ16" s="44"/>
      <c r="DU16" s="68"/>
      <c r="DV16" s="68">
        <v>126</v>
      </c>
      <c r="DW16" s="44">
        <v>160</v>
      </c>
      <c r="DX16" s="44">
        <v>139</v>
      </c>
      <c r="DY16" s="44"/>
      <c r="DZ16" s="68"/>
      <c r="EA16" s="68"/>
      <c r="EB16" s="68"/>
      <c r="EC16" s="68"/>
      <c r="ED16" s="68"/>
      <c r="EE16" s="68"/>
      <c r="EF16" s="68"/>
      <c r="EG16" s="44"/>
      <c r="EH16" s="44"/>
      <c r="EI16" s="44"/>
      <c r="EJ16" s="44"/>
      <c r="EK16" s="65"/>
      <c r="EN16" s="44">
        <f>SUM(BK16:BN16)</f>
        <v>262</v>
      </c>
      <c r="EO16" s="44">
        <f>SUM(BO16:BR16)</f>
        <v>309</v>
      </c>
      <c r="EP16" s="44">
        <f>SUM(BS16:BV16)</f>
        <v>345</v>
      </c>
      <c r="EQ16" s="44">
        <f t="shared" ref="EQ16:ER16" si="25">+EP16*0.9</f>
        <v>310.5</v>
      </c>
      <c r="ER16" s="44">
        <f t="shared" si="25"/>
        <v>279.45</v>
      </c>
      <c r="EU16" s="44">
        <f t="shared" si="11"/>
        <v>684</v>
      </c>
      <c r="EV16" s="44">
        <f t="shared" si="3"/>
        <v>618</v>
      </c>
      <c r="EW16" s="44">
        <f t="shared" si="4"/>
        <v>683</v>
      </c>
      <c r="EX16" s="44">
        <f t="shared" si="5"/>
        <v>787</v>
      </c>
      <c r="EY16" s="44">
        <f t="shared" si="6"/>
        <v>757</v>
      </c>
      <c r="EZ16" s="44">
        <f t="shared" ref="EZ16:FK16" si="26">+EY16*0.9</f>
        <v>681.30000000000007</v>
      </c>
      <c r="FA16" s="44">
        <f t="shared" si="26"/>
        <v>613.17000000000007</v>
      </c>
      <c r="FB16" s="44">
        <f t="shared" si="26"/>
        <v>551.85300000000007</v>
      </c>
      <c r="FC16" s="44">
        <f t="shared" si="26"/>
        <v>496.66770000000008</v>
      </c>
      <c r="FD16" s="44">
        <f t="shared" si="26"/>
        <v>447.0009300000001</v>
      </c>
      <c r="FE16" s="44">
        <f t="shared" si="26"/>
        <v>402.30083700000012</v>
      </c>
      <c r="FF16" s="44">
        <f t="shared" si="26"/>
        <v>362.07075330000009</v>
      </c>
      <c r="FG16" s="44">
        <f t="shared" si="26"/>
        <v>325.86367797000008</v>
      </c>
      <c r="FH16" s="44">
        <f t="shared" si="26"/>
        <v>293.2773101730001</v>
      </c>
      <c r="FI16" s="44">
        <f t="shared" si="26"/>
        <v>263.94957915570012</v>
      </c>
      <c r="FJ16" s="44">
        <f t="shared" si="26"/>
        <v>237.5546212401301</v>
      </c>
      <c r="FK16" s="44">
        <f t="shared" si="26"/>
        <v>213.7991591161171</v>
      </c>
      <c r="FQ16" s="44"/>
      <c r="FS16" s="82">
        <f>+EV16*0.5</f>
        <v>309</v>
      </c>
    </row>
    <row r="17" spans="1:184">
      <c r="B17" s="14" t="s">
        <v>1617</v>
      </c>
      <c r="W17" s="44"/>
      <c r="X17" s="44"/>
      <c r="Y17" s="44"/>
      <c r="Z17" s="44"/>
      <c r="AA17" s="44"/>
      <c r="AB17" s="44"/>
      <c r="AC17" s="44"/>
      <c r="AD17" s="44"/>
      <c r="AE17" s="44"/>
      <c r="AF17" s="44"/>
      <c r="AG17" s="44"/>
      <c r="AH17" s="44"/>
      <c r="AI17" s="68"/>
      <c r="AJ17" s="44"/>
      <c r="AK17" s="44"/>
      <c r="AL17" s="65"/>
      <c r="AM17" s="65"/>
      <c r="AN17" s="65"/>
      <c r="AO17" s="65"/>
      <c r="AP17" s="70"/>
      <c r="AQ17" s="65"/>
      <c r="AR17" s="65"/>
      <c r="AS17" s="65"/>
      <c r="AT17" s="65"/>
      <c r="AU17" s="44"/>
      <c r="AV17" s="65"/>
      <c r="AW17" s="44"/>
      <c r="AX17" s="65"/>
      <c r="AY17" s="65"/>
      <c r="AZ17" s="44"/>
      <c r="BA17" s="44"/>
      <c r="BB17" s="44"/>
      <c r="BC17" s="65"/>
      <c r="BD17" s="44"/>
      <c r="BE17" s="44"/>
      <c r="BF17" s="65"/>
      <c r="BG17" s="44"/>
      <c r="BH17" s="65"/>
      <c r="BI17" s="44"/>
      <c r="BJ17" s="65"/>
      <c r="BK17" s="65"/>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115"/>
      <c r="CO17" s="115"/>
      <c r="CP17" s="115"/>
      <c r="CQ17" s="115"/>
      <c r="CR17" s="115"/>
      <c r="CS17" s="115"/>
      <c r="CT17" s="115"/>
      <c r="CU17" s="115"/>
      <c r="CV17" s="115"/>
      <c r="CW17" s="115"/>
      <c r="CX17" s="115"/>
      <c r="CY17" s="115"/>
      <c r="CZ17" s="115"/>
      <c r="DA17" s="115"/>
      <c r="DB17" s="115"/>
      <c r="DC17" s="115"/>
      <c r="DD17" s="115">
        <v>0</v>
      </c>
      <c r="DE17" s="115">
        <v>375</v>
      </c>
      <c r="DF17" s="115">
        <v>515</v>
      </c>
      <c r="DG17" s="115">
        <v>145</v>
      </c>
      <c r="DH17" s="115">
        <v>56</v>
      </c>
      <c r="DI17" s="115"/>
      <c r="DJ17" s="115"/>
      <c r="DK17" s="115"/>
      <c r="DL17" s="115"/>
      <c r="DM17" s="115"/>
      <c r="DN17" s="115"/>
      <c r="DO17" s="115"/>
      <c r="DP17" s="44"/>
      <c r="DQ17" s="44"/>
      <c r="DU17" s="68"/>
      <c r="DV17" s="68"/>
      <c r="DW17" s="44"/>
      <c r="DX17" s="44"/>
      <c r="DY17" s="44"/>
      <c r="DZ17" s="68"/>
      <c r="EA17" s="68"/>
      <c r="EB17" s="68"/>
      <c r="EC17" s="68"/>
      <c r="ED17" s="68"/>
      <c r="EE17" s="68"/>
      <c r="EF17" s="68"/>
      <c r="EG17" s="44"/>
      <c r="EH17" s="44"/>
      <c r="EI17" s="44"/>
      <c r="EJ17" s="44"/>
      <c r="EK17" s="65"/>
      <c r="FQ17" s="44"/>
    </row>
    <row r="18" spans="1:184">
      <c r="B18" s="14" t="s">
        <v>1623</v>
      </c>
      <c r="W18" s="44"/>
      <c r="X18" s="44"/>
      <c r="Y18" s="44"/>
      <c r="Z18" s="44"/>
      <c r="AA18" s="44"/>
      <c r="AB18" s="44"/>
      <c r="AC18" s="44"/>
      <c r="AD18" s="44"/>
      <c r="AE18" s="44"/>
      <c r="AF18" s="44"/>
      <c r="AG18" s="44"/>
      <c r="AH18" s="44"/>
      <c r="AI18" s="68"/>
      <c r="AJ18" s="44"/>
      <c r="AK18" s="44"/>
      <c r="AL18" s="65"/>
      <c r="AM18" s="65"/>
      <c r="AN18" s="65"/>
      <c r="AO18" s="65"/>
      <c r="AP18" s="70"/>
      <c r="AQ18" s="65"/>
      <c r="AR18" s="65"/>
      <c r="AS18" s="65"/>
      <c r="AT18" s="65"/>
      <c r="AU18" s="44"/>
      <c r="AV18" s="65"/>
      <c r="AW18" s="44"/>
      <c r="AX18" s="65"/>
      <c r="AY18" s="65"/>
      <c r="AZ18" s="44"/>
      <c r="BA18" s="44"/>
      <c r="BB18" s="44"/>
      <c r="BC18" s="65"/>
      <c r="BD18" s="44"/>
      <c r="BE18" s="44"/>
      <c r="BF18" s="65"/>
      <c r="BG18" s="44"/>
      <c r="BH18" s="65"/>
      <c r="BI18" s="44"/>
      <c r="BJ18" s="65"/>
      <c r="BK18" s="65"/>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115"/>
      <c r="CO18" s="115"/>
      <c r="CP18" s="115"/>
      <c r="CQ18" s="115"/>
      <c r="CR18" s="115"/>
      <c r="CS18" s="115"/>
      <c r="CT18" s="115"/>
      <c r="CU18" s="115"/>
      <c r="CV18" s="115"/>
      <c r="CW18" s="115"/>
      <c r="CX18" s="115"/>
      <c r="CY18" s="115"/>
      <c r="CZ18" s="115"/>
      <c r="DA18" s="115"/>
      <c r="DB18" s="115"/>
      <c r="DC18" s="115">
        <v>412</v>
      </c>
      <c r="DD18" s="115">
        <v>0</v>
      </c>
      <c r="DE18" s="115"/>
      <c r="DF18" s="115"/>
      <c r="DG18" s="115">
        <v>264</v>
      </c>
      <c r="DH18" s="115"/>
      <c r="DI18" s="115"/>
      <c r="DJ18" s="115"/>
      <c r="DK18" s="115"/>
      <c r="DL18" s="115"/>
      <c r="DM18" s="115"/>
      <c r="DN18" s="115"/>
      <c r="DO18" s="115"/>
      <c r="DP18" s="44"/>
      <c r="DQ18" s="44"/>
      <c r="DU18" s="68"/>
      <c r="DV18" s="68"/>
      <c r="DW18" s="44"/>
      <c r="DX18" s="44"/>
      <c r="DY18" s="44"/>
      <c r="DZ18" s="68"/>
      <c r="EA18" s="68"/>
      <c r="EB18" s="68"/>
      <c r="EC18" s="68"/>
      <c r="ED18" s="68"/>
      <c r="EE18" s="68"/>
      <c r="EF18" s="68"/>
      <c r="EG18" s="44"/>
      <c r="EH18" s="44"/>
      <c r="EI18" s="44"/>
      <c r="EJ18" s="44"/>
      <c r="EK18" s="65"/>
      <c r="FQ18" s="44"/>
    </row>
    <row r="19" spans="1:184" s="14" customFormat="1">
      <c r="B19" s="14" t="s">
        <v>1364</v>
      </c>
      <c r="C19" s="62"/>
      <c r="D19" s="62"/>
      <c r="E19" s="62"/>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8"/>
      <c r="AF19" s="68"/>
      <c r="AG19" s="68"/>
      <c r="AH19" s="68"/>
      <c r="AI19" s="68"/>
      <c r="AJ19" s="68"/>
      <c r="AK19" s="68"/>
      <c r="AL19" s="68"/>
      <c r="AM19" s="70"/>
      <c r="AN19" s="103"/>
      <c r="AO19" s="103"/>
      <c r="AP19" s="103"/>
      <c r="AQ19" s="70"/>
      <c r="AR19" s="70"/>
      <c r="AS19" s="70"/>
      <c r="AT19" s="70"/>
      <c r="AU19" s="68"/>
      <c r="AV19" s="70"/>
      <c r="AW19" s="68"/>
      <c r="AX19" s="68"/>
      <c r="AY19" s="68"/>
      <c r="AZ19" s="68"/>
      <c r="BA19" s="68"/>
      <c r="BB19" s="68"/>
      <c r="BC19" s="70"/>
      <c r="BD19" s="68"/>
      <c r="BE19" s="68"/>
      <c r="BF19" s="70"/>
      <c r="BG19" s="68"/>
      <c r="BH19" s="70"/>
      <c r="BI19" s="68"/>
      <c r="BJ19" s="70"/>
      <c r="BK19" s="70"/>
      <c r="BL19" s="68"/>
      <c r="BM19" s="68"/>
      <c r="BN19" s="68"/>
      <c r="BO19" s="68"/>
      <c r="BP19" s="68"/>
      <c r="BQ19" s="68"/>
      <c r="BR19" s="68"/>
      <c r="BS19" s="44"/>
      <c r="BT19" s="44"/>
      <c r="BU19" s="44"/>
      <c r="BV19" s="44"/>
      <c r="BW19" s="44"/>
      <c r="BX19" s="44"/>
      <c r="BY19" s="44"/>
      <c r="BZ19" s="44"/>
      <c r="CA19" s="44"/>
      <c r="CB19" s="44"/>
      <c r="CC19" s="44"/>
      <c r="CD19" s="44"/>
      <c r="CE19" s="44"/>
      <c r="CF19" s="44"/>
      <c r="CG19" s="44"/>
      <c r="CH19" s="44"/>
      <c r="CI19" s="44"/>
      <c r="CJ19" s="44"/>
      <c r="CK19" s="44">
        <v>0</v>
      </c>
      <c r="CL19" s="44">
        <v>0</v>
      </c>
      <c r="CM19" s="44">
        <v>0</v>
      </c>
      <c r="CN19" s="115">
        <v>0</v>
      </c>
      <c r="CO19" s="115">
        <v>0</v>
      </c>
      <c r="CP19" s="115">
        <v>0</v>
      </c>
      <c r="CQ19" s="115">
        <v>0</v>
      </c>
      <c r="CR19" s="115">
        <v>0</v>
      </c>
      <c r="CS19" s="115">
        <v>48</v>
      </c>
      <c r="CT19" s="115">
        <v>79</v>
      </c>
      <c r="CU19" s="115">
        <v>86</v>
      </c>
      <c r="CV19" s="115">
        <v>129</v>
      </c>
      <c r="CW19" s="115">
        <v>96</v>
      </c>
      <c r="CX19" s="115">
        <v>133</v>
      </c>
      <c r="CY19" s="115">
        <v>147</v>
      </c>
      <c r="CZ19" s="115">
        <v>138</v>
      </c>
      <c r="DA19" s="115">
        <v>146</v>
      </c>
      <c r="DB19" s="115">
        <v>130</v>
      </c>
      <c r="DC19" s="115"/>
      <c r="DD19" s="115">
        <v>106</v>
      </c>
      <c r="DE19" s="115">
        <v>100</v>
      </c>
      <c r="DF19" s="115">
        <v>88</v>
      </c>
      <c r="DG19" s="115"/>
      <c r="DH19" s="115"/>
      <c r="DI19" s="115"/>
      <c r="DJ19" s="115"/>
      <c r="DK19" s="115"/>
      <c r="DL19" s="115"/>
      <c r="DM19" s="115"/>
      <c r="DN19" s="115"/>
      <c r="DO19" s="115"/>
      <c r="DP19" s="44"/>
      <c r="DQ19" s="44"/>
      <c r="DU19" s="68"/>
      <c r="DV19" s="68"/>
      <c r="DW19" s="68"/>
      <c r="DX19" s="68"/>
      <c r="DY19" s="68"/>
      <c r="DZ19" s="68"/>
      <c r="EA19" s="68"/>
      <c r="EB19" s="68"/>
      <c r="EC19" s="68"/>
      <c r="ED19" s="68"/>
      <c r="EE19" s="68"/>
      <c r="EF19" s="68"/>
      <c r="EG19" s="68"/>
      <c r="EH19" s="68"/>
      <c r="EI19" s="68"/>
      <c r="EJ19" s="68"/>
      <c r="EK19" s="70"/>
      <c r="EL19" s="68"/>
      <c r="EM19" s="68"/>
      <c r="EN19" s="68"/>
      <c r="EO19" s="68"/>
      <c r="EP19" s="44"/>
      <c r="EQ19" s="68"/>
      <c r="ER19" s="68"/>
      <c r="ES19" s="68"/>
      <c r="ET19" s="68"/>
      <c r="EU19" s="44">
        <f t="shared" si="11"/>
        <v>0</v>
      </c>
      <c r="EV19" s="44">
        <f t="shared" si="3"/>
        <v>127</v>
      </c>
      <c r="EW19" s="44">
        <f t="shared" si="4"/>
        <v>444</v>
      </c>
      <c r="EX19" s="44">
        <f t="shared" si="5"/>
        <v>561</v>
      </c>
      <c r="EY19" s="44">
        <f t="shared" si="6"/>
        <v>294</v>
      </c>
      <c r="EZ19" s="44">
        <f t="shared" ref="EZ19:FK19" si="27">+EY19*0.9</f>
        <v>264.60000000000002</v>
      </c>
      <c r="FA19" s="44">
        <f t="shared" si="27"/>
        <v>238.14000000000001</v>
      </c>
      <c r="FB19" s="44">
        <f t="shared" si="27"/>
        <v>214.32600000000002</v>
      </c>
      <c r="FC19" s="44">
        <f t="shared" si="27"/>
        <v>192.89340000000001</v>
      </c>
      <c r="FD19" s="44">
        <f t="shared" si="27"/>
        <v>173.60406</v>
      </c>
      <c r="FE19" s="44">
        <f t="shared" si="27"/>
        <v>156.24365400000002</v>
      </c>
      <c r="FF19" s="44">
        <f t="shared" si="27"/>
        <v>140.61928860000003</v>
      </c>
      <c r="FG19" s="44">
        <f t="shared" si="27"/>
        <v>126.55735974000004</v>
      </c>
      <c r="FH19" s="44">
        <f t="shared" si="27"/>
        <v>113.90162376600004</v>
      </c>
      <c r="FI19" s="44">
        <f t="shared" si="27"/>
        <v>102.51146138940004</v>
      </c>
      <c r="FJ19" s="44">
        <f t="shared" si="27"/>
        <v>92.260315250460039</v>
      </c>
      <c r="FK19" s="44">
        <f t="shared" si="27"/>
        <v>83.034283725414042</v>
      </c>
      <c r="FL19" s="68"/>
      <c r="FM19" s="68"/>
      <c r="FN19" s="68"/>
      <c r="FO19" s="68"/>
      <c r="FP19" s="68"/>
      <c r="FQ19" s="83"/>
      <c r="FR19" s="68"/>
      <c r="FS19" s="84"/>
      <c r="FT19" s="68"/>
    </row>
    <row r="20" spans="1:184" s="14" customFormat="1">
      <c r="B20" s="14" t="s">
        <v>1376</v>
      </c>
      <c r="C20" s="62"/>
      <c r="D20" s="62"/>
      <c r="E20" s="62"/>
      <c r="F20" s="62"/>
      <c r="G20" s="62"/>
      <c r="H20" s="62"/>
      <c r="I20" s="62"/>
      <c r="J20" s="62"/>
      <c r="K20" s="62"/>
      <c r="L20" s="62"/>
      <c r="M20" s="62"/>
      <c r="N20" s="62"/>
      <c r="O20" s="62"/>
      <c r="P20" s="62"/>
      <c r="Q20" s="62"/>
      <c r="R20" s="62"/>
      <c r="S20" s="62"/>
      <c r="T20" s="62"/>
      <c r="U20" s="62"/>
      <c r="V20" s="62"/>
      <c r="W20" s="62"/>
      <c r="X20" s="62"/>
      <c r="Y20" s="62"/>
      <c r="Z20" s="62"/>
      <c r="AA20" s="62"/>
      <c r="AB20" s="62"/>
      <c r="AC20" s="62"/>
      <c r="AD20" s="62"/>
      <c r="AE20" s="68"/>
      <c r="AF20" s="68"/>
      <c r="AG20" s="68"/>
      <c r="AH20" s="68"/>
      <c r="AI20" s="68"/>
      <c r="AJ20" s="68"/>
      <c r="AK20" s="68"/>
      <c r="AL20" s="68"/>
      <c r="AM20" s="70"/>
      <c r="AN20" s="103"/>
      <c r="AO20" s="103"/>
      <c r="AP20" s="103"/>
      <c r="AQ20" s="70"/>
      <c r="AR20" s="70"/>
      <c r="AS20" s="70"/>
      <c r="AT20" s="70"/>
      <c r="AU20" s="68"/>
      <c r="AV20" s="70"/>
      <c r="AW20" s="68"/>
      <c r="AX20" s="68"/>
      <c r="AY20" s="68"/>
      <c r="AZ20" s="68"/>
      <c r="BA20" s="68"/>
      <c r="BB20" s="68"/>
      <c r="BC20" s="70"/>
      <c r="BD20" s="68"/>
      <c r="BE20" s="68"/>
      <c r="BF20" s="70"/>
      <c r="BG20" s="68"/>
      <c r="BH20" s="70"/>
      <c r="BI20" s="68"/>
      <c r="BJ20" s="70"/>
      <c r="BK20" s="70"/>
      <c r="BL20" s="68"/>
      <c r="BM20" s="68"/>
      <c r="BN20" s="68"/>
      <c r="BO20" s="68"/>
      <c r="BP20" s="68"/>
      <c r="BQ20" s="68"/>
      <c r="BR20" s="68"/>
      <c r="BS20" s="44"/>
      <c r="BT20" s="44"/>
      <c r="BU20" s="44"/>
      <c r="BV20" s="44"/>
      <c r="BW20" s="44"/>
      <c r="BX20" s="44"/>
      <c r="BY20" s="44"/>
      <c r="BZ20" s="44"/>
      <c r="CA20" s="44"/>
      <c r="CB20" s="44"/>
      <c r="CC20" s="44"/>
      <c r="CD20" s="44"/>
      <c r="CE20" s="44"/>
      <c r="CF20" s="44"/>
      <c r="CG20" s="44"/>
      <c r="CH20" s="44"/>
      <c r="CI20" s="44"/>
      <c r="CJ20" s="44"/>
      <c r="CK20" s="44">
        <v>166</v>
      </c>
      <c r="CL20" s="44">
        <v>173</v>
      </c>
      <c r="CM20" s="44">
        <v>138</v>
      </c>
      <c r="CN20" s="115">
        <v>153</v>
      </c>
      <c r="CO20" s="115">
        <v>155</v>
      </c>
      <c r="CP20" s="115">
        <v>179</v>
      </c>
      <c r="CQ20" s="115">
        <v>158</v>
      </c>
      <c r="CR20" s="115">
        <v>150</v>
      </c>
      <c r="CS20" s="115">
        <v>162</v>
      </c>
      <c r="CT20" s="115">
        <v>188</v>
      </c>
      <c r="CU20" s="115">
        <v>177</v>
      </c>
      <c r="CV20" s="115">
        <v>136</v>
      </c>
      <c r="CW20" s="115">
        <v>172</v>
      </c>
      <c r="CX20" s="115">
        <v>171</v>
      </c>
      <c r="CY20" s="115">
        <v>135</v>
      </c>
      <c r="CZ20" s="115">
        <v>137</v>
      </c>
      <c r="DA20" s="115">
        <v>131</v>
      </c>
      <c r="DB20" s="115">
        <v>129</v>
      </c>
      <c r="DC20" s="115">
        <v>178</v>
      </c>
      <c r="DD20" s="115">
        <v>74</v>
      </c>
      <c r="DE20" s="115">
        <v>121</v>
      </c>
      <c r="DF20" s="115">
        <v>117</v>
      </c>
      <c r="DG20" s="115">
        <v>158</v>
      </c>
      <c r="DH20" s="115">
        <v>97</v>
      </c>
      <c r="DI20" s="115"/>
      <c r="DJ20" s="115"/>
      <c r="DK20" s="115"/>
      <c r="DL20" s="115"/>
      <c r="DM20" s="115"/>
      <c r="DN20" s="115"/>
      <c r="DO20" s="115"/>
      <c r="DP20" s="44"/>
      <c r="DQ20" s="44"/>
      <c r="DU20" s="68"/>
      <c r="DV20" s="68"/>
      <c r="DW20" s="68"/>
      <c r="DX20" s="68"/>
      <c r="DY20" s="68"/>
      <c r="DZ20" s="68"/>
      <c r="EA20" s="68"/>
      <c r="EB20" s="68"/>
      <c r="EC20" s="68"/>
      <c r="ED20" s="68"/>
      <c r="EE20" s="68"/>
      <c r="EF20" s="68"/>
      <c r="EG20" s="68"/>
      <c r="EH20" s="68"/>
      <c r="EI20" s="68"/>
      <c r="EJ20" s="68"/>
      <c r="EK20" s="70"/>
      <c r="EL20" s="68"/>
      <c r="EM20" s="68"/>
      <c r="EN20" s="68"/>
      <c r="EO20" s="68"/>
      <c r="EP20" s="44"/>
      <c r="EQ20" s="68"/>
      <c r="ER20" s="68"/>
      <c r="ES20" s="68"/>
      <c r="ET20" s="68"/>
      <c r="EU20" s="44">
        <f t="shared" si="11"/>
        <v>625</v>
      </c>
      <c r="EV20" s="44">
        <f t="shared" si="3"/>
        <v>658</v>
      </c>
      <c r="EW20" s="44">
        <f t="shared" si="4"/>
        <v>656</v>
      </c>
      <c r="EX20" s="44">
        <f t="shared" si="5"/>
        <v>532</v>
      </c>
      <c r="EY20" s="44">
        <f t="shared" si="6"/>
        <v>490</v>
      </c>
      <c r="EZ20" s="44">
        <f t="shared" ref="EZ20:FK20" si="28">+EY20*0.9</f>
        <v>441</v>
      </c>
      <c r="FA20" s="44">
        <f t="shared" si="28"/>
        <v>396.90000000000003</v>
      </c>
      <c r="FB20" s="44">
        <f t="shared" si="28"/>
        <v>357.21000000000004</v>
      </c>
      <c r="FC20" s="44">
        <f t="shared" si="28"/>
        <v>321.48900000000003</v>
      </c>
      <c r="FD20" s="44">
        <f t="shared" si="28"/>
        <v>289.34010000000006</v>
      </c>
      <c r="FE20" s="44">
        <f t="shared" si="28"/>
        <v>260.40609000000006</v>
      </c>
      <c r="FF20" s="44">
        <f t="shared" si="28"/>
        <v>234.36548100000007</v>
      </c>
      <c r="FG20" s="44">
        <f t="shared" si="28"/>
        <v>210.92893290000006</v>
      </c>
      <c r="FH20" s="44">
        <f t="shared" si="28"/>
        <v>189.83603961000006</v>
      </c>
      <c r="FI20" s="44">
        <f t="shared" si="28"/>
        <v>170.85243564900006</v>
      </c>
      <c r="FJ20" s="44">
        <f t="shared" si="28"/>
        <v>153.76719208410006</v>
      </c>
      <c r="FK20" s="44">
        <f t="shared" si="28"/>
        <v>138.39047287569005</v>
      </c>
      <c r="FL20" s="68"/>
      <c r="FM20" s="68"/>
      <c r="FN20" s="68"/>
      <c r="FO20" s="68"/>
      <c r="FP20" s="68"/>
      <c r="FQ20" s="83"/>
      <c r="FR20" s="68"/>
      <c r="FS20" s="84"/>
      <c r="FT20" s="68"/>
    </row>
    <row r="21" spans="1:184" s="14" customFormat="1">
      <c r="B21" s="14" t="s">
        <v>1365</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8"/>
      <c r="AF21" s="68"/>
      <c r="AG21" s="68"/>
      <c r="AH21" s="68"/>
      <c r="AI21" s="68"/>
      <c r="AJ21" s="68"/>
      <c r="AK21" s="68"/>
      <c r="AL21" s="68"/>
      <c r="AM21" s="70"/>
      <c r="AN21" s="103"/>
      <c r="AO21" s="103"/>
      <c r="AP21" s="103"/>
      <c r="AQ21" s="70"/>
      <c r="AR21" s="70"/>
      <c r="AS21" s="70"/>
      <c r="AT21" s="70"/>
      <c r="AU21" s="68"/>
      <c r="AV21" s="70"/>
      <c r="AW21" s="68"/>
      <c r="AX21" s="68"/>
      <c r="AY21" s="68"/>
      <c r="AZ21" s="68"/>
      <c r="BA21" s="68"/>
      <c r="BB21" s="68"/>
      <c r="BC21" s="70"/>
      <c r="BD21" s="68"/>
      <c r="BE21" s="68"/>
      <c r="BF21" s="70"/>
      <c r="BG21" s="68"/>
      <c r="BH21" s="70"/>
      <c r="BI21" s="68"/>
      <c r="BJ21" s="70"/>
      <c r="BK21" s="70"/>
      <c r="BL21" s="68"/>
      <c r="BM21" s="68"/>
      <c r="BN21" s="68"/>
      <c r="BO21" s="68"/>
      <c r="BP21" s="68"/>
      <c r="BQ21" s="68"/>
      <c r="BR21" s="68"/>
      <c r="BS21" s="44"/>
      <c r="BT21" s="44"/>
      <c r="BU21" s="44"/>
      <c r="BV21" s="44"/>
      <c r="BW21" s="44"/>
      <c r="BX21" s="44"/>
      <c r="BY21" s="44"/>
      <c r="BZ21" s="44"/>
      <c r="CA21" s="44"/>
      <c r="CB21" s="44"/>
      <c r="CC21" s="44"/>
      <c r="CD21" s="44"/>
      <c r="CE21" s="44"/>
      <c r="CF21" s="44"/>
      <c r="CG21" s="44"/>
      <c r="CH21" s="44"/>
      <c r="CI21" s="44"/>
      <c r="CJ21" s="44"/>
      <c r="CK21" s="44">
        <v>69</v>
      </c>
      <c r="CL21" s="44">
        <v>89</v>
      </c>
      <c r="CM21" s="44">
        <v>80</v>
      </c>
      <c r="CN21" s="115">
        <v>97</v>
      </c>
      <c r="CO21" s="115">
        <v>90</v>
      </c>
      <c r="CP21" s="115">
        <v>98</v>
      </c>
      <c r="CQ21" s="115">
        <v>100</v>
      </c>
      <c r="CR21" s="115">
        <v>113</v>
      </c>
      <c r="CS21" s="115">
        <v>111</v>
      </c>
      <c r="CT21" s="115">
        <v>126</v>
      </c>
      <c r="CU21" s="115">
        <v>123</v>
      </c>
      <c r="CV21" s="115">
        <v>136</v>
      </c>
      <c r="CW21" s="115">
        <v>136</v>
      </c>
      <c r="CX21" s="115">
        <v>145</v>
      </c>
      <c r="CY21" s="115">
        <v>128</v>
      </c>
      <c r="CZ21" s="115">
        <v>156</v>
      </c>
      <c r="DA21" s="115">
        <v>141</v>
      </c>
      <c r="DB21" s="115">
        <v>150</v>
      </c>
      <c r="DC21" s="115">
        <v>150</v>
      </c>
      <c r="DD21" s="115">
        <v>154</v>
      </c>
      <c r="DE21" s="115">
        <v>160</v>
      </c>
      <c r="DF21" s="115">
        <v>182</v>
      </c>
      <c r="DG21" s="115">
        <v>145</v>
      </c>
      <c r="DH21" s="115">
        <v>167</v>
      </c>
      <c r="DI21" s="115"/>
      <c r="DJ21" s="115"/>
      <c r="DK21" s="115"/>
      <c r="DL21" s="115"/>
      <c r="DM21" s="115"/>
      <c r="DN21" s="115"/>
      <c r="DO21" s="115"/>
      <c r="DP21" s="44"/>
      <c r="DQ21" s="44"/>
      <c r="DU21" s="68"/>
      <c r="DV21" s="68"/>
      <c r="DW21" s="68"/>
      <c r="DX21" s="68"/>
      <c r="DY21" s="68"/>
      <c r="DZ21" s="68"/>
      <c r="EA21" s="68"/>
      <c r="EB21" s="68"/>
      <c r="EC21" s="68"/>
      <c r="ED21" s="68"/>
      <c r="EE21" s="68"/>
      <c r="EF21" s="68"/>
      <c r="EG21" s="68"/>
      <c r="EH21" s="68"/>
      <c r="EI21" s="68"/>
      <c r="EJ21" s="68"/>
      <c r="EK21" s="70"/>
      <c r="EL21" s="68"/>
      <c r="EM21" s="68"/>
      <c r="EN21" s="68"/>
      <c r="EO21" s="68"/>
      <c r="EP21" s="44"/>
      <c r="EQ21" s="68"/>
      <c r="ER21" s="68"/>
      <c r="ES21" s="68"/>
      <c r="ET21" s="68"/>
      <c r="EU21" s="44">
        <f t="shared" si="11"/>
        <v>365</v>
      </c>
      <c r="EV21" s="44">
        <f t="shared" si="3"/>
        <v>450</v>
      </c>
      <c r="EW21" s="44">
        <f t="shared" si="4"/>
        <v>540</v>
      </c>
      <c r="EX21" s="44">
        <f t="shared" si="5"/>
        <v>575</v>
      </c>
      <c r="EY21" s="44">
        <f t="shared" si="6"/>
        <v>646</v>
      </c>
      <c r="EZ21" s="44">
        <f t="shared" ref="EZ21:FK21" si="29">+EY21*0.9</f>
        <v>581.4</v>
      </c>
      <c r="FA21" s="44">
        <f t="shared" si="29"/>
        <v>523.26</v>
      </c>
      <c r="FB21" s="44">
        <f t="shared" si="29"/>
        <v>470.93400000000003</v>
      </c>
      <c r="FC21" s="44">
        <f t="shared" si="29"/>
        <v>423.84060000000005</v>
      </c>
      <c r="FD21" s="44">
        <f t="shared" si="29"/>
        <v>381.45654000000007</v>
      </c>
      <c r="FE21" s="44">
        <f t="shared" si="29"/>
        <v>343.3108860000001</v>
      </c>
      <c r="FF21" s="44">
        <f t="shared" si="29"/>
        <v>308.97979740000011</v>
      </c>
      <c r="FG21" s="44">
        <f t="shared" si="29"/>
        <v>278.08181766000013</v>
      </c>
      <c r="FH21" s="44">
        <f t="shared" si="29"/>
        <v>250.27363589400011</v>
      </c>
      <c r="FI21" s="44">
        <f t="shared" si="29"/>
        <v>225.2462723046001</v>
      </c>
      <c r="FJ21" s="44">
        <f t="shared" si="29"/>
        <v>202.7216450741401</v>
      </c>
      <c r="FK21" s="44">
        <f t="shared" si="29"/>
        <v>182.44948056672609</v>
      </c>
      <c r="FL21" s="68"/>
      <c r="FM21" s="68"/>
      <c r="FN21" s="68"/>
      <c r="FO21" s="68"/>
      <c r="FP21" s="68"/>
      <c r="FQ21" s="83"/>
      <c r="FR21" s="68"/>
      <c r="FS21" s="84"/>
      <c r="FT21" s="68"/>
    </row>
    <row r="22" spans="1:184">
      <c r="B22" s="14" t="s">
        <v>315</v>
      </c>
      <c r="C22" s="62"/>
      <c r="D22" s="62"/>
      <c r="E22" s="62"/>
      <c r="F22" s="62"/>
      <c r="G22" s="62"/>
      <c r="H22" s="62"/>
      <c r="I22" s="62"/>
      <c r="J22" s="62"/>
      <c r="K22" s="62"/>
      <c r="L22" s="62"/>
      <c r="M22" s="62"/>
      <c r="N22" s="62"/>
      <c r="O22" s="62"/>
      <c r="P22" s="62"/>
      <c r="Q22" s="62"/>
      <c r="R22" s="62"/>
      <c r="S22" s="62"/>
      <c r="T22" s="62"/>
      <c r="U22" s="62"/>
      <c r="V22" s="62"/>
      <c r="W22" s="68"/>
      <c r="X22" s="68"/>
      <c r="Y22" s="68"/>
      <c r="Z22" s="68"/>
      <c r="AA22" s="44"/>
      <c r="AB22" s="44"/>
      <c r="AC22" s="44"/>
      <c r="AD22" s="44"/>
      <c r="AE22" s="44"/>
      <c r="AF22" s="44"/>
      <c r="AG22" s="44"/>
      <c r="AH22" s="44"/>
      <c r="AI22" s="68"/>
      <c r="AM22" s="69"/>
      <c r="AN22" s="69"/>
      <c r="AO22" s="69"/>
      <c r="AP22" s="103"/>
      <c r="AQ22" s="65"/>
      <c r="AR22" s="65"/>
      <c r="AS22" s="65"/>
      <c r="AT22" s="65"/>
      <c r="AU22" s="44"/>
      <c r="AV22" s="65"/>
      <c r="AW22" s="44"/>
      <c r="AX22" s="44"/>
      <c r="AY22" s="44"/>
      <c r="AZ22" s="44"/>
      <c r="BA22" s="44"/>
      <c r="BB22" s="44"/>
      <c r="BC22" s="65"/>
      <c r="BD22" s="44"/>
      <c r="BE22" s="44"/>
      <c r="BF22" s="65"/>
      <c r="BG22" s="44"/>
      <c r="BH22" s="65"/>
      <c r="BI22" s="44"/>
      <c r="BJ22" s="65"/>
      <c r="BK22" s="65">
        <v>17</v>
      </c>
      <c r="BL22" s="44"/>
      <c r="BM22" s="44"/>
      <c r="BN22" s="44">
        <v>45</v>
      </c>
      <c r="BO22" s="44">
        <v>53</v>
      </c>
      <c r="BP22" s="44">
        <v>67</v>
      </c>
      <c r="BQ22" s="44">
        <v>73</v>
      </c>
      <c r="BR22" s="44">
        <v>89</v>
      </c>
      <c r="BS22" s="44">
        <v>88</v>
      </c>
      <c r="BT22" s="44">
        <v>108</v>
      </c>
      <c r="BU22" s="44">
        <f t="shared" ref="BU22:BV22" si="30">+BT22+10</f>
        <v>118</v>
      </c>
      <c r="BV22" s="44">
        <f t="shared" si="30"/>
        <v>128</v>
      </c>
      <c r="BW22" s="44"/>
      <c r="BX22" s="44"/>
      <c r="BY22" s="44"/>
      <c r="BZ22" s="44"/>
      <c r="CA22" s="44"/>
      <c r="CB22" s="44"/>
      <c r="CC22" s="44"/>
      <c r="CD22" s="44"/>
      <c r="CE22" s="44"/>
      <c r="CF22" s="44"/>
      <c r="CG22" s="44"/>
      <c r="CH22" s="44"/>
      <c r="CI22" s="44"/>
      <c r="CJ22" s="44"/>
      <c r="CK22" s="44">
        <v>127</v>
      </c>
      <c r="CL22" s="44">
        <v>107</v>
      </c>
      <c r="CM22" s="44">
        <v>123</v>
      </c>
      <c r="CN22" s="115">
        <v>133</v>
      </c>
      <c r="CO22" s="115">
        <v>130</v>
      </c>
      <c r="CP22" s="115">
        <v>145</v>
      </c>
      <c r="CQ22" s="115">
        <v>149</v>
      </c>
      <c r="CR22" s="115">
        <v>138</v>
      </c>
      <c r="CS22" s="115">
        <v>122</v>
      </c>
      <c r="CT22" s="115">
        <v>135</v>
      </c>
      <c r="CU22" s="115">
        <v>134</v>
      </c>
      <c r="CV22" s="115">
        <v>120</v>
      </c>
      <c r="CW22" s="115">
        <v>116</v>
      </c>
      <c r="CX22" s="115">
        <v>122</v>
      </c>
      <c r="CY22" s="115">
        <v>127</v>
      </c>
      <c r="CZ22" s="115">
        <v>118</v>
      </c>
      <c r="DA22" s="115">
        <v>118</v>
      </c>
      <c r="DB22" s="115">
        <v>103</v>
      </c>
      <c r="DC22" s="115"/>
      <c r="DD22" s="115">
        <v>86</v>
      </c>
      <c r="DE22" s="115">
        <v>86</v>
      </c>
      <c r="DF22" s="115">
        <v>91</v>
      </c>
      <c r="DG22" s="115"/>
      <c r="DH22" s="115"/>
      <c r="DI22" s="115"/>
      <c r="DJ22" s="115"/>
      <c r="DK22" s="115"/>
      <c r="DL22" s="115"/>
      <c r="DM22" s="115"/>
      <c r="DN22" s="115"/>
      <c r="DO22" s="115"/>
      <c r="DP22" s="44"/>
      <c r="DQ22" s="44"/>
      <c r="DU22" s="68"/>
      <c r="DV22" s="68"/>
      <c r="DW22" s="68"/>
      <c r="DX22" s="68"/>
      <c r="DY22" s="68"/>
      <c r="DZ22" s="68"/>
      <c r="EA22" s="68"/>
      <c r="EB22" s="68"/>
      <c r="EC22" s="68"/>
      <c r="ED22" s="44"/>
      <c r="EE22" s="44"/>
      <c r="EF22" s="44"/>
      <c r="EG22" s="44"/>
      <c r="EH22" s="44"/>
      <c r="EI22" s="44"/>
      <c r="EJ22" s="44"/>
      <c r="EK22" s="65"/>
      <c r="EP22" s="44">
        <f>SUM(BS22:BV22)</f>
        <v>442</v>
      </c>
      <c r="EQ22" s="44">
        <f>+EP22*1.1</f>
        <v>486.20000000000005</v>
      </c>
      <c r="ER22" s="44">
        <f t="shared" ref="ER22:ET22" si="31">+EQ22*1.1</f>
        <v>534.82000000000005</v>
      </c>
      <c r="ES22" s="44">
        <f t="shared" si="31"/>
        <v>588.30200000000013</v>
      </c>
      <c r="ET22" s="44">
        <f t="shared" si="31"/>
        <v>647.13220000000024</v>
      </c>
      <c r="EU22" s="44">
        <f t="shared" si="11"/>
        <v>531</v>
      </c>
      <c r="EV22" s="44">
        <f t="shared" si="3"/>
        <v>544</v>
      </c>
      <c r="EW22" s="44">
        <f t="shared" si="4"/>
        <v>492</v>
      </c>
      <c r="EX22" s="44">
        <f t="shared" si="5"/>
        <v>466</v>
      </c>
      <c r="EY22" s="44">
        <f t="shared" si="6"/>
        <v>263</v>
      </c>
      <c r="EZ22" s="44">
        <f t="shared" ref="EZ22:FK22" si="32">+EY22*0.9</f>
        <v>236.70000000000002</v>
      </c>
      <c r="FA22" s="44">
        <f t="shared" si="32"/>
        <v>213.03000000000003</v>
      </c>
      <c r="FB22" s="44">
        <f t="shared" si="32"/>
        <v>191.72700000000003</v>
      </c>
      <c r="FC22" s="44">
        <f t="shared" si="32"/>
        <v>172.55430000000004</v>
      </c>
      <c r="FD22" s="44">
        <f t="shared" si="32"/>
        <v>155.29887000000005</v>
      </c>
      <c r="FE22" s="44">
        <f t="shared" si="32"/>
        <v>139.76898300000005</v>
      </c>
      <c r="FF22" s="44">
        <f t="shared" si="32"/>
        <v>125.79208470000005</v>
      </c>
      <c r="FG22" s="44">
        <f t="shared" si="32"/>
        <v>113.21287623000005</v>
      </c>
      <c r="FH22" s="44">
        <f t="shared" si="32"/>
        <v>101.89158860700005</v>
      </c>
      <c r="FI22" s="44">
        <f t="shared" si="32"/>
        <v>91.702429746300041</v>
      </c>
      <c r="FJ22" s="44">
        <f t="shared" si="32"/>
        <v>82.532186771670041</v>
      </c>
      <c r="FK22" s="44">
        <f t="shared" si="32"/>
        <v>74.278968094503043</v>
      </c>
      <c r="FR22" s="85">
        <f>EQ22*0.7</f>
        <v>340.34000000000003</v>
      </c>
      <c r="FS22" s="86">
        <f>EV22*0.7</f>
        <v>380.79999999999995</v>
      </c>
    </row>
    <row r="23" spans="1:184" collapsed="1">
      <c r="B23" s="14" t="s">
        <v>701</v>
      </c>
      <c r="C23" s="37">
        <v>264</v>
      </c>
      <c r="D23" s="37">
        <v>158</v>
      </c>
      <c r="E23" s="37">
        <v>132</v>
      </c>
      <c r="F23" s="44">
        <f>DY23-E23-D23-C23</f>
        <v>267</v>
      </c>
      <c r="G23" s="37">
        <f>227+74</f>
        <v>301</v>
      </c>
      <c r="H23" s="37">
        <f>95+66</f>
        <v>161</v>
      </c>
      <c r="I23" s="37">
        <f>138+51</f>
        <v>189</v>
      </c>
      <c r="J23" s="37">
        <f>298+74</f>
        <v>372</v>
      </c>
      <c r="K23" s="37">
        <f>336+97</f>
        <v>433</v>
      </c>
      <c r="L23" s="37">
        <f>140+64</f>
        <v>204</v>
      </c>
      <c r="M23" s="37">
        <f>170+54</f>
        <v>224</v>
      </c>
      <c r="N23" s="37">
        <f>377+72</f>
        <v>449</v>
      </c>
      <c r="O23" s="37">
        <f>319+94</f>
        <v>413</v>
      </c>
      <c r="P23" s="37">
        <f>98+60</f>
        <v>158</v>
      </c>
      <c r="Q23" s="37">
        <f>181+108</f>
        <v>289</v>
      </c>
      <c r="R23" s="37">
        <f>439+83</f>
        <v>522</v>
      </c>
      <c r="S23" s="37">
        <f>316+102</f>
        <v>418</v>
      </c>
      <c r="T23" s="37">
        <f>173+89</f>
        <v>262</v>
      </c>
      <c r="U23" s="37">
        <f>198+69</f>
        <v>267</v>
      </c>
      <c r="V23" s="37">
        <f>451+109</f>
        <v>560</v>
      </c>
      <c r="W23" s="44">
        <f>299+108</f>
        <v>407</v>
      </c>
      <c r="X23" s="44">
        <f>160+91</f>
        <v>251</v>
      </c>
      <c r="Y23" s="44">
        <f>203+67</f>
        <v>270</v>
      </c>
      <c r="Z23" s="44">
        <f>484+103</f>
        <v>587</v>
      </c>
      <c r="AA23" s="44">
        <f>427+122</f>
        <v>549</v>
      </c>
      <c r="AB23" s="44">
        <f>215+99</f>
        <v>314</v>
      </c>
      <c r="AC23" s="44">
        <f>270+85</f>
        <v>355</v>
      </c>
      <c r="AD23" s="44">
        <f>665+126</f>
        <v>791</v>
      </c>
      <c r="AE23" s="44">
        <f>335+131</f>
        <v>466</v>
      </c>
      <c r="AF23" s="44">
        <f>260+110</f>
        <v>370</v>
      </c>
      <c r="AG23" s="44">
        <f>254+85</f>
        <v>339</v>
      </c>
      <c r="AH23" s="44">
        <f>545+130</f>
        <v>675</v>
      </c>
      <c r="AI23" s="68">
        <f>632+165</f>
        <v>797</v>
      </c>
      <c r="AJ23" s="44">
        <f>294+130</f>
        <v>424</v>
      </c>
      <c r="AK23" s="44">
        <f>309+93</f>
        <v>402</v>
      </c>
      <c r="AL23" s="65">
        <v>402</v>
      </c>
      <c r="AM23" s="65">
        <v>259</v>
      </c>
      <c r="AN23" s="65">
        <v>166</v>
      </c>
      <c r="AO23" s="65">
        <v>104</v>
      </c>
      <c r="AP23" s="70">
        <v>109</v>
      </c>
      <c r="AQ23" s="65">
        <v>131</v>
      </c>
      <c r="AR23" s="65">
        <v>108</v>
      </c>
      <c r="AS23" s="65">
        <v>89</v>
      </c>
      <c r="AT23" s="65">
        <v>110</v>
      </c>
      <c r="AU23" s="44">
        <f>6+114</f>
        <v>120</v>
      </c>
      <c r="AV23" s="65">
        <f>1+108</f>
        <v>109</v>
      </c>
      <c r="AW23" s="44">
        <v>91</v>
      </c>
      <c r="AX23" s="65">
        <v>109</v>
      </c>
      <c r="AY23" s="65">
        <v>114</v>
      </c>
      <c r="AZ23" s="44">
        <v>100</v>
      </c>
      <c r="BA23" s="44">
        <v>85</v>
      </c>
      <c r="BB23" s="44">
        <v>131</v>
      </c>
      <c r="BC23" s="65">
        <v>103</v>
      </c>
      <c r="BD23" s="44">
        <v>110</v>
      </c>
      <c r="BE23" s="44">
        <v>90</v>
      </c>
      <c r="BF23" s="65">
        <v>112</v>
      </c>
      <c r="BG23" s="44">
        <v>128</v>
      </c>
      <c r="BH23" s="65">
        <v>114</v>
      </c>
      <c r="BI23" s="44">
        <v>93</v>
      </c>
      <c r="BJ23" s="65">
        <v>118</v>
      </c>
      <c r="BK23" s="65">
        <v>123</v>
      </c>
      <c r="BL23" s="44">
        <v>106</v>
      </c>
      <c r="BM23" s="44">
        <v>89</v>
      </c>
      <c r="BN23" s="44">
        <v>117</v>
      </c>
      <c r="BO23" s="44">
        <v>116</v>
      </c>
      <c r="BP23" s="44">
        <v>83</v>
      </c>
      <c r="BQ23" s="44">
        <v>84</v>
      </c>
      <c r="BR23" s="44">
        <v>104</v>
      </c>
      <c r="BS23" s="44">
        <v>92</v>
      </c>
      <c r="BT23" s="44">
        <v>76</v>
      </c>
      <c r="BU23" s="44">
        <f>+BQ23</f>
        <v>84</v>
      </c>
      <c r="BV23" s="44">
        <f>+BR23</f>
        <v>104</v>
      </c>
      <c r="BW23" s="44"/>
      <c r="BX23" s="44"/>
      <c r="BY23" s="44"/>
      <c r="BZ23" s="44"/>
      <c r="CA23" s="44"/>
      <c r="CB23" s="44"/>
      <c r="CC23" s="44"/>
      <c r="CD23" s="44"/>
      <c r="CE23" s="44"/>
      <c r="CF23" s="44"/>
      <c r="CG23" s="44"/>
      <c r="CH23" s="44"/>
      <c r="CI23" s="44"/>
      <c r="CJ23" s="44"/>
      <c r="CK23" s="44">
        <v>61</v>
      </c>
      <c r="CL23" s="44">
        <v>83</v>
      </c>
      <c r="CM23" s="44">
        <v>104</v>
      </c>
      <c r="CN23" s="115">
        <v>73</v>
      </c>
      <c r="CO23" s="115">
        <v>77</v>
      </c>
      <c r="CP23" s="115">
        <v>82</v>
      </c>
      <c r="CQ23" s="115">
        <v>138</v>
      </c>
      <c r="CR23" s="115">
        <v>55</v>
      </c>
      <c r="CS23" s="115">
        <v>25</v>
      </c>
      <c r="CT23" s="115">
        <v>58</v>
      </c>
      <c r="CU23" s="115">
        <v>89</v>
      </c>
      <c r="CV23" s="115">
        <v>43</v>
      </c>
      <c r="CW23" s="115">
        <v>66</v>
      </c>
      <c r="CX23" s="115">
        <v>81</v>
      </c>
      <c r="CY23" s="115">
        <v>125</v>
      </c>
      <c r="CZ23" s="115">
        <v>54</v>
      </c>
      <c r="DA23" s="115">
        <v>71</v>
      </c>
      <c r="DB23" s="115">
        <v>81</v>
      </c>
      <c r="DC23" s="115">
        <v>150</v>
      </c>
      <c r="DD23" s="115">
        <v>44</v>
      </c>
      <c r="DE23" s="115">
        <v>60</v>
      </c>
      <c r="DF23" s="115">
        <v>152</v>
      </c>
      <c r="DG23" s="115">
        <v>200</v>
      </c>
      <c r="DH23" s="115">
        <v>74</v>
      </c>
      <c r="DI23" s="115"/>
      <c r="DJ23" s="115"/>
      <c r="DK23" s="115"/>
      <c r="DL23" s="115"/>
      <c r="DM23" s="115"/>
      <c r="DN23" s="115"/>
      <c r="DO23" s="115"/>
      <c r="DP23" s="44"/>
      <c r="DQ23" s="44"/>
      <c r="DU23" s="68"/>
      <c r="DV23" s="68">
        <v>206</v>
      </c>
      <c r="DW23" s="44">
        <v>406</v>
      </c>
      <c r="DX23" s="44">
        <v>619</v>
      </c>
      <c r="DY23" s="44">
        <f>554+267</f>
        <v>821</v>
      </c>
      <c r="DZ23" s="68">
        <f>SUM(G23:J23)</f>
        <v>1023</v>
      </c>
      <c r="EA23" s="68">
        <f>SUM(K23:N23)</f>
        <v>1310</v>
      </c>
      <c r="EB23" s="68">
        <f>SUM(O23:R23)</f>
        <v>1382</v>
      </c>
      <c r="EC23" s="68">
        <f>SUM(S23:V23)</f>
        <v>1507</v>
      </c>
      <c r="ED23" s="68">
        <f>SUM(W23:Z23)</f>
        <v>1515</v>
      </c>
      <c r="EE23" s="68">
        <f>SUM(AA23:AD23)</f>
        <v>2009</v>
      </c>
      <c r="EF23" s="68">
        <f>SUM(AE23:AH23)</f>
        <v>1850</v>
      </c>
      <c r="EG23" s="44">
        <v>2025</v>
      </c>
      <c r="EH23" s="44">
        <v>638</v>
      </c>
      <c r="EI23" s="44">
        <f>SUM(AQ23:AT23)</f>
        <v>438</v>
      </c>
      <c r="EJ23" s="44">
        <f>SUM(AU23:AX23)</f>
        <v>429</v>
      </c>
      <c r="EK23" s="65">
        <f>SUM(AY23:BB23)</f>
        <v>430</v>
      </c>
      <c r="EL23" s="44">
        <f>SUM(BC23:BF23)</f>
        <v>415</v>
      </c>
      <c r="EM23" s="44">
        <f>SUM(BG23:BJ23)</f>
        <v>453</v>
      </c>
      <c r="EN23" s="44">
        <f>SUM(BK23:BN23)</f>
        <v>435</v>
      </c>
      <c r="EO23" s="44">
        <f>SUM(BO23:BR23)</f>
        <v>387</v>
      </c>
      <c r="EP23" s="44">
        <f>SUM(BS23:BV23)</f>
        <v>356</v>
      </c>
      <c r="EQ23" s="44">
        <f t="shared" ref="EQ23:ET23" si="33">+EP23*0.95</f>
        <v>338.2</v>
      </c>
      <c r="ER23" s="44">
        <f t="shared" si="33"/>
        <v>321.28999999999996</v>
      </c>
      <c r="ES23" s="44">
        <f t="shared" si="33"/>
        <v>305.22549999999995</v>
      </c>
      <c r="ET23" s="44">
        <f t="shared" si="33"/>
        <v>289.96422499999994</v>
      </c>
      <c r="EU23" s="44">
        <f t="shared" si="11"/>
        <v>336</v>
      </c>
      <c r="EV23" s="44">
        <f t="shared" si="3"/>
        <v>276</v>
      </c>
      <c r="EW23" s="44">
        <f t="shared" si="4"/>
        <v>279</v>
      </c>
      <c r="EX23" s="44">
        <f t="shared" si="5"/>
        <v>331</v>
      </c>
      <c r="EY23" s="44">
        <f t="shared" si="6"/>
        <v>406</v>
      </c>
      <c r="EZ23" s="44">
        <f t="shared" ref="EZ23:FK23" si="34">+EY23*0.9</f>
        <v>365.40000000000003</v>
      </c>
      <c r="FA23" s="44">
        <f t="shared" si="34"/>
        <v>328.86</v>
      </c>
      <c r="FB23" s="44">
        <f t="shared" si="34"/>
        <v>295.97400000000005</v>
      </c>
      <c r="FC23" s="44">
        <f t="shared" si="34"/>
        <v>266.37660000000005</v>
      </c>
      <c r="FD23" s="44">
        <f t="shared" si="34"/>
        <v>239.73894000000004</v>
      </c>
      <c r="FE23" s="44">
        <f t="shared" si="34"/>
        <v>215.76504600000004</v>
      </c>
      <c r="FF23" s="44">
        <f t="shared" si="34"/>
        <v>194.18854140000005</v>
      </c>
      <c r="FG23" s="44">
        <f t="shared" si="34"/>
        <v>174.76968726000004</v>
      </c>
      <c r="FH23" s="44">
        <f t="shared" si="34"/>
        <v>157.29271853400004</v>
      </c>
      <c r="FI23" s="44">
        <f t="shared" si="34"/>
        <v>141.56344668060004</v>
      </c>
      <c r="FJ23" s="44">
        <f t="shared" si="34"/>
        <v>127.40710201254004</v>
      </c>
      <c r="FK23" s="44">
        <f t="shared" si="34"/>
        <v>114.66639181128603</v>
      </c>
      <c r="FQ23" s="81">
        <f>EL23*0.3</f>
        <v>124.5</v>
      </c>
      <c r="FR23" s="44">
        <f>EQ23*0.3</f>
        <v>101.46</v>
      </c>
      <c r="FS23" s="82">
        <f>+EV23*0.3</f>
        <v>82.8</v>
      </c>
      <c r="FU23" s="14"/>
    </row>
    <row r="24" spans="1:184">
      <c r="B24" s="14" t="s">
        <v>1366</v>
      </c>
      <c r="F24" s="44"/>
      <c r="W24" s="44"/>
      <c r="X24" s="44"/>
      <c r="Y24" s="44"/>
      <c r="Z24" s="44"/>
      <c r="AA24" s="44"/>
      <c r="AB24" s="44"/>
      <c r="AC24" s="44"/>
      <c r="AD24" s="44"/>
      <c r="AE24" s="44"/>
      <c r="AF24" s="44"/>
      <c r="AG24" s="44"/>
      <c r="AH24" s="44"/>
      <c r="AI24" s="68"/>
      <c r="AJ24" s="44"/>
      <c r="AK24" s="44"/>
      <c r="AL24" s="65"/>
      <c r="AM24" s="65"/>
      <c r="AN24" s="65"/>
      <c r="AO24" s="65"/>
      <c r="AP24" s="70"/>
      <c r="AQ24" s="65"/>
      <c r="AR24" s="65"/>
      <c r="AS24" s="65"/>
      <c r="AT24" s="65"/>
      <c r="AU24" s="44"/>
      <c r="AV24" s="65"/>
      <c r="AW24" s="44"/>
      <c r="AX24" s="65"/>
      <c r="AY24" s="65"/>
      <c r="AZ24" s="44"/>
      <c r="BA24" s="44"/>
      <c r="BB24" s="44"/>
      <c r="BC24" s="65"/>
      <c r="BD24" s="44"/>
      <c r="BE24" s="44"/>
      <c r="BF24" s="65"/>
      <c r="BG24" s="44"/>
      <c r="BH24" s="65"/>
      <c r="BI24" s="44"/>
      <c r="BJ24" s="65"/>
      <c r="BK24" s="65"/>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v>0</v>
      </c>
      <c r="CL24" s="44">
        <v>0</v>
      </c>
      <c r="CM24" s="44">
        <v>0</v>
      </c>
      <c r="CN24" s="115">
        <v>0</v>
      </c>
      <c r="CO24" s="115">
        <v>0</v>
      </c>
      <c r="CP24" s="115">
        <v>0</v>
      </c>
      <c r="CQ24" s="115">
        <v>0</v>
      </c>
      <c r="CR24" s="115">
        <v>0</v>
      </c>
      <c r="CS24" s="115">
        <v>59</v>
      </c>
      <c r="CT24" s="115">
        <v>92</v>
      </c>
      <c r="CU24" s="115">
        <v>98</v>
      </c>
      <c r="CV24" s="115">
        <v>120</v>
      </c>
      <c r="CW24" s="115">
        <v>124</v>
      </c>
      <c r="CX24" s="115">
        <v>148</v>
      </c>
      <c r="CY24" s="115">
        <v>124</v>
      </c>
      <c r="CZ24" s="115">
        <v>113</v>
      </c>
      <c r="DA24" s="115">
        <v>120</v>
      </c>
      <c r="DB24" s="115">
        <v>101</v>
      </c>
      <c r="DC24" s="115"/>
      <c r="DD24" s="115">
        <v>100</v>
      </c>
      <c r="DE24" s="115">
        <v>88</v>
      </c>
      <c r="DF24" s="115">
        <v>88</v>
      </c>
      <c r="DG24" s="115"/>
      <c r="DH24" s="115"/>
      <c r="DI24" s="115"/>
      <c r="DJ24" s="115"/>
      <c r="DK24" s="115"/>
      <c r="DL24" s="115"/>
      <c r="DM24" s="115"/>
      <c r="DN24" s="115"/>
      <c r="DO24" s="115"/>
      <c r="DP24" s="44"/>
      <c r="DQ24" s="44"/>
      <c r="DU24" s="68"/>
      <c r="DV24" s="68"/>
      <c r="DW24" s="44"/>
      <c r="DX24" s="44"/>
      <c r="DY24" s="44"/>
      <c r="DZ24" s="68"/>
      <c r="EA24" s="68"/>
      <c r="EB24" s="68"/>
      <c r="EC24" s="68"/>
      <c r="ED24" s="68"/>
      <c r="EE24" s="68"/>
      <c r="EF24" s="68"/>
      <c r="EG24" s="44"/>
      <c r="EH24" s="44"/>
      <c r="EI24" s="44"/>
      <c r="EJ24" s="44"/>
      <c r="EK24" s="65"/>
      <c r="EU24" s="44">
        <f t="shared" si="11"/>
        <v>0</v>
      </c>
      <c r="EV24" s="44">
        <f t="shared" si="3"/>
        <v>151</v>
      </c>
      <c r="EW24" s="44">
        <f t="shared" si="4"/>
        <v>490</v>
      </c>
      <c r="EX24" s="44">
        <f t="shared" si="5"/>
        <v>458</v>
      </c>
      <c r="EY24" s="44">
        <f t="shared" si="6"/>
        <v>276</v>
      </c>
      <c r="EZ24" s="44">
        <f t="shared" ref="EZ24:FK24" si="35">+EY24*0.9</f>
        <v>248.4</v>
      </c>
      <c r="FA24" s="44">
        <f t="shared" si="35"/>
        <v>223.56</v>
      </c>
      <c r="FB24" s="44">
        <f t="shared" si="35"/>
        <v>201.20400000000001</v>
      </c>
      <c r="FC24" s="44">
        <f t="shared" si="35"/>
        <v>181.08360000000002</v>
      </c>
      <c r="FD24" s="44">
        <f t="shared" si="35"/>
        <v>162.97524000000001</v>
      </c>
      <c r="FE24" s="44">
        <f t="shared" si="35"/>
        <v>146.677716</v>
      </c>
      <c r="FF24" s="44">
        <f t="shared" si="35"/>
        <v>132.00994439999999</v>
      </c>
      <c r="FG24" s="44">
        <f t="shared" si="35"/>
        <v>118.80894995999999</v>
      </c>
      <c r="FH24" s="44">
        <f t="shared" si="35"/>
        <v>106.928054964</v>
      </c>
      <c r="FI24" s="44">
        <f t="shared" si="35"/>
        <v>96.235249467599999</v>
      </c>
      <c r="FJ24" s="44">
        <f t="shared" si="35"/>
        <v>86.611724520839999</v>
      </c>
      <c r="FK24" s="44">
        <f t="shared" si="35"/>
        <v>77.950552068755997</v>
      </c>
      <c r="FU24" s="14"/>
    </row>
    <row r="25" spans="1:184">
      <c r="B25" s="14" t="s">
        <v>1367</v>
      </c>
      <c r="F25" s="44"/>
      <c r="W25" s="44"/>
      <c r="X25" s="44"/>
      <c r="Y25" s="44"/>
      <c r="Z25" s="44"/>
      <c r="AA25" s="44"/>
      <c r="AB25" s="44"/>
      <c r="AC25" s="44"/>
      <c r="AD25" s="44"/>
      <c r="AE25" s="44"/>
      <c r="AF25" s="44"/>
      <c r="AG25" s="44"/>
      <c r="AH25" s="44"/>
      <c r="AI25" s="68"/>
      <c r="AJ25" s="44"/>
      <c r="AK25" s="44"/>
      <c r="AL25" s="65"/>
      <c r="AM25" s="65"/>
      <c r="AN25" s="65"/>
      <c r="AO25" s="65"/>
      <c r="AP25" s="70"/>
      <c r="AQ25" s="65"/>
      <c r="AR25" s="65"/>
      <c r="AS25" s="65"/>
      <c r="AT25" s="65"/>
      <c r="AU25" s="44"/>
      <c r="AV25" s="65"/>
      <c r="AW25" s="44"/>
      <c r="AX25" s="65"/>
      <c r="AY25" s="65"/>
      <c r="AZ25" s="44"/>
      <c r="BA25" s="44"/>
      <c r="BB25" s="44"/>
      <c r="BC25" s="65"/>
      <c r="BD25" s="44"/>
      <c r="BE25" s="44"/>
      <c r="BF25" s="65"/>
      <c r="BG25" s="44"/>
      <c r="BH25" s="65"/>
      <c r="BI25" s="44"/>
      <c r="BJ25" s="65"/>
      <c r="BK25" s="65"/>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v>19</v>
      </c>
      <c r="CL25" s="44">
        <v>27</v>
      </c>
      <c r="CM25" s="44">
        <v>31</v>
      </c>
      <c r="CN25" s="115">
        <v>51</v>
      </c>
      <c r="CO25" s="115">
        <v>64</v>
      </c>
      <c r="CP25" s="115">
        <v>79</v>
      </c>
      <c r="CQ25" s="115">
        <v>89</v>
      </c>
      <c r="CR25" s="115">
        <v>87</v>
      </c>
      <c r="CS25" s="115">
        <v>102</v>
      </c>
      <c r="CT25" s="115">
        <v>108</v>
      </c>
      <c r="CU25" s="115">
        <v>109</v>
      </c>
      <c r="CV25" s="115">
        <v>103</v>
      </c>
      <c r="CW25" s="115">
        <v>110</v>
      </c>
      <c r="CX25" s="115">
        <v>122</v>
      </c>
      <c r="CY25" s="115">
        <v>115</v>
      </c>
      <c r="CZ25" s="115">
        <v>106</v>
      </c>
      <c r="DA25" s="115">
        <v>87</v>
      </c>
      <c r="DB25" s="115">
        <v>86</v>
      </c>
      <c r="DC25" s="115"/>
      <c r="DD25" s="115">
        <v>87</v>
      </c>
      <c r="DE25" s="115">
        <v>82</v>
      </c>
      <c r="DF25" s="115">
        <v>79</v>
      </c>
      <c r="DG25" s="115"/>
      <c r="DH25" s="115"/>
      <c r="DI25" s="115"/>
      <c r="DJ25" s="115"/>
      <c r="DK25" s="115"/>
      <c r="DL25" s="115"/>
      <c r="DM25" s="115"/>
      <c r="DN25" s="115"/>
      <c r="DO25" s="115"/>
      <c r="DP25" s="44"/>
      <c r="DQ25" s="44"/>
      <c r="DU25" s="68"/>
      <c r="DV25" s="68"/>
      <c r="DW25" s="44"/>
      <c r="DX25" s="44"/>
      <c r="DY25" s="44"/>
      <c r="DZ25" s="68"/>
      <c r="EA25" s="68"/>
      <c r="EB25" s="68"/>
      <c r="EC25" s="68"/>
      <c r="ED25" s="68"/>
      <c r="EE25" s="68"/>
      <c r="EF25" s="68"/>
      <c r="EG25" s="44"/>
      <c r="EH25" s="44"/>
      <c r="EI25" s="44"/>
      <c r="EJ25" s="44"/>
      <c r="EK25" s="65"/>
      <c r="EU25" s="44">
        <f t="shared" si="11"/>
        <v>225</v>
      </c>
      <c r="EV25" s="44">
        <f t="shared" si="3"/>
        <v>386</v>
      </c>
      <c r="EW25" s="44">
        <f t="shared" si="4"/>
        <v>444</v>
      </c>
      <c r="EX25" s="44">
        <f t="shared" si="5"/>
        <v>394</v>
      </c>
      <c r="EY25" s="44">
        <f t="shared" si="6"/>
        <v>248</v>
      </c>
      <c r="EZ25" s="44">
        <f t="shared" ref="EZ25:FK25" si="36">+EY25*0.9</f>
        <v>223.20000000000002</v>
      </c>
      <c r="FA25" s="44">
        <f t="shared" si="36"/>
        <v>200.88000000000002</v>
      </c>
      <c r="FB25" s="44">
        <f t="shared" si="36"/>
        <v>180.79200000000003</v>
      </c>
      <c r="FC25" s="44">
        <f t="shared" si="36"/>
        <v>162.71280000000004</v>
      </c>
      <c r="FD25" s="44">
        <f t="shared" si="36"/>
        <v>146.44152000000005</v>
      </c>
      <c r="FE25" s="44">
        <f t="shared" si="36"/>
        <v>131.79736800000006</v>
      </c>
      <c r="FF25" s="44">
        <f t="shared" si="36"/>
        <v>118.61763120000006</v>
      </c>
      <c r="FG25" s="44">
        <f t="shared" si="36"/>
        <v>106.75586808000006</v>
      </c>
      <c r="FH25" s="44">
        <f t="shared" si="36"/>
        <v>96.08028127200005</v>
      </c>
      <c r="FI25" s="44">
        <f t="shared" si="36"/>
        <v>86.47225314480005</v>
      </c>
      <c r="FJ25" s="44">
        <f t="shared" si="36"/>
        <v>77.825027830320053</v>
      </c>
      <c r="FK25" s="44">
        <f t="shared" si="36"/>
        <v>70.042525047288052</v>
      </c>
      <c r="FU25" s="14"/>
    </row>
    <row r="26" spans="1:184">
      <c r="B26" s="14" t="s">
        <v>1619</v>
      </c>
      <c r="F26" s="44"/>
      <c r="W26" s="44"/>
      <c r="X26" s="44"/>
      <c r="Y26" s="44"/>
      <c r="Z26" s="44"/>
      <c r="AA26" s="44"/>
      <c r="AB26" s="44"/>
      <c r="AC26" s="44"/>
      <c r="AD26" s="44"/>
      <c r="AE26" s="44"/>
      <c r="AF26" s="44"/>
      <c r="AG26" s="44"/>
      <c r="AH26" s="44"/>
      <c r="AI26" s="68"/>
      <c r="AJ26" s="44"/>
      <c r="AK26" s="44"/>
      <c r="AL26" s="65"/>
      <c r="AM26" s="65"/>
      <c r="AN26" s="65"/>
      <c r="AO26" s="65"/>
      <c r="AP26" s="70"/>
      <c r="AQ26" s="65"/>
      <c r="AR26" s="65"/>
      <c r="AS26" s="65"/>
      <c r="AT26" s="65"/>
      <c r="AU26" s="44"/>
      <c r="AV26" s="65"/>
      <c r="AW26" s="44"/>
      <c r="AX26" s="65"/>
      <c r="AY26" s="65"/>
      <c r="AZ26" s="44"/>
      <c r="BA26" s="44"/>
      <c r="BB26" s="44"/>
      <c r="BC26" s="65"/>
      <c r="BD26" s="44"/>
      <c r="BE26" s="44"/>
      <c r="BF26" s="65"/>
      <c r="BG26" s="44"/>
      <c r="BH26" s="65"/>
      <c r="BI26" s="44"/>
      <c r="BJ26" s="65"/>
      <c r="BK26" s="65"/>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115"/>
      <c r="CO26" s="115"/>
      <c r="CP26" s="115"/>
      <c r="CQ26" s="115"/>
      <c r="CR26" s="115"/>
      <c r="CS26" s="115"/>
      <c r="CT26" s="115"/>
      <c r="CU26" s="115"/>
      <c r="CV26" s="115"/>
      <c r="CW26" s="115"/>
      <c r="CX26" s="115"/>
      <c r="CY26" s="115"/>
      <c r="CZ26" s="115">
        <v>1</v>
      </c>
      <c r="DA26" s="115">
        <v>11</v>
      </c>
      <c r="DB26" s="115">
        <v>10</v>
      </c>
      <c r="DC26" s="115">
        <v>16</v>
      </c>
      <c r="DD26" s="115">
        <v>38</v>
      </c>
      <c r="DE26" s="115">
        <v>37</v>
      </c>
      <c r="DF26" s="115">
        <v>37</v>
      </c>
      <c r="DG26" s="115">
        <v>42</v>
      </c>
      <c r="DH26" s="115">
        <v>47</v>
      </c>
      <c r="DI26" s="115"/>
      <c r="DJ26" s="115"/>
      <c r="DK26" s="115"/>
      <c r="DL26" s="115"/>
      <c r="DM26" s="115"/>
      <c r="DN26" s="115"/>
      <c r="DO26" s="115"/>
      <c r="DP26" s="44"/>
      <c r="DQ26" s="44"/>
      <c r="DU26" s="68"/>
      <c r="DV26" s="68"/>
      <c r="DW26" s="44"/>
      <c r="DX26" s="44"/>
      <c r="DY26" s="44"/>
      <c r="DZ26" s="68"/>
      <c r="EA26" s="68"/>
      <c r="EB26" s="68"/>
      <c r="EC26" s="68"/>
      <c r="ED26" s="68"/>
      <c r="EE26" s="68"/>
      <c r="EF26" s="68"/>
      <c r="EG26" s="44"/>
      <c r="EH26" s="44"/>
      <c r="EI26" s="44"/>
      <c r="EJ26" s="44"/>
      <c r="EK26" s="65"/>
      <c r="FU26" s="14"/>
    </row>
    <row r="27" spans="1:184" s="9" customFormat="1">
      <c r="A27" s="14"/>
      <c r="B27" s="14" t="s">
        <v>646</v>
      </c>
      <c r="C27" s="62" t="s">
        <v>605</v>
      </c>
      <c r="D27" s="62" t="s">
        <v>605</v>
      </c>
      <c r="E27" s="62" t="s">
        <v>605</v>
      </c>
      <c r="F27" s="62" t="s">
        <v>605</v>
      </c>
      <c r="G27" s="62" t="s">
        <v>605</v>
      </c>
      <c r="H27" s="62" t="s">
        <v>605</v>
      </c>
      <c r="I27" s="62" t="s">
        <v>605</v>
      </c>
      <c r="J27" s="62" t="s">
        <v>605</v>
      </c>
      <c r="K27" s="62" t="s">
        <v>605</v>
      </c>
      <c r="L27" s="62" t="s">
        <v>605</v>
      </c>
      <c r="M27" s="62" t="s">
        <v>605</v>
      </c>
      <c r="N27" s="62" t="s">
        <v>605</v>
      </c>
      <c r="O27" s="62" t="s">
        <v>605</v>
      </c>
      <c r="P27" s="62" t="s">
        <v>605</v>
      </c>
      <c r="Q27" s="62" t="s">
        <v>605</v>
      </c>
      <c r="R27" s="62" t="s">
        <v>605</v>
      </c>
      <c r="S27" s="62" t="s">
        <v>605</v>
      </c>
      <c r="T27" s="62" t="s">
        <v>605</v>
      </c>
      <c r="U27" s="62" t="s">
        <v>605</v>
      </c>
      <c r="V27" s="62" t="s">
        <v>605</v>
      </c>
      <c r="W27" s="62" t="s">
        <v>605</v>
      </c>
      <c r="X27" s="62" t="s">
        <v>605</v>
      </c>
      <c r="Y27" s="62" t="s">
        <v>605</v>
      </c>
      <c r="Z27" s="62" t="s">
        <v>605</v>
      </c>
      <c r="AA27" s="62" t="s">
        <v>605</v>
      </c>
      <c r="AB27" s="62" t="s">
        <v>605</v>
      </c>
      <c r="AC27" s="62" t="s">
        <v>605</v>
      </c>
      <c r="AD27" s="62" t="s">
        <v>605</v>
      </c>
      <c r="AE27" s="68" t="s">
        <v>605</v>
      </c>
      <c r="AF27" s="68" t="s">
        <v>605</v>
      </c>
      <c r="AG27" s="68" t="s">
        <v>605</v>
      </c>
      <c r="AH27" s="68" t="s">
        <v>605</v>
      </c>
      <c r="AI27" s="68" t="s">
        <v>605</v>
      </c>
      <c r="AJ27" s="68" t="s">
        <v>605</v>
      </c>
      <c r="AK27" s="68" t="s">
        <v>605</v>
      </c>
      <c r="AL27" s="70" t="s">
        <v>605</v>
      </c>
      <c r="AM27" s="70">
        <v>16</v>
      </c>
      <c r="AN27" s="103">
        <v>36</v>
      </c>
      <c r="AO27" s="103">
        <v>63</v>
      </c>
      <c r="AP27" s="103">
        <v>104</v>
      </c>
      <c r="AQ27" s="70">
        <v>102</v>
      </c>
      <c r="AR27" s="70">
        <v>146</v>
      </c>
      <c r="AS27" s="70">
        <v>151</v>
      </c>
      <c r="AT27" s="70">
        <v>182</v>
      </c>
      <c r="AU27" s="68">
        <f>66+124</f>
        <v>190</v>
      </c>
      <c r="AV27" s="70">
        <f>60+151</f>
        <v>211</v>
      </c>
      <c r="AW27" s="68">
        <v>226</v>
      </c>
      <c r="AX27" s="70">
        <v>220</v>
      </c>
      <c r="AY27" s="70">
        <v>202</v>
      </c>
      <c r="AZ27" s="68">
        <v>223</v>
      </c>
      <c r="BA27" s="68">
        <v>246</v>
      </c>
      <c r="BB27" s="68">
        <v>293</v>
      </c>
      <c r="BC27" s="70">
        <f>69+190</f>
        <v>259</v>
      </c>
      <c r="BD27" s="68">
        <v>255</v>
      </c>
      <c r="BE27" s="68">
        <v>257</v>
      </c>
      <c r="BF27" s="70">
        <v>295</v>
      </c>
      <c r="BG27" s="68">
        <v>276</v>
      </c>
      <c r="BH27" s="70">
        <v>296</v>
      </c>
      <c r="BI27" s="68">
        <v>298</v>
      </c>
      <c r="BJ27" s="70">
        <v>317</v>
      </c>
      <c r="BK27" s="70">
        <v>300</v>
      </c>
      <c r="BL27" s="68">
        <v>319</v>
      </c>
      <c r="BM27" s="68">
        <v>294</v>
      </c>
      <c r="BN27" s="68">
        <v>323</v>
      </c>
      <c r="BO27" s="68">
        <v>302</v>
      </c>
      <c r="BP27" s="68">
        <v>312</v>
      </c>
      <c r="BQ27" s="68">
        <v>278</v>
      </c>
      <c r="BR27" s="68">
        <v>312</v>
      </c>
      <c r="BS27" s="68">
        <v>268</v>
      </c>
      <c r="BT27" s="68">
        <v>310</v>
      </c>
      <c r="BU27" s="68">
        <f t="shared" ref="BU27:BV27" si="37">+BQ27*1.02</f>
        <v>283.56</v>
      </c>
      <c r="BV27" s="68">
        <f t="shared" si="37"/>
        <v>318.24</v>
      </c>
      <c r="BW27" s="68"/>
      <c r="BX27" s="68"/>
      <c r="BY27" s="68"/>
      <c r="BZ27" s="68"/>
      <c r="CA27" s="68"/>
      <c r="CB27" s="68"/>
      <c r="CC27" s="68"/>
      <c r="CD27" s="68"/>
      <c r="CE27" s="68"/>
      <c r="CF27" s="68"/>
      <c r="CG27" s="68"/>
      <c r="CH27" s="68"/>
      <c r="CI27" s="68"/>
      <c r="CJ27" s="68"/>
      <c r="CK27" s="68">
        <v>248</v>
      </c>
      <c r="CL27" s="68">
        <v>264</v>
      </c>
      <c r="CM27" s="68">
        <v>232</v>
      </c>
      <c r="CN27" s="122">
        <v>248</v>
      </c>
      <c r="CO27" s="122">
        <v>224</v>
      </c>
      <c r="CP27" s="122">
        <v>231</v>
      </c>
      <c r="CQ27" s="122">
        <v>205</v>
      </c>
      <c r="CR27" s="122">
        <v>209</v>
      </c>
      <c r="CS27" s="122">
        <v>202</v>
      </c>
      <c r="CT27" s="122">
        <v>203</v>
      </c>
      <c r="CU27" s="122">
        <v>200</v>
      </c>
      <c r="CV27" s="122">
        <v>194</v>
      </c>
      <c r="CW27" s="122">
        <v>142</v>
      </c>
      <c r="CX27" s="122">
        <v>137</v>
      </c>
      <c r="CY27" s="122">
        <v>114</v>
      </c>
      <c r="CZ27" s="122">
        <v>97</v>
      </c>
      <c r="DA27" s="122">
        <v>75</v>
      </c>
      <c r="DB27" s="122">
        <v>60</v>
      </c>
      <c r="DC27" s="122"/>
      <c r="DD27" s="122">
        <v>45</v>
      </c>
      <c r="DE27" s="122">
        <v>42</v>
      </c>
      <c r="DF27" s="122">
        <v>44</v>
      </c>
      <c r="DG27" s="122"/>
      <c r="DH27" s="122"/>
      <c r="DI27" s="122"/>
      <c r="DJ27" s="122"/>
      <c r="DK27" s="122"/>
      <c r="DL27" s="122"/>
      <c r="DM27" s="122"/>
      <c r="DN27" s="122"/>
      <c r="DO27" s="122"/>
      <c r="DP27" s="68"/>
      <c r="DQ27" s="68"/>
      <c r="DR27" s="14"/>
      <c r="DS27" s="14"/>
      <c r="DT27" s="14"/>
      <c r="DU27" s="68"/>
      <c r="DV27" s="68" t="s">
        <v>605</v>
      </c>
      <c r="DW27" s="68" t="s">
        <v>605</v>
      </c>
      <c r="DX27" s="68" t="s">
        <v>605</v>
      </c>
      <c r="DY27" s="68" t="s">
        <v>605</v>
      </c>
      <c r="DZ27" s="68" t="s">
        <v>605</v>
      </c>
      <c r="EA27" s="68" t="s">
        <v>605</v>
      </c>
      <c r="EB27" s="68" t="s">
        <v>605</v>
      </c>
      <c r="EC27" s="68" t="s">
        <v>605</v>
      </c>
      <c r="ED27" s="68" t="s">
        <v>605</v>
      </c>
      <c r="EE27" s="68" t="s">
        <v>605</v>
      </c>
      <c r="EF27" s="68" t="s">
        <v>605</v>
      </c>
      <c r="EG27" s="68" t="s">
        <v>605</v>
      </c>
      <c r="EH27" s="68">
        <v>219</v>
      </c>
      <c r="EI27" s="68">
        <f>SUM(AQ27:AT27)</f>
        <v>581</v>
      </c>
      <c r="EJ27" s="44">
        <f>SUM(AU27:AX27)</f>
        <v>847</v>
      </c>
      <c r="EK27" s="65">
        <f>SUM(AY27:BB27)</f>
        <v>964</v>
      </c>
      <c r="EL27" s="68">
        <f>SUM(BC27:BF27)</f>
        <v>1066</v>
      </c>
      <c r="EM27" s="44">
        <f>SUM(BG27:BJ27)</f>
        <v>1187</v>
      </c>
      <c r="EN27" s="44">
        <f>SUM(BK27:BN27)</f>
        <v>1236</v>
      </c>
      <c r="EO27" s="44">
        <f>SUM(BO27:BR27)</f>
        <v>1204</v>
      </c>
      <c r="EP27" s="44">
        <f>SUM(BS27:BV27)</f>
        <v>1179.8</v>
      </c>
      <c r="EQ27" s="68">
        <f t="shared" ref="EQ27:ES27" si="38">EP27*1.05</f>
        <v>1238.79</v>
      </c>
      <c r="ER27" s="68">
        <f t="shared" si="38"/>
        <v>1300.7294999999999</v>
      </c>
      <c r="ES27" s="68">
        <f t="shared" si="38"/>
        <v>1365.765975</v>
      </c>
      <c r="ET27" s="68">
        <f>ES27*0.3</f>
        <v>409.72979249999997</v>
      </c>
      <c r="EU27" s="44">
        <f t="shared" si="11"/>
        <v>935</v>
      </c>
      <c r="EV27" s="44">
        <f t="shared" si="3"/>
        <v>819</v>
      </c>
      <c r="EW27" s="44">
        <f t="shared" si="4"/>
        <v>673</v>
      </c>
      <c r="EX27" s="44">
        <f t="shared" si="5"/>
        <v>346</v>
      </c>
      <c r="EY27" s="44">
        <f t="shared" si="6"/>
        <v>131</v>
      </c>
      <c r="EZ27" s="44">
        <f t="shared" ref="EZ27:FK27" si="39">+EY27*0.9</f>
        <v>117.9</v>
      </c>
      <c r="FA27" s="44">
        <f t="shared" si="39"/>
        <v>106.11000000000001</v>
      </c>
      <c r="FB27" s="44">
        <f t="shared" si="39"/>
        <v>95.499000000000009</v>
      </c>
      <c r="FC27" s="44">
        <f t="shared" si="39"/>
        <v>85.949100000000016</v>
      </c>
      <c r="FD27" s="44">
        <f t="shared" si="39"/>
        <v>77.354190000000017</v>
      </c>
      <c r="FE27" s="44">
        <f t="shared" si="39"/>
        <v>69.618771000000024</v>
      </c>
      <c r="FF27" s="44">
        <f t="shared" si="39"/>
        <v>62.656893900000021</v>
      </c>
      <c r="FG27" s="44">
        <f t="shared" si="39"/>
        <v>56.391204510000023</v>
      </c>
      <c r="FH27" s="44">
        <f t="shared" si="39"/>
        <v>50.752084059000019</v>
      </c>
      <c r="FI27" s="44">
        <f t="shared" si="39"/>
        <v>45.676875653100019</v>
      </c>
      <c r="FJ27" s="44">
        <f t="shared" si="39"/>
        <v>41.109188087790017</v>
      </c>
      <c r="FK27" s="44">
        <f t="shared" si="39"/>
        <v>36.998269279011019</v>
      </c>
      <c r="FL27" s="68"/>
      <c r="FM27" s="68"/>
      <c r="FN27" s="68"/>
      <c r="FO27" s="68"/>
      <c r="FP27" s="68"/>
      <c r="FQ27" s="83">
        <f>EL27*0.8</f>
        <v>852.80000000000007</v>
      </c>
      <c r="FR27" s="68">
        <f>EQ27*0.8</f>
        <v>991.03200000000004</v>
      </c>
      <c r="FS27" s="84">
        <f>EV27*0.5</f>
        <v>409.5</v>
      </c>
      <c r="FT27" s="68"/>
      <c r="FU27" s="14"/>
      <c r="FV27" s="14"/>
      <c r="FW27" s="14"/>
      <c r="FX27" s="14"/>
      <c r="FY27" s="14"/>
      <c r="FZ27" s="14"/>
      <c r="GA27" s="14"/>
      <c r="GB27" s="14"/>
    </row>
    <row r="28" spans="1:184" s="20" customFormat="1">
      <c r="B28" s="111" t="s">
        <v>1396</v>
      </c>
      <c r="C28" s="68" t="s">
        <v>605</v>
      </c>
      <c r="D28" s="68" t="s">
        <v>605</v>
      </c>
      <c r="E28" s="68" t="s">
        <v>605</v>
      </c>
      <c r="F28" s="68" t="s">
        <v>605</v>
      </c>
      <c r="G28" s="68" t="s">
        <v>605</v>
      </c>
      <c r="H28" s="68" t="s">
        <v>605</v>
      </c>
      <c r="I28" s="68" t="s">
        <v>605</v>
      </c>
      <c r="J28" s="68" t="s">
        <v>605</v>
      </c>
      <c r="K28" s="68" t="s">
        <v>605</v>
      </c>
      <c r="L28" s="68" t="s">
        <v>605</v>
      </c>
      <c r="M28" s="68" t="s">
        <v>605</v>
      </c>
      <c r="N28" s="68" t="s">
        <v>605</v>
      </c>
      <c r="O28" s="68" t="s">
        <v>605</v>
      </c>
      <c r="P28" s="68" t="s">
        <v>605</v>
      </c>
      <c r="Q28" s="68" t="s">
        <v>605</v>
      </c>
      <c r="R28" s="68" t="s">
        <v>605</v>
      </c>
      <c r="S28" s="68" t="s">
        <v>605</v>
      </c>
      <c r="T28" s="68" t="s">
        <v>605</v>
      </c>
      <c r="U28" s="68" t="s">
        <v>605</v>
      </c>
      <c r="V28" s="68" t="s">
        <v>605</v>
      </c>
      <c r="W28" s="68" t="s">
        <v>605</v>
      </c>
      <c r="X28" s="68" t="s">
        <v>605</v>
      </c>
      <c r="Y28" s="68" t="s">
        <v>605</v>
      </c>
      <c r="Z28" s="68" t="s">
        <v>605</v>
      </c>
      <c r="AA28" s="44" t="s">
        <v>605</v>
      </c>
      <c r="AB28" s="44" t="s">
        <v>605</v>
      </c>
      <c r="AC28" s="44" t="s">
        <v>605</v>
      </c>
      <c r="AD28" s="44" t="s">
        <v>605</v>
      </c>
      <c r="AE28" s="44" t="s">
        <v>605</v>
      </c>
      <c r="AF28" s="44" t="s">
        <v>605</v>
      </c>
      <c r="AG28" s="44" t="s">
        <v>605</v>
      </c>
      <c r="AH28" s="44" t="s">
        <v>605</v>
      </c>
      <c r="AI28" s="68" t="s">
        <v>605</v>
      </c>
      <c r="AJ28" s="44" t="s">
        <v>605</v>
      </c>
      <c r="AK28" s="44" t="s">
        <v>605</v>
      </c>
      <c r="AL28" s="44" t="s">
        <v>605</v>
      </c>
      <c r="AM28" s="65" t="s">
        <v>605</v>
      </c>
      <c r="AN28" s="65" t="s">
        <v>605</v>
      </c>
      <c r="AO28" s="65" t="s">
        <v>605</v>
      </c>
      <c r="AP28" s="70" t="s">
        <v>605</v>
      </c>
      <c r="AQ28" s="65" t="s">
        <v>605</v>
      </c>
      <c r="AR28" s="65" t="s">
        <v>605</v>
      </c>
      <c r="AS28" s="65" t="s">
        <v>605</v>
      </c>
      <c r="AT28" s="65" t="s">
        <v>605</v>
      </c>
      <c r="AU28" s="73" t="s">
        <v>639</v>
      </c>
      <c r="AV28" s="75" t="s">
        <v>640</v>
      </c>
      <c r="AW28" s="44"/>
      <c r="AX28" s="44"/>
      <c r="AY28" s="75" t="s">
        <v>641</v>
      </c>
      <c r="AZ28" s="73" t="s">
        <v>642</v>
      </c>
      <c r="BA28" s="73" t="s">
        <v>642</v>
      </c>
      <c r="BB28" s="73">
        <f>98+47</f>
        <v>145</v>
      </c>
      <c r="BC28" s="65">
        <f>154+90</f>
        <v>244</v>
      </c>
      <c r="BD28" s="44">
        <f>98+164</f>
        <v>262</v>
      </c>
      <c r="BE28" s="44">
        <f>102+156</f>
        <v>258</v>
      </c>
      <c r="BF28" s="65">
        <f>169+114</f>
        <v>283</v>
      </c>
      <c r="BG28" s="44">
        <f>117+164</f>
        <v>281</v>
      </c>
      <c r="BH28" s="65">
        <f>123+176</f>
        <v>299</v>
      </c>
      <c r="BI28" s="44">
        <f>178+140</f>
        <v>318</v>
      </c>
      <c r="BJ28" s="65">
        <f>175+126</f>
        <v>301</v>
      </c>
      <c r="BK28" s="65">
        <f>183+132</f>
        <v>315</v>
      </c>
      <c r="BL28" s="44">
        <f>193+138</f>
        <v>331</v>
      </c>
      <c r="BM28" s="44">
        <f>201+150</f>
        <v>351</v>
      </c>
      <c r="BN28" s="44">
        <f>198+164</f>
        <v>362</v>
      </c>
      <c r="BO28" s="44">
        <f>189+139</f>
        <v>328</v>
      </c>
      <c r="BP28" s="44">
        <f>217+146</f>
        <v>363</v>
      </c>
      <c r="BQ28" s="44">
        <f>213+148</f>
        <v>361</v>
      </c>
      <c r="BR28" s="44">
        <f>213+169</f>
        <v>382</v>
      </c>
      <c r="BS28" s="44">
        <f>201+145</f>
        <v>346</v>
      </c>
      <c r="BT28" s="44">
        <f>227+171</f>
        <v>398</v>
      </c>
      <c r="BU28" s="44">
        <f t="shared" ref="BU28:BV28" si="40">+BQ28</f>
        <v>361</v>
      </c>
      <c r="BV28" s="44">
        <f t="shared" si="40"/>
        <v>382</v>
      </c>
      <c r="BW28" s="44"/>
      <c r="BX28" s="44"/>
      <c r="BY28" s="44"/>
      <c r="BZ28" s="44"/>
      <c r="CA28" s="44"/>
      <c r="CB28" s="44"/>
      <c r="CC28" s="44"/>
      <c r="CD28" s="44"/>
      <c r="CE28" s="44"/>
      <c r="CF28" s="44"/>
      <c r="CG28" s="44"/>
      <c r="CH28" s="44"/>
      <c r="CI28" s="44"/>
      <c r="CJ28" s="44"/>
      <c r="CK28" s="44">
        <v>132</v>
      </c>
      <c r="CL28" s="44">
        <v>134</v>
      </c>
      <c r="CM28" s="44">
        <v>125</v>
      </c>
      <c r="CN28" s="115">
        <v>121</v>
      </c>
      <c r="CO28" s="115">
        <v>125</v>
      </c>
      <c r="CP28" s="115">
        <v>117</v>
      </c>
      <c r="CQ28" s="115">
        <v>121</v>
      </c>
      <c r="CR28" s="115">
        <v>109</v>
      </c>
      <c r="CS28" s="115">
        <v>107</v>
      </c>
      <c r="CT28" s="115">
        <v>117</v>
      </c>
      <c r="CU28" s="115">
        <v>112</v>
      </c>
      <c r="CV28" s="115">
        <v>112</v>
      </c>
      <c r="CW28" s="115">
        <v>104</v>
      </c>
      <c r="CX28" s="115">
        <v>109</v>
      </c>
      <c r="CY28" s="115">
        <v>112</v>
      </c>
      <c r="CZ28" s="115">
        <v>113</v>
      </c>
      <c r="DA28" s="115">
        <v>99</v>
      </c>
      <c r="DB28" s="115">
        <v>101</v>
      </c>
      <c r="DC28" s="115">
        <v>109</v>
      </c>
      <c r="DD28" s="115">
        <v>106</v>
      </c>
      <c r="DE28" s="115">
        <v>107</v>
      </c>
      <c r="DF28" s="115">
        <v>103</v>
      </c>
      <c r="DG28" s="115">
        <v>103</v>
      </c>
      <c r="DH28" s="115">
        <v>103</v>
      </c>
      <c r="DI28" s="115"/>
      <c r="DJ28" s="115"/>
      <c r="DK28" s="115"/>
      <c r="DL28" s="115"/>
      <c r="DM28" s="115"/>
      <c r="DN28" s="115"/>
      <c r="DO28" s="115"/>
      <c r="DP28" s="44"/>
      <c r="DQ28" s="44"/>
      <c r="DU28" s="68"/>
      <c r="DV28" s="68" t="s">
        <v>605</v>
      </c>
      <c r="DW28" s="68" t="s">
        <v>605</v>
      </c>
      <c r="DX28" s="68" t="s">
        <v>605</v>
      </c>
      <c r="DY28" s="68" t="s">
        <v>605</v>
      </c>
      <c r="DZ28" s="68" t="s">
        <v>605</v>
      </c>
      <c r="EA28" s="68" t="s">
        <v>605</v>
      </c>
      <c r="EB28" s="68" t="s">
        <v>605</v>
      </c>
      <c r="EC28" s="68" t="s">
        <v>605</v>
      </c>
      <c r="ED28" s="68" t="s">
        <v>605</v>
      </c>
      <c r="EE28" s="68" t="s">
        <v>605</v>
      </c>
      <c r="EF28" s="68" t="s">
        <v>605</v>
      </c>
      <c r="EG28" s="68" t="s">
        <v>605</v>
      </c>
      <c r="EH28" s="73" t="s">
        <v>643</v>
      </c>
      <c r="EI28" s="73" t="s">
        <v>644</v>
      </c>
      <c r="EJ28" s="73" t="s">
        <v>645</v>
      </c>
      <c r="EK28" s="75">
        <f t="shared" ref="EK28" si="41">SUM(AY28:BB28)</f>
        <v>145</v>
      </c>
      <c r="EL28" s="44">
        <f>SUM(BC28:BF28)</f>
        <v>1047</v>
      </c>
      <c r="EM28" s="44">
        <f>SUM(BG28:BJ28)</f>
        <v>1199</v>
      </c>
      <c r="EN28" s="44">
        <f>SUM(BK28:BN28)</f>
        <v>1359</v>
      </c>
      <c r="EO28" s="44">
        <f>SUM(BO28:BR28)</f>
        <v>1434</v>
      </c>
      <c r="EP28" s="44">
        <f t="shared" ref="EP28:EP85" si="42">SUM(BS28:BV28)</f>
        <v>1487</v>
      </c>
      <c r="EQ28" s="44">
        <f t="shared" ref="EQ28:ET28" si="43">+EP28*0.9</f>
        <v>1338.3</v>
      </c>
      <c r="ER28" s="44">
        <f t="shared" si="43"/>
        <v>1204.47</v>
      </c>
      <c r="ES28" s="44">
        <f t="shared" si="43"/>
        <v>1084.0230000000001</v>
      </c>
      <c r="ET28" s="44">
        <f t="shared" si="43"/>
        <v>975.62070000000017</v>
      </c>
      <c r="EU28" s="44">
        <f t="shared" si="11"/>
        <v>488</v>
      </c>
      <c r="EV28" s="44">
        <f t="shared" si="3"/>
        <v>454</v>
      </c>
      <c r="EW28" s="44">
        <f t="shared" si="4"/>
        <v>437</v>
      </c>
      <c r="EX28" s="44">
        <f t="shared" si="5"/>
        <v>425</v>
      </c>
      <c r="EY28" s="44">
        <f t="shared" si="6"/>
        <v>425</v>
      </c>
      <c r="EZ28" s="44">
        <f t="shared" ref="EZ28:FK28" si="44">+EY28*0.9</f>
        <v>382.5</v>
      </c>
      <c r="FA28" s="44">
        <f t="shared" si="44"/>
        <v>344.25</v>
      </c>
      <c r="FB28" s="44">
        <f t="shared" si="44"/>
        <v>309.82499999999999</v>
      </c>
      <c r="FC28" s="44">
        <f t="shared" si="44"/>
        <v>278.84249999999997</v>
      </c>
      <c r="FD28" s="44">
        <f t="shared" si="44"/>
        <v>250.95824999999999</v>
      </c>
      <c r="FE28" s="44">
        <f t="shared" si="44"/>
        <v>225.862425</v>
      </c>
      <c r="FF28" s="44">
        <f t="shared" si="44"/>
        <v>203.2761825</v>
      </c>
      <c r="FG28" s="44">
        <f t="shared" si="44"/>
        <v>182.94856425</v>
      </c>
      <c r="FH28" s="44">
        <f t="shared" si="44"/>
        <v>164.653707825</v>
      </c>
      <c r="FI28" s="44">
        <f t="shared" si="44"/>
        <v>148.1883370425</v>
      </c>
      <c r="FJ28" s="44">
        <f t="shared" si="44"/>
        <v>133.36950333825001</v>
      </c>
      <c r="FK28" s="44">
        <f t="shared" si="44"/>
        <v>120.03255300442501</v>
      </c>
      <c r="FL28" s="44"/>
      <c r="FM28" s="44"/>
      <c r="FN28" s="44"/>
      <c r="FO28" s="44"/>
      <c r="FP28" s="44"/>
      <c r="FQ28" s="81">
        <f>EL28*0.7</f>
        <v>732.9</v>
      </c>
      <c r="FR28" s="44">
        <f>EQ28*0.7</f>
        <v>936.81</v>
      </c>
      <c r="FS28" s="82">
        <f>EV28*0.7</f>
        <v>317.79999999999995</v>
      </c>
      <c r="FT28" s="44"/>
      <c r="FU28" s="111"/>
    </row>
    <row r="29" spans="1:184" s="9" customFormat="1">
      <c r="A29" s="14"/>
      <c r="B29" s="14" t="s">
        <v>1361</v>
      </c>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8"/>
      <c r="AF29" s="68"/>
      <c r="AG29" s="68"/>
      <c r="AH29" s="68"/>
      <c r="AI29" s="68"/>
      <c r="AJ29" s="68"/>
      <c r="AK29" s="68"/>
      <c r="AL29" s="70"/>
      <c r="AM29" s="70"/>
      <c r="AN29" s="103"/>
      <c r="AO29" s="103"/>
      <c r="AP29" s="103"/>
      <c r="AQ29" s="70"/>
      <c r="AR29" s="70"/>
      <c r="AS29" s="70"/>
      <c r="AT29" s="70"/>
      <c r="AU29" s="68"/>
      <c r="AV29" s="70"/>
      <c r="AW29" s="68"/>
      <c r="AX29" s="70"/>
      <c r="AY29" s="70"/>
      <c r="AZ29" s="68"/>
      <c r="BA29" s="68"/>
      <c r="BB29" s="68"/>
      <c r="BC29" s="70"/>
      <c r="BD29" s="68"/>
      <c r="BE29" s="68"/>
      <c r="BF29" s="70"/>
      <c r="BG29" s="68"/>
      <c r="BH29" s="70"/>
      <c r="BI29" s="68"/>
      <c r="BJ29" s="70"/>
      <c r="BK29" s="70"/>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v>39</v>
      </c>
      <c r="CM29" s="68">
        <v>17</v>
      </c>
      <c r="CN29" s="122">
        <v>44</v>
      </c>
      <c r="CO29" s="122"/>
      <c r="CP29" s="122">
        <v>76</v>
      </c>
      <c r="CQ29" s="122">
        <v>74</v>
      </c>
      <c r="CR29" s="122">
        <v>63</v>
      </c>
      <c r="CS29" s="122">
        <v>88</v>
      </c>
      <c r="CT29" s="122">
        <v>105</v>
      </c>
      <c r="CU29" s="122">
        <v>105</v>
      </c>
      <c r="CV29" s="122">
        <v>107</v>
      </c>
      <c r="CW29" s="122">
        <v>99</v>
      </c>
      <c r="CX29" s="122">
        <v>119</v>
      </c>
      <c r="CY29" s="122">
        <v>107</v>
      </c>
      <c r="CZ29" s="122">
        <v>125</v>
      </c>
      <c r="DA29" s="122">
        <v>124</v>
      </c>
      <c r="DB29" s="122">
        <v>135</v>
      </c>
      <c r="DC29" s="122"/>
      <c r="DD29" s="115">
        <v>163</v>
      </c>
      <c r="DE29" s="115">
        <v>140</v>
      </c>
      <c r="DF29" s="115">
        <v>156</v>
      </c>
      <c r="DG29" s="115"/>
      <c r="DH29" s="115">
        <v>104</v>
      </c>
      <c r="DI29" s="122"/>
      <c r="DJ29" s="122"/>
      <c r="DK29" s="122"/>
      <c r="DL29" s="122"/>
      <c r="DM29" s="122"/>
      <c r="DN29" s="122"/>
      <c r="DO29" s="122"/>
      <c r="DP29" s="68"/>
      <c r="DQ29" s="68"/>
      <c r="DR29" s="14"/>
      <c r="DS29" s="14"/>
      <c r="DT29" s="14"/>
      <c r="DU29" s="68"/>
      <c r="DV29" s="68"/>
      <c r="DW29" s="68"/>
      <c r="DX29" s="68"/>
      <c r="DY29" s="68"/>
      <c r="DZ29" s="68"/>
      <c r="EA29" s="68"/>
      <c r="EB29" s="68"/>
      <c r="EC29" s="68"/>
      <c r="ED29" s="68"/>
      <c r="EE29" s="68"/>
      <c r="EF29" s="68"/>
      <c r="EG29" s="68"/>
      <c r="EH29" s="68"/>
      <c r="EI29" s="68"/>
      <c r="EJ29" s="44"/>
      <c r="EK29" s="65"/>
      <c r="EL29" s="68"/>
      <c r="EM29" s="44"/>
      <c r="EN29" s="44"/>
      <c r="EO29" s="44"/>
      <c r="EP29" s="44"/>
      <c r="EQ29" s="68"/>
      <c r="ER29" s="68"/>
      <c r="ES29" s="68"/>
      <c r="ET29" s="68"/>
      <c r="EU29" s="44">
        <f t="shared" si="11"/>
        <v>137</v>
      </c>
      <c r="EV29" s="44">
        <f t="shared" si="3"/>
        <v>330</v>
      </c>
      <c r="EW29" s="44">
        <f t="shared" si="4"/>
        <v>430</v>
      </c>
      <c r="EX29" s="44">
        <f t="shared" si="5"/>
        <v>491</v>
      </c>
      <c r="EY29" s="44">
        <f t="shared" si="6"/>
        <v>459</v>
      </c>
      <c r="EZ29" s="44">
        <f t="shared" ref="EZ29:FK29" si="45">+EY29*0.9</f>
        <v>413.1</v>
      </c>
      <c r="FA29" s="44">
        <f t="shared" si="45"/>
        <v>371.79</v>
      </c>
      <c r="FB29" s="44">
        <f t="shared" si="45"/>
        <v>334.61100000000005</v>
      </c>
      <c r="FC29" s="44">
        <f t="shared" si="45"/>
        <v>301.14990000000006</v>
      </c>
      <c r="FD29" s="44">
        <f t="shared" si="45"/>
        <v>271.03491000000008</v>
      </c>
      <c r="FE29" s="44">
        <f t="shared" si="45"/>
        <v>243.93141900000009</v>
      </c>
      <c r="FF29" s="44">
        <f t="shared" si="45"/>
        <v>219.53827710000007</v>
      </c>
      <c r="FG29" s="44">
        <f t="shared" si="45"/>
        <v>197.58444939000006</v>
      </c>
      <c r="FH29" s="44">
        <f t="shared" si="45"/>
        <v>177.82600445100005</v>
      </c>
      <c r="FI29" s="44">
        <f t="shared" si="45"/>
        <v>160.04340400590004</v>
      </c>
      <c r="FJ29" s="44">
        <f t="shared" si="45"/>
        <v>144.03906360531005</v>
      </c>
      <c r="FK29" s="44">
        <f t="shared" si="45"/>
        <v>129.63515724477904</v>
      </c>
      <c r="FL29" s="68"/>
      <c r="FM29" s="68"/>
      <c r="FN29" s="68"/>
      <c r="FO29" s="68"/>
      <c r="FP29" s="68"/>
      <c r="FQ29" s="83"/>
      <c r="FR29" s="68"/>
      <c r="FS29" s="84"/>
      <c r="FT29" s="68"/>
      <c r="FU29" s="14"/>
      <c r="FV29" s="14"/>
      <c r="FW29" s="14"/>
      <c r="FX29" s="14"/>
      <c r="FY29" s="14"/>
      <c r="FZ29" s="14"/>
      <c r="GA29" s="14"/>
      <c r="GB29" s="14"/>
    </row>
    <row r="30" spans="1:184" s="9" customFormat="1">
      <c r="A30" s="14"/>
      <c r="B30" s="14" t="s">
        <v>1362</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8"/>
      <c r="AF30" s="68"/>
      <c r="AG30" s="68"/>
      <c r="AH30" s="68"/>
      <c r="AI30" s="68"/>
      <c r="AJ30" s="68"/>
      <c r="AK30" s="68"/>
      <c r="AL30" s="70"/>
      <c r="AM30" s="70"/>
      <c r="AN30" s="103"/>
      <c r="AO30" s="103"/>
      <c r="AP30" s="103"/>
      <c r="AQ30" s="70"/>
      <c r="AR30" s="70"/>
      <c r="AS30" s="70"/>
      <c r="AT30" s="70"/>
      <c r="AU30" s="68"/>
      <c r="AV30" s="70"/>
      <c r="AW30" s="68"/>
      <c r="AX30" s="70"/>
      <c r="AY30" s="70"/>
      <c r="AZ30" s="68"/>
      <c r="BA30" s="68"/>
      <c r="BB30" s="68"/>
      <c r="BC30" s="70"/>
      <c r="BD30" s="68"/>
      <c r="BE30" s="68"/>
      <c r="BF30" s="70"/>
      <c r="BG30" s="68"/>
      <c r="BH30" s="70"/>
      <c r="BI30" s="68"/>
      <c r="BJ30" s="70"/>
      <c r="BK30" s="70"/>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v>0</v>
      </c>
      <c r="CL30" s="68">
        <v>0</v>
      </c>
      <c r="CM30" s="68">
        <v>0</v>
      </c>
      <c r="CN30" s="122">
        <v>0</v>
      </c>
      <c r="CO30" s="122">
        <v>0</v>
      </c>
      <c r="CP30" s="122">
        <v>0</v>
      </c>
      <c r="CQ30" s="122">
        <v>0</v>
      </c>
      <c r="CR30" s="122">
        <v>0</v>
      </c>
      <c r="CS30" s="122">
        <v>49</v>
      </c>
      <c r="CT30" s="122">
        <v>68</v>
      </c>
      <c r="CU30" s="122">
        <v>94</v>
      </c>
      <c r="CV30" s="122">
        <v>104</v>
      </c>
      <c r="CW30" s="122">
        <v>107</v>
      </c>
      <c r="CX30" s="122">
        <v>107</v>
      </c>
      <c r="CY30" s="122">
        <v>104</v>
      </c>
      <c r="CZ30" s="122">
        <v>100</v>
      </c>
      <c r="DA30" s="122">
        <v>98</v>
      </c>
      <c r="DB30" s="122">
        <v>109</v>
      </c>
      <c r="DC30" s="122">
        <v>116</v>
      </c>
      <c r="DD30" s="122">
        <v>132</v>
      </c>
      <c r="DE30" s="122">
        <v>130</v>
      </c>
      <c r="DF30" s="122">
        <v>133</v>
      </c>
      <c r="DG30" s="122">
        <v>125</v>
      </c>
      <c r="DH30" s="122">
        <v>150</v>
      </c>
      <c r="DI30" s="122"/>
      <c r="DJ30" s="122"/>
      <c r="DK30" s="122"/>
      <c r="DL30" s="122"/>
      <c r="DM30" s="122"/>
      <c r="DN30" s="122"/>
      <c r="DO30" s="122"/>
      <c r="DP30" s="68"/>
      <c r="DQ30" s="68"/>
      <c r="DR30" s="14"/>
      <c r="DS30" s="14"/>
      <c r="DT30" s="14"/>
      <c r="DU30" s="68"/>
      <c r="DV30" s="68"/>
      <c r="DW30" s="68"/>
      <c r="DX30" s="68"/>
      <c r="DY30" s="68"/>
      <c r="DZ30" s="68"/>
      <c r="EA30" s="68"/>
      <c r="EB30" s="68"/>
      <c r="EC30" s="68"/>
      <c r="ED30" s="68"/>
      <c r="EE30" s="68"/>
      <c r="EF30" s="68"/>
      <c r="EG30" s="68"/>
      <c r="EH30" s="68"/>
      <c r="EI30" s="68"/>
      <c r="EJ30" s="44"/>
      <c r="EK30" s="65"/>
      <c r="EL30" s="68"/>
      <c r="EM30" s="44"/>
      <c r="EN30" s="44"/>
      <c r="EO30" s="44"/>
      <c r="EP30" s="44"/>
      <c r="EQ30" s="68"/>
      <c r="ER30" s="68"/>
      <c r="ES30" s="68"/>
      <c r="ET30" s="68"/>
      <c r="EU30" s="44">
        <f t="shared" si="11"/>
        <v>0</v>
      </c>
      <c r="EV30" s="44">
        <f t="shared" si="3"/>
        <v>117</v>
      </c>
      <c r="EW30" s="44">
        <f t="shared" si="4"/>
        <v>412</v>
      </c>
      <c r="EX30" s="44">
        <f t="shared" si="5"/>
        <v>411</v>
      </c>
      <c r="EY30" s="44">
        <f t="shared" si="6"/>
        <v>511</v>
      </c>
      <c r="EZ30" s="44">
        <f t="shared" ref="EZ30:FK30" si="46">+EY30*0.9</f>
        <v>459.90000000000003</v>
      </c>
      <c r="FA30" s="44">
        <f t="shared" si="46"/>
        <v>413.91</v>
      </c>
      <c r="FB30" s="44">
        <f t="shared" si="46"/>
        <v>372.51900000000001</v>
      </c>
      <c r="FC30" s="44">
        <f t="shared" si="46"/>
        <v>335.26710000000003</v>
      </c>
      <c r="FD30" s="44">
        <f t="shared" si="46"/>
        <v>301.74039000000005</v>
      </c>
      <c r="FE30" s="44">
        <f t="shared" si="46"/>
        <v>271.56635100000005</v>
      </c>
      <c r="FF30" s="44">
        <f t="shared" si="46"/>
        <v>244.40971590000007</v>
      </c>
      <c r="FG30" s="44">
        <f t="shared" si="46"/>
        <v>219.96874431000006</v>
      </c>
      <c r="FH30" s="44">
        <f t="shared" si="46"/>
        <v>197.97186987900005</v>
      </c>
      <c r="FI30" s="44">
        <f t="shared" si="46"/>
        <v>178.17468289110005</v>
      </c>
      <c r="FJ30" s="44">
        <f t="shared" si="46"/>
        <v>160.35721460199005</v>
      </c>
      <c r="FK30" s="44">
        <f t="shared" si="46"/>
        <v>144.32149314179105</v>
      </c>
      <c r="FL30" s="68"/>
      <c r="FM30" s="68"/>
      <c r="FN30" s="68"/>
      <c r="FO30" s="68"/>
      <c r="FP30" s="68"/>
      <c r="FQ30" s="83"/>
      <c r="FR30" s="68"/>
      <c r="FS30" s="84"/>
      <c r="FT30" s="68"/>
      <c r="FU30" s="14"/>
      <c r="FV30" s="14"/>
      <c r="FW30" s="14"/>
      <c r="FX30" s="14"/>
      <c r="FY30" s="14"/>
      <c r="FZ30" s="14"/>
      <c r="GA30" s="14"/>
      <c r="GB30" s="14"/>
    </row>
    <row r="31" spans="1:184">
      <c r="B31" s="14" t="s">
        <v>389</v>
      </c>
      <c r="C31" s="68"/>
      <c r="D31" s="68"/>
      <c r="E31" s="68"/>
      <c r="F31" s="68"/>
      <c r="G31" s="68" t="s">
        <v>605</v>
      </c>
      <c r="H31" s="68" t="s">
        <v>605</v>
      </c>
      <c r="I31" s="68" t="s">
        <v>605</v>
      </c>
      <c r="J31" s="68" t="s">
        <v>605</v>
      </c>
      <c r="K31" s="68" t="s">
        <v>605</v>
      </c>
      <c r="L31" s="68" t="s">
        <v>605</v>
      </c>
      <c r="M31" s="68" t="s">
        <v>605</v>
      </c>
      <c r="N31" s="68" t="s">
        <v>605</v>
      </c>
      <c r="O31" s="68" t="s">
        <v>605</v>
      </c>
      <c r="P31" s="68" t="s">
        <v>605</v>
      </c>
      <c r="Q31" s="68" t="s">
        <v>605</v>
      </c>
      <c r="R31" s="68" t="s">
        <v>605</v>
      </c>
      <c r="S31" s="68" t="s">
        <v>605</v>
      </c>
      <c r="T31" s="68" t="s">
        <v>605</v>
      </c>
      <c r="U31" s="68" t="s">
        <v>605</v>
      </c>
      <c r="V31" s="68" t="s">
        <v>605</v>
      </c>
      <c r="W31" s="68" t="s">
        <v>605</v>
      </c>
      <c r="X31" s="68" t="s">
        <v>605</v>
      </c>
      <c r="Y31" s="68" t="s">
        <v>605</v>
      </c>
      <c r="Z31" s="68" t="s">
        <v>605</v>
      </c>
      <c r="AA31" s="68" t="s">
        <v>605</v>
      </c>
      <c r="AB31" s="68" t="s">
        <v>605</v>
      </c>
      <c r="AC31" s="68" t="s">
        <v>605</v>
      </c>
      <c r="AD31" s="68" t="s">
        <v>605</v>
      </c>
      <c r="AE31" s="68" t="s">
        <v>605</v>
      </c>
      <c r="AF31" s="68" t="s">
        <v>605</v>
      </c>
      <c r="AG31" s="68" t="s">
        <v>605</v>
      </c>
      <c r="AH31" s="68" t="s">
        <v>605</v>
      </c>
      <c r="AI31" s="68" t="s">
        <v>605</v>
      </c>
      <c r="AJ31" s="68" t="s">
        <v>605</v>
      </c>
      <c r="AK31" s="68" t="s">
        <v>605</v>
      </c>
      <c r="AL31" s="70" t="s">
        <v>605</v>
      </c>
      <c r="AM31" s="70" t="s">
        <v>605</v>
      </c>
      <c r="AN31" s="65" t="s">
        <v>605</v>
      </c>
      <c r="AO31" s="70" t="s">
        <v>605</v>
      </c>
      <c r="AP31" s="70" t="s">
        <v>605</v>
      </c>
      <c r="AQ31" s="75" t="s">
        <v>663</v>
      </c>
      <c r="AR31" s="75" t="s">
        <v>664</v>
      </c>
      <c r="AS31" s="75" t="s">
        <v>665</v>
      </c>
      <c r="AT31" s="75" t="s">
        <v>666</v>
      </c>
      <c r="AU31" s="73" t="s">
        <v>667</v>
      </c>
      <c r="AV31" s="75" t="s">
        <v>668</v>
      </c>
      <c r="AW31" s="73" t="s">
        <v>669</v>
      </c>
      <c r="AX31" s="75" t="s">
        <v>670</v>
      </c>
      <c r="AY31" s="75" t="s">
        <v>671</v>
      </c>
      <c r="AZ31" s="73" t="s">
        <v>672</v>
      </c>
      <c r="BA31" s="73" t="s">
        <v>672</v>
      </c>
      <c r="BB31" s="73">
        <v>213</v>
      </c>
      <c r="BC31" s="65">
        <f>234+22</f>
        <v>256</v>
      </c>
      <c r="BD31" s="44">
        <v>260</v>
      </c>
      <c r="BE31" s="44">
        <v>263</v>
      </c>
      <c r="BF31" s="65">
        <v>261</v>
      </c>
      <c r="BG31" s="44">
        <v>235</v>
      </c>
      <c r="BH31" s="65">
        <v>255</v>
      </c>
      <c r="BI31" s="44">
        <v>267</v>
      </c>
      <c r="BJ31" s="65">
        <v>256</v>
      </c>
      <c r="BK31" s="65">
        <v>261</v>
      </c>
      <c r="BL31" s="44">
        <v>274</v>
      </c>
      <c r="BM31" s="44">
        <v>262</v>
      </c>
      <c r="BN31" s="44">
        <v>276</v>
      </c>
      <c r="BO31" s="44">
        <v>244</v>
      </c>
      <c r="BP31" s="44">
        <v>273</v>
      </c>
      <c r="BQ31" s="44">
        <v>276</v>
      </c>
      <c r="BR31" s="44">
        <v>299</v>
      </c>
      <c r="BS31" s="44">
        <v>248</v>
      </c>
      <c r="BT31" s="44">
        <v>274</v>
      </c>
      <c r="BU31" s="44">
        <f>+BQ31</f>
        <v>276</v>
      </c>
      <c r="BV31" s="44">
        <f>+BR31</f>
        <v>299</v>
      </c>
      <c r="BW31" s="44"/>
      <c r="BX31" s="44"/>
      <c r="BY31" s="44"/>
      <c r="BZ31" s="44"/>
      <c r="CA31" s="44"/>
      <c r="CB31" s="44"/>
      <c r="CC31" s="44"/>
      <c r="CD31" s="44"/>
      <c r="CE31" s="44"/>
      <c r="CF31" s="44"/>
      <c r="CG31" s="44"/>
      <c r="CH31" s="44"/>
      <c r="CI31" s="44"/>
      <c r="CJ31" s="44"/>
      <c r="CK31" s="44">
        <v>204</v>
      </c>
      <c r="CL31" s="44">
        <v>227</v>
      </c>
      <c r="CM31" s="44">
        <v>168</v>
      </c>
      <c r="CN31" s="115">
        <v>193</v>
      </c>
      <c r="CO31" s="115">
        <v>182</v>
      </c>
      <c r="CP31" s="115">
        <v>192</v>
      </c>
      <c r="CQ31" s="115">
        <v>152</v>
      </c>
      <c r="CR31" s="115">
        <v>152</v>
      </c>
      <c r="CS31" s="115">
        <v>168</v>
      </c>
      <c r="CT31" s="115">
        <v>208</v>
      </c>
      <c r="CU31" s="115">
        <v>143</v>
      </c>
      <c r="CV31" s="115">
        <v>128</v>
      </c>
      <c r="CW31" s="115">
        <v>148</v>
      </c>
      <c r="CX31" s="115">
        <v>143</v>
      </c>
      <c r="CY31" s="115">
        <v>102</v>
      </c>
      <c r="CZ31" s="115">
        <v>115</v>
      </c>
      <c r="DA31" s="115">
        <v>110</v>
      </c>
      <c r="DB31" s="115">
        <v>128</v>
      </c>
      <c r="DC31" s="115"/>
      <c r="DD31" s="115">
        <v>95</v>
      </c>
      <c r="DE31" s="115">
        <v>92</v>
      </c>
      <c r="DF31" s="115">
        <v>98</v>
      </c>
      <c r="DG31" s="115"/>
      <c r="DH31" s="115">
        <v>108</v>
      </c>
      <c r="DI31" s="115"/>
      <c r="DJ31" s="115"/>
      <c r="DK31" s="115"/>
      <c r="DL31" s="115"/>
      <c r="DM31" s="115"/>
      <c r="DN31" s="115"/>
      <c r="DO31" s="115"/>
      <c r="DP31" s="44"/>
      <c r="DQ31" s="44"/>
      <c r="DU31" s="68"/>
      <c r="DV31" s="68" t="s">
        <v>605</v>
      </c>
      <c r="DW31" s="68" t="s">
        <v>605</v>
      </c>
      <c r="DX31" s="68" t="s">
        <v>605</v>
      </c>
      <c r="DY31" s="68" t="s">
        <v>605</v>
      </c>
      <c r="DZ31" s="68" t="s">
        <v>605</v>
      </c>
      <c r="EA31" s="68" t="s">
        <v>605</v>
      </c>
      <c r="EB31" s="68" t="s">
        <v>605</v>
      </c>
      <c r="EC31" s="68" t="s">
        <v>605</v>
      </c>
      <c r="ED31" s="68" t="s">
        <v>605</v>
      </c>
      <c r="EE31" s="68" t="s">
        <v>605</v>
      </c>
      <c r="EF31" s="68" t="s">
        <v>605</v>
      </c>
      <c r="EG31" s="68" t="s">
        <v>605</v>
      </c>
      <c r="EH31" s="73" t="s">
        <v>673</v>
      </c>
      <c r="EI31" s="73" t="s">
        <v>674</v>
      </c>
      <c r="EJ31" s="73" t="s">
        <v>675</v>
      </c>
      <c r="EK31" s="65">
        <f>SUM(AY31:BB31)</f>
        <v>213</v>
      </c>
      <c r="EL31" s="68">
        <f>SUM(BC31:BF31)</f>
        <v>1040</v>
      </c>
      <c r="EM31" s="44">
        <f>SUM(BG31:BJ31)</f>
        <v>1013</v>
      </c>
      <c r="EN31" s="44">
        <f>SUM(BK31:BN31)</f>
        <v>1073</v>
      </c>
      <c r="EO31" s="44">
        <f>SUM(BO31:BR31)</f>
        <v>1092</v>
      </c>
      <c r="EP31" s="44">
        <f>SUM(BS31:BV31)</f>
        <v>1097</v>
      </c>
      <c r="EQ31" s="44">
        <f t="shared" ref="EQ31:ET31" si="47">EP31*0.99</f>
        <v>1086.03</v>
      </c>
      <c r="ER31" s="44">
        <f t="shared" si="47"/>
        <v>1075.1696999999999</v>
      </c>
      <c r="ES31" s="44">
        <f t="shared" si="47"/>
        <v>1064.418003</v>
      </c>
      <c r="ET31" s="44">
        <f t="shared" si="47"/>
        <v>1053.7738229700001</v>
      </c>
      <c r="EU31" s="44">
        <f t="shared" si="11"/>
        <v>735</v>
      </c>
      <c r="EV31" s="44">
        <f t="shared" si="3"/>
        <v>680</v>
      </c>
      <c r="EW31" s="44">
        <f t="shared" si="4"/>
        <v>562</v>
      </c>
      <c r="EX31" s="44">
        <f t="shared" si="5"/>
        <v>455</v>
      </c>
      <c r="EY31" s="44">
        <f t="shared" si="6"/>
        <v>285</v>
      </c>
      <c r="EZ31" s="44">
        <f t="shared" ref="EZ31:FK31" si="48">+EY31*0.9</f>
        <v>256.5</v>
      </c>
      <c r="FA31" s="44">
        <f t="shared" si="48"/>
        <v>230.85</v>
      </c>
      <c r="FB31" s="44">
        <f t="shared" si="48"/>
        <v>207.76499999999999</v>
      </c>
      <c r="FC31" s="44">
        <f t="shared" si="48"/>
        <v>186.98849999999999</v>
      </c>
      <c r="FD31" s="44">
        <f t="shared" si="48"/>
        <v>168.28964999999999</v>
      </c>
      <c r="FE31" s="44">
        <f t="shared" si="48"/>
        <v>151.46068500000001</v>
      </c>
      <c r="FF31" s="44">
        <f t="shared" si="48"/>
        <v>136.31461650000003</v>
      </c>
      <c r="FG31" s="44">
        <f t="shared" si="48"/>
        <v>122.68315485000002</v>
      </c>
      <c r="FH31" s="44">
        <f t="shared" si="48"/>
        <v>110.41483936500002</v>
      </c>
      <c r="FI31" s="44">
        <f t="shared" si="48"/>
        <v>99.37335542850002</v>
      </c>
      <c r="FJ31" s="44">
        <f t="shared" si="48"/>
        <v>89.436019885650026</v>
      </c>
      <c r="FK31" s="44">
        <f t="shared" si="48"/>
        <v>80.492417897085019</v>
      </c>
      <c r="FQ31" s="81">
        <f>EL31*0.5</f>
        <v>520</v>
      </c>
      <c r="FR31" s="44">
        <f>EQ31*0.5</f>
        <v>543.01499999999999</v>
      </c>
      <c r="FS31" s="82">
        <f>EV31*0.5</f>
        <v>340</v>
      </c>
    </row>
    <row r="32" spans="1:184">
      <c r="B32" s="14" t="s">
        <v>1379</v>
      </c>
      <c r="C32" s="62"/>
      <c r="D32" s="62"/>
      <c r="E32" s="62"/>
      <c r="F32" s="62"/>
      <c r="G32" s="62" t="s">
        <v>605</v>
      </c>
      <c r="H32" s="62" t="s">
        <v>605</v>
      </c>
      <c r="I32" s="62" t="s">
        <v>605</v>
      </c>
      <c r="J32" s="62" t="s">
        <v>605</v>
      </c>
      <c r="K32" s="62" t="s">
        <v>605</v>
      </c>
      <c r="L32" s="62" t="s">
        <v>605</v>
      </c>
      <c r="M32" s="62" t="s">
        <v>605</v>
      </c>
      <c r="N32" s="62" t="s">
        <v>605</v>
      </c>
      <c r="O32" s="62" t="s">
        <v>605</v>
      </c>
      <c r="P32" s="62" t="s">
        <v>605</v>
      </c>
      <c r="Q32" s="62" t="s">
        <v>605</v>
      </c>
      <c r="R32" s="62" t="s">
        <v>605</v>
      </c>
      <c r="S32" s="62" t="s">
        <v>605</v>
      </c>
      <c r="T32" s="62" t="s">
        <v>605</v>
      </c>
      <c r="U32" s="62" t="s">
        <v>605</v>
      </c>
      <c r="V32" s="62" t="s">
        <v>605</v>
      </c>
      <c r="W32" s="44">
        <v>117</v>
      </c>
      <c r="X32" s="44">
        <v>133</v>
      </c>
      <c r="Y32" s="44">
        <v>136</v>
      </c>
      <c r="Z32" s="44">
        <v>165</v>
      </c>
      <c r="AA32" s="44">
        <v>140</v>
      </c>
      <c r="AB32" s="44">
        <f>39+50</f>
        <v>89</v>
      </c>
      <c r="AC32" s="44">
        <f>56+131</f>
        <v>187</v>
      </c>
      <c r="AD32" s="44">
        <f>67+138</f>
        <v>205</v>
      </c>
      <c r="AE32" s="44">
        <f>58+121</f>
        <v>179</v>
      </c>
      <c r="AF32" s="44">
        <f>47+133</f>
        <v>180</v>
      </c>
      <c r="AG32" s="44">
        <f>46+130</f>
        <v>176</v>
      </c>
      <c r="AH32" s="44">
        <f>57+143</f>
        <v>200</v>
      </c>
      <c r="AI32" s="68">
        <f>63+140</f>
        <v>203</v>
      </c>
      <c r="AJ32" s="37">
        <f>56+145</f>
        <v>201</v>
      </c>
      <c r="AK32" s="44">
        <f>59+141</f>
        <v>200</v>
      </c>
      <c r="AL32" s="65">
        <v>204</v>
      </c>
      <c r="AM32" s="65">
        <v>197</v>
      </c>
      <c r="AN32" s="69">
        <v>191</v>
      </c>
      <c r="AO32" s="70">
        <v>198</v>
      </c>
      <c r="AP32" s="70">
        <v>209</v>
      </c>
      <c r="AQ32" s="65">
        <v>201</v>
      </c>
      <c r="AR32" s="65">
        <v>202</v>
      </c>
      <c r="AS32" s="65">
        <v>216</v>
      </c>
      <c r="AT32" s="65">
        <v>224</v>
      </c>
      <c r="AU32" s="44">
        <f>55+151</f>
        <v>206</v>
      </c>
      <c r="AV32" s="65">
        <f>61+177</f>
        <v>238</v>
      </c>
      <c r="AW32" s="44">
        <v>225</v>
      </c>
      <c r="AX32" s="65">
        <v>229</v>
      </c>
      <c r="AY32" s="65">
        <v>197</v>
      </c>
      <c r="AZ32" s="44">
        <v>207</v>
      </c>
      <c r="BA32" s="44">
        <v>232</v>
      </c>
      <c r="BB32" s="44">
        <v>251</v>
      </c>
      <c r="BC32" s="65">
        <f>45+161</f>
        <v>206</v>
      </c>
      <c r="BD32" s="44">
        <v>233</v>
      </c>
      <c r="BE32" s="44">
        <v>211</v>
      </c>
      <c r="BF32" s="65">
        <v>235</v>
      </c>
      <c r="BG32" s="44">
        <v>209</v>
      </c>
      <c r="BH32" s="65">
        <v>230</v>
      </c>
      <c r="BI32" s="44">
        <v>215</v>
      </c>
      <c r="BJ32" s="65">
        <v>235</v>
      </c>
      <c r="BK32" s="65">
        <v>195</v>
      </c>
      <c r="BL32" s="44">
        <v>212</v>
      </c>
      <c r="BM32" s="44">
        <v>212</v>
      </c>
      <c r="BN32" s="44">
        <v>213</v>
      </c>
      <c r="BO32" s="44">
        <v>189</v>
      </c>
      <c r="BP32" s="44">
        <v>198</v>
      </c>
      <c r="BQ32" s="44">
        <v>183</v>
      </c>
      <c r="BR32" s="44">
        <v>202</v>
      </c>
      <c r="BS32" s="44">
        <v>166</v>
      </c>
      <c r="BT32" s="44">
        <v>194</v>
      </c>
      <c r="BU32" s="44">
        <f t="shared" ref="BU32:BU33" si="49">+BQ32</f>
        <v>183</v>
      </c>
      <c r="BV32" s="44">
        <f t="shared" ref="BV32:BV33" si="50">+BR32</f>
        <v>202</v>
      </c>
      <c r="BW32" s="44"/>
      <c r="BX32" s="44"/>
      <c r="BY32" s="44"/>
      <c r="BZ32" s="44"/>
      <c r="CA32" s="44"/>
      <c r="CB32" s="44"/>
      <c r="CC32" s="44"/>
      <c r="CD32" s="44"/>
      <c r="CE32" s="44"/>
      <c r="CF32" s="44"/>
      <c r="CG32" s="44"/>
      <c r="CH32" s="44"/>
      <c r="CI32" s="44"/>
      <c r="CJ32" s="44"/>
      <c r="CK32" s="44">
        <v>143</v>
      </c>
      <c r="CL32" s="44">
        <v>142</v>
      </c>
      <c r="CM32" s="44">
        <v>107</v>
      </c>
      <c r="CN32" s="115">
        <v>125</v>
      </c>
      <c r="CO32" s="115">
        <v>124</v>
      </c>
      <c r="CP32" s="115">
        <v>142</v>
      </c>
      <c r="CQ32" s="115">
        <v>103</v>
      </c>
      <c r="CR32" s="115">
        <v>106</v>
      </c>
      <c r="CS32" s="115">
        <v>107</v>
      </c>
      <c r="CT32" s="115">
        <v>112</v>
      </c>
      <c r="CU32" s="115">
        <v>80</v>
      </c>
      <c r="CV32" s="115">
        <v>109</v>
      </c>
      <c r="CW32" s="115">
        <v>95</v>
      </c>
      <c r="CX32" s="115">
        <v>106</v>
      </c>
      <c r="CY32" s="115">
        <v>80</v>
      </c>
      <c r="CZ32" s="115">
        <v>91</v>
      </c>
      <c r="DA32" s="115">
        <v>90</v>
      </c>
      <c r="DB32" s="115">
        <v>99</v>
      </c>
      <c r="DC32" s="115">
        <v>147</v>
      </c>
      <c r="DD32" s="115">
        <v>74</v>
      </c>
      <c r="DE32" s="115">
        <v>158</v>
      </c>
      <c r="DF32" s="115">
        <v>160</v>
      </c>
      <c r="DG32" s="115">
        <v>120</v>
      </c>
      <c r="DH32" s="115">
        <v>119</v>
      </c>
      <c r="DI32" s="115"/>
      <c r="DJ32" s="115"/>
      <c r="DK32" s="115"/>
      <c r="DL32" s="115"/>
      <c r="DM32" s="115"/>
      <c r="DN32" s="115"/>
      <c r="DO32" s="115"/>
      <c r="DP32" s="115"/>
      <c r="DQ32" s="44"/>
      <c r="DU32" s="68"/>
      <c r="DV32" s="68" t="s">
        <v>605</v>
      </c>
      <c r="DW32" s="68" t="s">
        <v>605</v>
      </c>
      <c r="DX32" s="68" t="s">
        <v>605</v>
      </c>
      <c r="DY32" s="68" t="s">
        <v>605</v>
      </c>
      <c r="DZ32" s="68" t="s">
        <v>605</v>
      </c>
      <c r="EA32" s="68" t="s">
        <v>605</v>
      </c>
      <c r="EB32" s="68" t="s">
        <v>605</v>
      </c>
      <c r="EC32" s="68" t="s">
        <v>605</v>
      </c>
      <c r="ED32" s="44">
        <v>551</v>
      </c>
      <c r="EE32" s="44">
        <v>481</v>
      </c>
      <c r="EF32" s="44">
        <v>736</v>
      </c>
      <c r="EG32" s="44">
        <v>808</v>
      </c>
      <c r="EH32" s="44">
        <v>795</v>
      </c>
      <c r="EI32" s="44">
        <f>SUM(AQ32:AT32)</f>
        <v>843</v>
      </c>
      <c r="EJ32" s="44">
        <f>SUM(AU32:AX32)</f>
        <v>898</v>
      </c>
      <c r="EK32" s="65">
        <f>SUM(AY32:BB32)</f>
        <v>887</v>
      </c>
      <c r="EL32" s="68">
        <f>SUM(BC32:BF32)</f>
        <v>885</v>
      </c>
      <c r="EM32" s="44">
        <f>SUM(BG32:BJ32)</f>
        <v>889</v>
      </c>
      <c r="EN32" s="44">
        <f>SUM(BK32:BN32)</f>
        <v>832</v>
      </c>
      <c r="EO32" s="44">
        <f>SUM(BO32:BR32)</f>
        <v>772</v>
      </c>
      <c r="EP32" s="44">
        <f t="shared" si="42"/>
        <v>745</v>
      </c>
      <c r="EQ32" s="44">
        <f t="shared" ref="EQ32:ET32" si="51">EP32*1.01</f>
        <v>752.45</v>
      </c>
      <c r="ER32" s="44">
        <f t="shared" si="51"/>
        <v>759.97450000000003</v>
      </c>
      <c r="ES32" s="44">
        <f t="shared" si="51"/>
        <v>767.57424500000002</v>
      </c>
      <c r="ET32" s="44">
        <f t="shared" si="51"/>
        <v>775.24998745000005</v>
      </c>
      <c r="EU32" s="44">
        <f t="shared" si="11"/>
        <v>498</v>
      </c>
      <c r="EV32" s="44">
        <f t="shared" si="3"/>
        <v>428</v>
      </c>
      <c r="EW32" s="44">
        <f t="shared" si="4"/>
        <v>390</v>
      </c>
      <c r="EX32" s="44">
        <f t="shared" si="5"/>
        <v>360</v>
      </c>
      <c r="EY32" s="44">
        <f t="shared" si="6"/>
        <v>539</v>
      </c>
      <c r="EZ32" s="44">
        <f t="shared" ref="EZ32:FK32" si="52">+EY32*0.9</f>
        <v>485.1</v>
      </c>
      <c r="FA32" s="44">
        <f t="shared" si="52"/>
        <v>436.59000000000003</v>
      </c>
      <c r="FB32" s="44">
        <f t="shared" si="52"/>
        <v>392.93100000000004</v>
      </c>
      <c r="FC32" s="44">
        <f t="shared" si="52"/>
        <v>353.63790000000006</v>
      </c>
      <c r="FD32" s="44">
        <f t="shared" si="52"/>
        <v>318.27411000000006</v>
      </c>
      <c r="FE32" s="44">
        <f t="shared" si="52"/>
        <v>286.44669900000008</v>
      </c>
      <c r="FF32" s="44">
        <f t="shared" si="52"/>
        <v>257.80202910000008</v>
      </c>
      <c r="FG32" s="44">
        <f t="shared" si="52"/>
        <v>232.02182619000007</v>
      </c>
      <c r="FH32" s="44">
        <f t="shared" si="52"/>
        <v>208.81964357100006</v>
      </c>
      <c r="FI32" s="44">
        <f t="shared" si="52"/>
        <v>187.93767921390005</v>
      </c>
      <c r="FJ32" s="44">
        <f t="shared" si="52"/>
        <v>169.14391129251004</v>
      </c>
      <c r="FK32" s="44">
        <f t="shared" si="52"/>
        <v>152.22952016325905</v>
      </c>
      <c r="FQ32" s="81">
        <f>EL32*0.7</f>
        <v>619.5</v>
      </c>
      <c r="FR32" s="44">
        <f>EQ32*0.7</f>
        <v>526.71500000000003</v>
      </c>
      <c r="FS32" s="82">
        <f>EV32*0.7</f>
        <v>299.59999999999997</v>
      </c>
      <c r="FU32" s="14"/>
    </row>
    <row r="33" spans="2:177">
      <c r="B33" s="14" t="s">
        <v>683</v>
      </c>
      <c r="C33" s="62"/>
      <c r="D33" s="62"/>
      <c r="E33" s="62"/>
      <c r="F33" s="62"/>
      <c r="G33" s="62"/>
      <c r="H33" s="62"/>
      <c r="I33" s="62"/>
      <c r="J33" s="62"/>
      <c r="K33" s="62"/>
      <c r="L33" s="62"/>
      <c r="M33" s="62"/>
      <c r="N33" s="62"/>
      <c r="O33" s="62"/>
      <c r="P33" s="62"/>
      <c r="Q33" s="62"/>
      <c r="R33" s="62"/>
      <c r="S33" s="62"/>
      <c r="T33" s="62"/>
      <c r="U33" s="62"/>
      <c r="V33" s="62"/>
      <c r="W33" s="68"/>
      <c r="X33" s="68"/>
      <c r="Y33" s="68"/>
      <c r="Z33" s="68"/>
      <c r="AA33" s="44"/>
      <c r="AB33" s="44"/>
      <c r="AC33" s="44"/>
      <c r="AD33" s="44"/>
      <c r="AE33" s="44"/>
      <c r="AF33" s="44"/>
      <c r="AG33" s="44"/>
      <c r="AH33" s="44"/>
      <c r="AI33" s="68"/>
      <c r="AM33" s="69"/>
      <c r="AN33" s="69"/>
      <c r="AO33" s="69"/>
      <c r="AP33" s="103"/>
      <c r="AQ33" s="65"/>
      <c r="AR33" s="65"/>
      <c r="AS33" s="65"/>
      <c r="AT33" s="65"/>
      <c r="AU33" s="44"/>
      <c r="AV33" s="65"/>
      <c r="AW33" s="44"/>
      <c r="AX33" s="44"/>
      <c r="AY33" s="44"/>
      <c r="AZ33" s="44"/>
      <c r="BA33" s="44"/>
      <c r="BB33" s="44"/>
      <c r="BC33" s="65">
        <v>109</v>
      </c>
      <c r="BD33" s="44">
        <v>113</v>
      </c>
      <c r="BE33" s="44">
        <v>119</v>
      </c>
      <c r="BF33" s="65">
        <v>114</v>
      </c>
      <c r="BG33" s="44">
        <v>121</v>
      </c>
      <c r="BH33" s="65">
        <v>127</v>
      </c>
      <c r="BI33" s="44">
        <v>127</v>
      </c>
      <c r="BJ33" s="65">
        <v>127</v>
      </c>
      <c r="BK33" s="65">
        <v>134</v>
      </c>
      <c r="BL33" s="44">
        <v>141</v>
      </c>
      <c r="BM33" s="44">
        <v>113</v>
      </c>
      <c r="BN33" s="44">
        <v>135</v>
      </c>
      <c r="BO33" s="44">
        <v>113</v>
      </c>
      <c r="BP33" s="44">
        <v>123</v>
      </c>
      <c r="BQ33" s="44">
        <v>107</v>
      </c>
      <c r="BR33" s="44">
        <v>121</v>
      </c>
      <c r="BS33" s="44">
        <v>106</v>
      </c>
      <c r="BT33" s="44">
        <v>115</v>
      </c>
      <c r="BU33" s="44">
        <f t="shared" si="49"/>
        <v>107</v>
      </c>
      <c r="BV33" s="44">
        <f t="shared" si="50"/>
        <v>121</v>
      </c>
      <c r="BW33" s="44"/>
      <c r="BX33" s="44"/>
      <c r="BY33" s="44"/>
      <c r="BZ33" s="44"/>
      <c r="CA33" s="44"/>
      <c r="CB33" s="44"/>
      <c r="CC33" s="44"/>
      <c r="CD33" s="44"/>
      <c r="CE33" s="44"/>
      <c r="CF33" s="44"/>
      <c r="CG33" s="44"/>
      <c r="CH33" s="44"/>
      <c r="CI33" s="44"/>
      <c r="CJ33" s="44"/>
      <c r="CK33" s="44">
        <v>110</v>
      </c>
      <c r="CL33" s="44">
        <v>124</v>
      </c>
      <c r="CM33" s="44">
        <v>120</v>
      </c>
      <c r="CN33" s="115">
        <v>120</v>
      </c>
      <c r="CO33" s="115">
        <v>109</v>
      </c>
      <c r="CP33" s="115">
        <v>121</v>
      </c>
      <c r="CQ33" s="115">
        <v>129</v>
      </c>
      <c r="CR33" s="115">
        <v>78</v>
      </c>
      <c r="CS33" s="115">
        <v>87</v>
      </c>
      <c r="CT33" s="115">
        <v>107</v>
      </c>
      <c r="CU33" s="115">
        <v>99</v>
      </c>
      <c r="CV33" s="115">
        <v>112</v>
      </c>
      <c r="CW33" s="115">
        <v>109</v>
      </c>
      <c r="CX33" s="115">
        <v>112</v>
      </c>
      <c r="CY33" s="115">
        <v>76</v>
      </c>
      <c r="CZ33" s="115">
        <v>79</v>
      </c>
      <c r="DA33" s="115">
        <v>79</v>
      </c>
      <c r="DB33" s="115">
        <v>93</v>
      </c>
      <c r="DC33" s="115"/>
      <c r="DD33" s="115">
        <v>80</v>
      </c>
      <c r="DE33" s="115">
        <v>89</v>
      </c>
      <c r="DF33" s="115">
        <v>76</v>
      </c>
      <c r="DG33" s="115"/>
      <c r="DH33" s="115"/>
      <c r="DI33" s="115"/>
      <c r="DJ33" s="115"/>
      <c r="DK33" s="115"/>
      <c r="DL33" s="115"/>
      <c r="DM33" s="115"/>
      <c r="DN33" s="115"/>
      <c r="DO33" s="115"/>
      <c r="DP33" s="115"/>
      <c r="DQ33" s="44"/>
      <c r="DU33" s="68"/>
      <c r="DV33" s="68"/>
      <c r="DW33" s="68"/>
      <c r="DX33" s="68"/>
      <c r="DY33" s="68"/>
      <c r="DZ33" s="68"/>
      <c r="EA33" s="68"/>
      <c r="EB33" s="68"/>
      <c r="EC33" s="68"/>
      <c r="ED33" s="44"/>
      <c r="EE33" s="44"/>
      <c r="EF33" s="44"/>
      <c r="EG33" s="44"/>
      <c r="EH33" s="44"/>
      <c r="EI33" s="44"/>
      <c r="EJ33" s="44"/>
      <c r="EK33" s="65"/>
      <c r="EL33" s="44">
        <f>SUM(BC33:BF33)</f>
        <v>455</v>
      </c>
      <c r="EM33" s="44">
        <f t="shared" ref="EM33:EM73" si="53">SUM(BG33:BJ33)</f>
        <v>502</v>
      </c>
      <c r="EN33" s="44">
        <f t="shared" ref="EN33:EN75" si="54">SUM(BK33:BN33)</f>
        <v>523</v>
      </c>
      <c r="EO33" s="44">
        <f t="shared" ref="EO33:EO75" si="55">SUM(BO33:BR33)</f>
        <v>464</v>
      </c>
      <c r="EP33" s="44">
        <f t="shared" si="42"/>
        <v>449</v>
      </c>
      <c r="EQ33" s="44">
        <f t="shared" ref="EQ33:ET33" si="56">+EP33*0.7</f>
        <v>314.29999999999995</v>
      </c>
      <c r="ER33" s="44">
        <f t="shared" si="56"/>
        <v>220.00999999999996</v>
      </c>
      <c r="ES33" s="44">
        <f t="shared" si="56"/>
        <v>154.00699999999998</v>
      </c>
      <c r="ET33" s="44">
        <f t="shared" si="56"/>
        <v>107.80489999999998</v>
      </c>
      <c r="EU33" s="44">
        <f t="shared" si="11"/>
        <v>470</v>
      </c>
      <c r="EV33" s="44">
        <f t="shared" si="3"/>
        <v>401</v>
      </c>
      <c r="EW33" s="44">
        <f t="shared" si="4"/>
        <v>432</v>
      </c>
      <c r="EX33" s="44">
        <f t="shared" si="5"/>
        <v>327</v>
      </c>
      <c r="EY33" s="44">
        <f t="shared" si="6"/>
        <v>245</v>
      </c>
      <c r="EZ33" s="44">
        <f t="shared" ref="EZ33:FK33" si="57">+EY33*0.9</f>
        <v>220.5</v>
      </c>
      <c r="FA33" s="44">
        <f t="shared" si="57"/>
        <v>198.45000000000002</v>
      </c>
      <c r="FB33" s="44">
        <f t="shared" si="57"/>
        <v>178.60500000000002</v>
      </c>
      <c r="FC33" s="44">
        <f t="shared" si="57"/>
        <v>160.74450000000002</v>
      </c>
      <c r="FD33" s="44">
        <f t="shared" si="57"/>
        <v>144.67005000000003</v>
      </c>
      <c r="FE33" s="44">
        <f t="shared" si="57"/>
        <v>130.20304500000003</v>
      </c>
      <c r="FF33" s="44">
        <f t="shared" si="57"/>
        <v>117.18274050000004</v>
      </c>
      <c r="FG33" s="44">
        <f t="shared" si="57"/>
        <v>105.46446645000003</v>
      </c>
      <c r="FH33" s="44">
        <f t="shared" si="57"/>
        <v>94.918019805000029</v>
      </c>
      <c r="FI33" s="44">
        <f t="shared" si="57"/>
        <v>85.426217824500029</v>
      </c>
      <c r="FJ33" s="44">
        <f t="shared" si="57"/>
        <v>76.88359604205003</v>
      </c>
      <c r="FK33" s="44">
        <f t="shared" si="57"/>
        <v>69.195236437845026</v>
      </c>
      <c r="FS33" s="82">
        <f>+EV33*0.1</f>
        <v>40.1</v>
      </c>
    </row>
    <row r="34" spans="2:177">
      <c r="B34" s="14" t="s">
        <v>1358</v>
      </c>
      <c r="C34" s="62"/>
      <c r="D34" s="62"/>
      <c r="E34" s="62"/>
      <c r="F34" s="62"/>
      <c r="G34" s="62"/>
      <c r="H34" s="62"/>
      <c r="I34" s="62"/>
      <c r="J34" s="62"/>
      <c r="K34" s="62"/>
      <c r="L34" s="62"/>
      <c r="M34" s="62"/>
      <c r="N34" s="62"/>
      <c r="O34" s="62"/>
      <c r="P34" s="62"/>
      <c r="Q34" s="62"/>
      <c r="R34" s="62"/>
      <c r="S34" s="62"/>
      <c r="T34" s="62"/>
      <c r="U34" s="62"/>
      <c r="V34" s="62"/>
      <c r="W34" s="68"/>
      <c r="X34" s="68"/>
      <c r="Y34" s="68"/>
      <c r="Z34" s="68"/>
      <c r="AA34" s="44"/>
      <c r="AB34" s="44"/>
      <c r="AC34" s="44"/>
      <c r="AD34" s="44"/>
      <c r="AE34" s="44"/>
      <c r="AF34" s="44"/>
      <c r="AG34" s="44"/>
      <c r="AH34" s="44"/>
      <c r="AI34" s="68"/>
      <c r="AM34" s="69"/>
      <c r="AN34" s="69"/>
      <c r="AO34" s="69"/>
      <c r="AP34" s="103"/>
      <c r="AQ34" s="65"/>
      <c r="AR34" s="65"/>
      <c r="AS34" s="65"/>
      <c r="AT34" s="65"/>
      <c r="AU34" s="44"/>
      <c r="AV34" s="65"/>
      <c r="AW34" s="44"/>
      <c r="AX34" s="44"/>
      <c r="AY34" s="44"/>
      <c r="AZ34" s="44"/>
      <c r="BA34" s="44"/>
      <c r="BB34" s="44"/>
      <c r="BC34" s="65"/>
      <c r="BD34" s="44"/>
      <c r="BE34" s="44"/>
      <c r="BF34" s="65"/>
      <c r="BG34" s="44"/>
      <c r="BH34" s="65"/>
      <c r="BI34" s="44"/>
      <c r="BJ34" s="65"/>
      <c r="BK34" s="65"/>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v>46</v>
      </c>
      <c r="CL34" s="44">
        <v>44</v>
      </c>
      <c r="CM34" s="44">
        <v>50</v>
      </c>
      <c r="CN34" s="115">
        <v>58</v>
      </c>
      <c r="CO34" s="115">
        <v>52</v>
      </c>
      <c r="CP34" s="115">
        <v>70</v>
      </c>
      <c r="CQ34" s="115">
        <v>75</v>
      </c>
      <c r="CR34" s="115">
        <v>56</v>
      </c>
      <c r="CS34" s="115">
        <v>50</v>
      </c>
      <c r="CT34" s="115">
        <v>40</v>
      </c>
      <c r="CU34" s="115">
        <v>46</v>
      </c>
      <c r="CV34" s="115">
        <v>49</v>
      </c>
      <c r="CW34" s="115">
        <v>51</v>
      </c>
      <c r="CX34" s="115">
        <v>48</v>
      </c>
      <c r="CY34" s="115">
        <v>77</v>
      </c>
      <c r="CZ34" s="115">
        <v>65</v>
      </c>
      <c r="DA34" s="115">
        <v>79</v>
      </c>
      <c r="DB34" s="115">
        <v>48</v>
      </c>
      <c r="DC34" s="115"/>
      <c r="DD34" s="115">
        <v>38</v>
      </c>
      <c r="DE34" s="115">
        <v>43</v>
      </c>
      <c r="DF34" s="115">
        <v>58</v>
      </c>
      <c r="DG34" s="115"/>
      <c r="DH34" s="115"/>
      <c r="DI34" s="115"/>
      <c r="DJ34" s="115"/>
      <c r="DK34" s="115"/>
      <c r="DL34" s="115"/>
      <c r="DM34" s="115"/>
      <c r="DN34" s="115"/>
      <c r="DO34" s="115"/>
      <c r="DP34" s="44"/>
      <c r="DQ34" s="44"/>
      <c r="DU34" s="68"/>
      <c r="DV34" s="68"/>
      <c r="DW34" s="68"/>
      <c r="DX34" s="68"/>
      <c r="DY34" s="68"/>
      <c r="DZ34" s="68"/>
      <c r="EA34" s="68"/>
      <c r="EB34" s="68"/>
      <c r="EC34" s="68"/>
      <c r="ED34" s="44"/>
      <c r="EE34" s="44"/>
      <c r="EF34" s="44"/>
      <c r="EG34" s="44"/>
      <c r="EH34" s="44"/>
      <c r="EI34" s="44"/>
      <c r="EJ34" s="44"/>
      <c r="EK34" s="65"/>
      <c r="EU34" s="44">
        <f t="shared" si="11"/>
        <v>230</v>
      </c>
      <c r="EV34" s="44">
        <f t="shared" si="3"/>
        <v>221</v>
      </c>
      <c r="EW34" s="44">
        <f t="shared" si="4"/>
        <v>194</v>
      </c>
      <c r="EX34" s="44">
        <f t="shared" si="5"/>
        <v>269</v>
      </c>
      <c r="EY34" s="44">
        <f t="shared" si="6"/>
        <v>139</v>
      </c>
      <c r="EZ34" s="44">
        <f t="shared" ref="EZ34:FK34" si="58">+EY34*0.9</f>
        <v>125.10000000000001</v>
      </c>
      <c r="FA34" s="44">
        <f t="shared" si="58"/>
        <v>112.59</v>
      </c>
      <c r="FB34" s="44">
        <f t="shared" si="58"/>
        <v>101.331</v>
      </c>
      <c r="FC34" s="44">
        <f t="shared" si="58"/>
        <v>91.197900000000004</v>
      </c>
      <c r="FD34" s="44">
        <f t="shared" si="58"/>
        <v>82.078110000000009</v>
      </c>
      <c r="FE34" s="44">
        <f t="shared" si="58"/>
        <v>73.870299000000017</v>
      </c>
      <c r="FF34" s="44">
        <f t="shared" si="58"/>
        <v>66.483269100000015</v>
      </c>
      <c r="FG34" s="44">
        <f t="shared" si="58"/>
        <v>59.834942190000014</v>
      </c>
      <c r="FH34" s="44">
        <f t="shared" si="58"/>
        <v>53.851447971000013</v>
      </c>
      <c r="FI34" s="44">
        <f t="shared" si="58"/>
        <v>48.466303173900016</v>
      </c>
      <c r="FJ34" s="44">
        <f t="shared" si="58"/>
        <v>43.619672856510014</v>
      </c>
      <c r="FK34" s="44">
        <f t="shared" si="58"/>
        <v>39.257705570859017</v>
      </c>
    </row>
    <row r="35" spans="2:177">
      <c r="B35" s="14" t="s">
        <v>1368</v>
      </c>
      <c r="C35" s="62"/>
      <c r="D35" s="62"/>
      <c r="E35" s="62"/>
      <c r="F35" s="62"/>
      <c r="G35" s="62"/>
      <c r="H35" s="62"/>
      <c r="I35" s="62"/>
      <c r="J35" s="62"/>
      <c r="K35" s="62"/>
      <c r="L35" s="62"/>
      <c r="M35" s="62"/>
      <c r="N35" s="62"/>
      <c r="O35" s="62"/>
      <c r="P35" s="62"/>
      <c r="Q35" s="62"/>
      <c r="R35" s="62"/>
      <c r="S35" s="62"/>
      <c r="T35" s="62"/>
      <c r="U35" s="62"/>
      <c r="V35" s="62"/>
      <c r="W35" s="68"/>
      <c r="X35" s="68"/>
      <c r="Y35" s="68"/>
      <c r="Z35" s="68"/>
      <c r="AA35" s="44"/>
      <c r="AB35" s="44"/>
      <c r="AC35" s="44"/>
      <c r="AD35" s="44"/>
      <c r="AE35" s="44"/>
      <c r="AF35" s="44"/>
      <c r="AG35" s="44"/>
      <c r="AH35" s="44"/>
      <c r="AI35" s="68"/>
      <c r="AM35" s="69"/>
      <c r="AN35" s="69"/>
      <c r="AO35" s="69"/>
      <c r="AP35" s="103"/>
      <c r="AQ35" s="65"/>
      <c r="AR35" s="65"/>
      <c r="AS35" s="65"/>
      <c r="AT35" s="65"/>
      <c r="AU35" s="44"/>
      <c r="AV35" s="65"/>
      <c r="AW35" s="44"/>
      <c r="AX35" s="44"/>
      <c r="AY35" s="44"/>
      <c r="AZ35" s="44"/>
      <c r="BA35" s="44"/>
      <c r="BB35" s="44"/>
      <c r="BC35" s="65"/>
      <c r="BD35" s="44"/>
      <c r="BE35" s="44"/>
      <c r="BF35" s="65"/>
      <c r="BG35" s="44"/>
      <c r="BH35" s="65"/>
      <c r="BI35" s="44"/>
      <c r="BJ35" s="65"/>
      <c r="BK35" s="65"/>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v>0</v>
      </c>
      <c r="CL35" s="44">
        <v>0</v>
      </c>
      <c r="CM35" s="44">
        <v>0</v>
      </c>
      <c r="CN35" s="115">
        <v>0</v>
      </c>
      <c r="CO35" s="115">
        <v>0</v>
      </c>
      <c r="CP35" s="115">
        <v>0</v>
      </c>
      <c r="CQ35" s="115">
        <v>0</v>
      </c>
      <c r="CR35" s="115">
        <v>0</v>
      </c>
      <c r="CS35" s="115">
        <v>55</v>
      </c>
      <c r="CT35" s="115">
        <v>62</v>
      </c>
      <c r="CU35" s="115">
        <v>60</v>
      </c>
      <c r="CV35" s="115">
        <v>66</v>
      </c>
      <c r="CW35" s="115">
        <v>67</v>
      </c>
      <c r="CX35" s="115">
        <v>73</v>
      </c>
      <c r="CY35" s="115">
        <v>72</v>
      </c>
      <c r="CZ35" s="115">
        <v>77</v>
      </c>
      <c r="DA35" s="115">
        <v>99</v>
      </c>
      <c r="DB35" s="115">
        <v>95</v>
      </c>
      <c r="DC35" s="115">
        <v>112</v>
      </c>
      <c r="DD35" s="115">
        <v>121</v>
      </c>
      <c r="DE35" s="115">
        <v>159</v>
      </c>
      <c r="DF35" s="115">
        <v>146</v>
      </c>
      <c r="DG35" s="115">
        <v>164</v>
      </c>
      <c r="DH35" s="115">
        <v>169</v>
      </c>
      <c r="DI35" s="115"/>
      <c r="DJ35" s="115"/>
      <c r="DK35" s="115"/>
      <c r="DL35" s="115"/>
      <c r="DM35" s="115"/>
      <c r="DN35" s="115"/>
      <c r="DO35" s="115"/>
      <c r="DP35" s="44"/>
      <c r="DQ35" s="44"/>
      <c r="DU35" s="68"/>
      <c r="DV35" s="68"/>
      <c r="DW35" s="68"/>
      <c r="DX35" s="68"/>
      <c r="DY35" s="68"/>
      <c r="DZ35" s="68"/>
      <c r="EA35" s="68"/>
      <c r="EB35" s="68"/>
      <c r="EC35" s="68"/>
      <c r="ED35" s="44"/>
      <c r="EE35" s="44"/>
      <c r="EF35" s="44"/>
      <c r="EG35" s="44"/>
      <c r="EH35" s="44"/>
      <c r="EI35" s="44"/>
      <c r="EJ35" s="44"/>
      <c r="EK35" s="65"/>
      <c r="EU35" s="44">
        <f t="shared" si="11"/>
        <v>0</v>
      </c>
      <c r="EV35" s="44">
        <f t="shared" si="3"/>
        <v>117</v>
      </c>
      <c r="EW35" s="44">
        <f t="shared" si="4"/>
        <v>266</v>
      </c>
      <c r="EX35" s="44">
        <f t="shared" si="5"/>
        <v>343</v>
      </c>
      <c r="EY35" s="44">
        <f t="shared" si="6"/>
        <v>538</v>
      </c>
      <c r="EZ35" s="44">
        <f t="shared" ref="EZ35:FK35" si="59">+EY35*0.9</f>
        <v>484.2</v>
      </c>
      <c r="FA35" s="44">
        <f t="shared" si="59"/>
        <v>435.78</v>
      </c>
      <c r="FB35" s="44">
        <f t="shared" si="59"/>
        <v>392.202</v>
      </c>
      <c r="FC35" s="44">
        <f t="shared" si="59"/>
        <v>352.98180000000002</v>
      </c>
      <c r="FD35" s="44">
        <f t="shared" si="59"/>
        <v>317.68362000000002</v>
      </c>
      <c r="FE35" s="44">
        <f t="shared" si="59"/>
        <v>285.91525800000005</v>
      </c>
      <c r="FF35" s="44">
        <f t="shared" si="59"/>
        <v>257.32373220000005</v>
      </c>
      <c r="FG35" s="44">
        <f t="shared" si="59"/>
        <v>231.59135898000005</v>
      </c>
      <c r="FH35" s="44">
        <f t="shared" si="59"/>
        <v>208.43222308200006</v>
      </c>
      <c r="FI35" s="44">
        <f t="shared" si="59"/>
        <v>187.58900077380005</v>
      </c>
      <c r="FJ35" s="44">
        <f t="shared" si="59"/>
        <v>168.83010069642006</v>
      </c>
      <c r="FK35" s="44">
        <f t="shared" si="59"/>
        <v>151.94709062677805</v>
      </c>
    </row>
    <row r="36" spans="2:177">
      <c r="B36" s="14" t="s">
        <v>704</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E36" s="44"/>
      <c r="AF36" s="44"/>
      <c r="AG36" s="44"/>
      <c r="AH36" s="44"/>
      <c r="AI36" s="62"/>
      <c r="AK36" s="62"/>
      <c r="AL36" s="103"/>
      <c r="AM36" s="103"/>
      <c r="AN36" s="103"/>
      <c r="AO36" s="103"/>
      <c r="AP36" s="103"/>
      <c r="AQ36" s="70"/>
      <c r="AR36" s="70"/>
      <c r="AS36" s="70"/>
      <c r="AT36" s="70"/>
      <c r="AU36" s="68"/>
      <c r="AV36" s="65"/>
      <c r="AW36" s="44"/>
      <c r="AX36" s="70"/>
      <c r="AY36" s="75"/>
      <c r="AZ36" s="44"/>
      <c r="BA36" s="44"/>
      <c r="BB36" s="44"/>
      <c r="BC36" s="65">
        <v>90</v>
      </c>
      <c r="BD36" s="44">
        <v>84</v>
      </c>
      <c r="BE36" s="44">
        <v>84</v>
      </c>
      <c r="BF36" s="65">
        <v>83</v>
      </c>
      <c r="BG36" s="44">
        <v>91</v>
      </c>
      <c r="BH36" s="65">
        <v>97</v>
      </c>
      <c r="BI36" s="44">
        <v>95</v>
      </c>
      <c r="BJ36" s="65">
        <v>99</v>
      </c>
      <c r="BK36" s="65">
        <v>91</v>
      </c>
      <c r="BL36" s="44">
        <v>101</v>
      </c>
      <c r="BM36" s="44">
        <v>91</v>
      </c>
      <c r="BN36" s="44">
        <v>98</v>
      </c>
      <c r="BO36" s="44">
        <v>86</v>
      </c>
      <c r="BP36" s="44">
        <v>94</v>
      </c>
      <c r="BQ36" s="44">
        <v>83</v>
      </c>
      <c r="BR36" s="44">
        <v>96</v>
      </c>
      <c r="BS36" s="44">
        <v>81</v>
      </c>
      <c r="BT36" s="44">
        <v>95</v>
      </c>
      <c r="BU36" s="44">
        <f t="shared" ref="BU36:BV72" si="60">+BQ36</f>
        <v>83</v>
      </c>
      <c r="BV36" s="44">
        <f t="shared" si="60"/>
        <v>96</v>
      </c>
      <c r="BW36" s="44"/>
      <c r="BX36" s="44"/>
      <c r="BY36" s="44"/>
      <c r="BZ36" s="44"/>
      <c r="CA36" s="44"/>
      <c r="CB36" s="44"/>
      <c r="CC36" s="44"/>
      <c r="CD36" s="44"/>
      <c r="CE36" s="44"/>
      <c r="CF36" s="44"/>
      <c r="CG36" s="44"/>
      <c r="CH36" s="44"/>
      <c r="CI36" s="44"/>
      <c r="CJ36" s="44"/>
      <c r="CK36" s="44">
        <v>76</v>
      </c>
      <c r="CL36" s="44">
        <v>72</v>
      </c>
      <c r="CM36" s="44">
        <v>60</v>
      </c>
      <c r="CN36" s="115">
        <v>63</v>
      </c>
      <c r="CO36" s="115">
        <v>62</v>
      </c>
      <c r="CP36" s="115">
        <v>68</v>
      </c>
      <c r="CQ36" s="115">
        <v>59</v>
      </c>
      <c r="CR36" s="115">
        <v>58</v>
      </c>
      <c r="CS36" s="115">
        <v>60</v>
      </c>
      <c r="CT36" s="115">
        <v>75</v>
      </c>
      <c r="CU36" s="115">
        <v>71</v>
      </c>
      <c r="CV36" s="115">
        <v>77</v>
      </c>
      <c r="CW36" s="115">
        <v>74</v>
      </c>
      <c r="CX36" s="115">
        <v>82</v>
      </c>
      <c r="CY36" s="115">
        <v>70</v>
      </c>
      <c r="CZ36" s="115">
        <v>72</v>
      </c>
      <c r="DA36" s="115">
        <v>60</v>
      </c>
      <c r="DB36" s="115">
        <v>67</v>
      </c>
      <c r="DC36" s="115"/>
      <c r="DD36" s="115">
        <v>59</v>
      </c>
      <c r="DE36" s="115">
        <v>57</v>
      </c>
      <c r="DF36" s="115">
        <v>63</v>
      </c>
      <c r="DG36" s="115"/>
      <c r="DH36" s="115"/>
      <c r="DI36" s="115"/>
      <c r="DJ36" s="115"/>
      <c r="DK36" s="115"/>
      <c r="DL36" s="115"/>
      <c r="DM36" s="115"/>
      <c r="DN36" s="115"/>
      <c r="DO36" s="115"/>
      <c r="DP36" s="44"/>
      <c r="DQ36" s="44"/>
      <c r="DU36" s="68"/>
      <c r="DV36" s="68"/>
      <c r="DW36" s="68"/>
      <c r="DX36" s="68"/>
      <c r="DY36" s="68"/>
      <c r="DZ36" s="68"/>
      <c r="EA36" s="68"/>
      <c r="EB36" s="68"/>
      <c r="EC36" s="68"/>
      <c r="ED36" s="68"/>
      <c r="EE36" s="68"/>
      <c r="EF36" s="68"/>
      <c r="EG36" s="68"/>
      <c r="EH36" s="68"/>
      <c r="EI36" s="68"/>
      <c r="EJ36" s="68"/>
      <c r="EK36" s="65"/>
      <c r="EL36" s="44">
        <f>SUM(BC36:BF36)</f>
        <v>341</v>
      </c>
      <c r="EM36" s="44">
        <f>SUM(BG36:BJ36)</f>
        <v>382</v>
      </c>
      <c r="EN36" s="44">
        <f>SUM(BK36:BN36)</f>
        <v>381</v>
      </c>
      <c r="EO36" s="44">
        <f>SUM(BO36:BR36)</f>
        <v>359</v>
      </c>
      <c r="EP36" s="44">
        <f t="shared" ref="EP36:EP72" si="61">SUM(BS36:BV36)</f>
        <v>355</v>
      </c>
      <c r="EQ36" s="44">
        <f t="shared" ref="EQ36:ET36" si="62">+EP36</f>
        <v>355</v>
      </c>
      <c r="ER36" s="44">
        <f t="shared" si="62"/>
        <v>355</v>
      </c>
      <c r="ES36" s="44">
        <f t="shared" si="62"/>
        <v>355</v>
      </c>
      <c r="ET36" s="44">
        <f t="shared" si="62"/>
        <v>355</v>
      </c>
      <c r="EU36" s="44">
        <f t="shared" si="11"/>
        <v>253</v>
      </c>
      <c r="EV36" s="44">
        <f t="shared" si="3"/>
        <v>252</v>
      </c>
      <c r="EW36" s="44">
        <f t="shared" si="4"/>
        <v>304</v>
      </c>
      <c r="EX36" s="44">
        <f t="shared" si="5"/>
        <v>269</v>
      </c>
      <c r="EY36" s="44">
        <f t="shared" si="6"/>
        <v>179</v>
      </c>
      <c r="EZ36" s="44">
        <f t="shared" ref="EZ36:FK36" si="63">+EY36*0.9</f>
        <v>161.1</v>
      </c>
      <c r="FA36" s="44">
        <f t="shared" si="63"/>
        <v>144.99</v>
      </c>
      <c r="FB36" s="44">
        <f t="shared" si="63"/>
        <v>130.49100000000001</v>
      </c>
      <c r="FC36" s="44">
        <f t="shared" si="63"/>
        <v>117.44190000000002</v>
      </c>
      <c r="FD36" s="44">
        <f t="shared" si="63"/>
        <v>105.69771000000001</v>
      </c>
      <c r="FE36" s="44">
        <f t="shared" si="63"/>
        <v>95.127939000000012</v>
      </c>
      <c r="FF36" s="44">
        <f t="shared" si="63"/>
        <v>85.615145100000007</v>
      </c>
      <c r="FG36" s="44">
        <f t="shared" si="63"/>
        <v>77.053630590000012</v>
      </c>
      <c r="FH36" s="44">
        <f t="shared" si="63"/>
        <v>69.348267531000019</v>
      </c>
      <c r="FI36" s="44">
        <f t="shared" si="63"/>
        <v>62.413440777900021</v>
      </c>
      <c r="FJ36" s="44">
        <f t="shared" si="63"/>
        <v>56.172096700110018</v>
      </c>
      <c r="FK36" s="44">
        <f t="shared" si="63"/>
        <v>50.554887030099017</v>
      </c>
      <c r="FS36" s="82">
        <f>+EV36*0.5</f>
        <v>126</v>
      </c>
      <c r="FU36" s="14" t="s">
        <v>705</v>
      </c>
    </row>
    <row r="37" spans="2:177">
      <c r="B37" s="14" t="s">
        <v>749</v>
      </c>
      <c r="AE37" s="44"/>
      <c r="AF37" s="44"/>
      <c r="AG37" s="44"/>
      <c r="AH37" s="44"/>
      <c r="AI37" s="68"/>
      <c r="AJ37" s="44"/>
      <c r="AK37" s="44"/>
      <c r="AL37" s="44"/>
      <c r="AM37" s="65"/>
      <c r="AN37" s="69"/>
      <c r="AO37" s="69"/>
      <c r="AP37" s="103"/>
      <c r="AQ37" s="65"/>
      <c r="AR37" s="65"/>
      <c r="AS37" s="65"/>
      <c r="AT37" s="65"/>
      <c r="AU37" s="44"/>
      <c r="AV37" s="65"/>
      <c r="AW37" s="44"/>
      <c r="AX37" s="44"/>
      <c r="AY37" s="44"/>
      <c r="AZ37" s="44"/>
      <c r="BA37" s="44"/>
      <c r="BB37" s="44"/>
      <c r="BC37" s="65"/>
      <c r="BD37" s="44"/>
      <c r="BE37" s="44"/>
      <c r="BF37" s="65">
        <v>42</v>
      </c>
      <c r="BG37" s="44"/>
      <c r="BH37" s="65"/>
      <c r="BI37" s="44"/>
      <c r="BJ37" s="65">
        <v>50</v>
      </c>
      <c r="BK37" s="65"/>
      <c r="BL37" s="44"/>
      <c r="BM37" s="44"/>
      <c r="BN37" s="44">
        <v>55</v>
      </c>
      <c r="BO37" s="68" t="s">
        <v>605</v>
      </c>
      <c r="BP37" s="44">
        <v>55</v>
      </c>
      <c r="BQ37" s="44">
        <v>56</v>
      </c>
      <c r="BR37" s="68">
        <v>58</v>
      </c>
      <c r="BS37" s="44">
        <v>50</v>
      </c>
      <c r="BT37" s="44">
        <v>59</v>
      </c>
      <c r="BU37" s="44">
        <f>+BQ37</f>
        <v>56</v>
      </c>
      <c r="BV37" s="44">
        <f>+BR37</f>
        <v>58</v>
      </c>
      <c r="BW37" s="44"/>
      <c r="BX37" s="44"/>
      <c r="BY37" s="44"/>
      <c r="BZ37" s="44"/>
      <c r="CA37" s="44"/>
      <c r="CB37" s="44"/>
      <c r="CC37" s="44"/>
      <c r="CD37" s="44"/>
      <c r="CE37" s="44"/>
      <c r="CF37" s="44"/>
      <c r="CG37" s="44"/>
      <c r="CH37" s="44"/>
      <c r="CI37" s="44"/>
      <c r="CJ37" s="44"/>
      <c r="CK37" s="44">
        <v>64</v>
      </c>
      <c r="CL37" s="44">
        <v>73</v>
      </c>
      <c r="CM37" s="44">
        <v>59</v>
      </c>
      <c r="CN37" s="115">
        <v>68</v>
      </c>
      <c r="CO37" s="115">
        <v>64</v>
      </c>
      <c r="CP37" s="115">
        <v>72</v>
      </c>
      <c r="CQ37" s="115">
        <v>64</v>
      </c>
      <c r="CR37" s="115">
        <v>67</v>
      </c>
      <c r="CS37" s="115">
        <v>67</v>
      </c>
      <c r="CT37" s="115">
        <v>79</v>
      </c>
      <c r="CU37" s="115">
        <v>65</v>
      </c>
      <c r="CV37" s="115">
        <v>68</v>
      </c>
      <c r="CW37" s="115">
        <v>70</v>
      </c>
      <c r="CX37" s="115">
        <v>74</v>
      </c>
      <c r="CY37" s="115">
        <v>68</v>
      </c>
      <c r="CZ37" s="115">
        <v>64</v>
      </c>
      <c r="DA37" s="115">
        <v>70</v>
      </c>
      <c r="DB37" s="115">
        <v>66</v>
      </c>
      <c r="DC37" s="115"/>
      <c r="DD37" s="115">
        <v>65</v>
      </c>
      <c r="DE37" s="115">
        <v>69</v>
      </c>
      <c r="DF37" s="115">
        <v>67</v>
      </c>
      <c r="DG37" s="115"/>
      <c r="DH37" s="115"/>
      <c r="DI37" s="115"/>
      <c r="DJ37" s="115"/>
      <c r="DK37" s="115"/>
      <c r="DL37" s="115"/>
      <c r="DM37" s="115"/>
      <c r="DN37" s="115"/>
      <c r="DO37" s="115"/>
      <c r="DP37" s="44"/>
      <c r="DQ37" s="44"/>
      <c r="DU37" s="44"/>
      <c r="DV37" s="44"/>
      <c r="DW37" s="44"/>
      <c r="DX37" s="44"/>
      <c r="DY37" s="44"/>
      <c r="DZ37" s="44"/>
      <c r="EA37" s="44"/>
      <c r="EB37" s="44"/>
      <c r="EC37" s="44"/>
      <c r="ED37" s="44"/>
      <c r="EE37" s="44"/>
      <c r="EF37" s="44"/>
      <c r="EG37" s="44"/>
      <c r="EH37" s="44"/>
      <c r="EI37" s="44"/>
      <c r="EJ37" s="44"/>
      <c r="EK37" s="65"/>
      <c r="EP37" s="44">
        <f>SUM(BS37:BV37)</f>
        <v>223</v>
      </c>
      <c r="EU37" s="44">
        <f t="shared" si="11"/>
        <v>263</v>
      </c>
      <c r="EV37" s="44">
        <f t="shared" si="3"/>
        <v>277</v>
      </c>
      <c r="EW37" s="44">
        <f t="shared" si="4"/>
        <v>277</v>
      </c>
      <c r="EX37" s="44">
        <f t="shared" si="5"/>
        <v>268</v>
      </c>
      <c r="EY37" s="44">
        <f t="shared" si="6"/>
        <v>201</v>
      </c>
      <c r="EZ37" s="44">
        <f t="shared" ref="EZ37:FK37" si="64">+EY37*0.9</f>
        <v>180.9</v>
      </c>
      <c r="FA37" s="44">
        <f t="shared" si="64"/>
        <v>162.81</v>
      </c>
      <c r="FB37" s="44">
        <f t="shared" si="64"/>
        <v>146.529</v>
      </c>
      <c r="FC37" s="44">
        <f t="shared" si="64"/>
        <v>131.87610000000001</v>
      </c>
      <c r="FD37" s="44">
        <f t="shared" si="64"/>
        <v>118.68849000000002</v>
      </c>
      <c r="FE37" s="44">
        <f t="shared" si="64"/>
        <v>106.81964100000002</v>
      </c>
      <c r="FF37" s="44">
        <f t="shared" si="64"/>
        <v>96.137676900000017</v>
      </c>
      <c r="FG37" s="44">
        <f t="shared" si="64"/>
        <v>86.523909210000014</v>
      </c>
      <c r="FH37" s="44">
        <f t="shared" si="64"/>
        <v>77.871518289000008</v>
      </c>
      <c r="FI37" s="44">
        <f t="shared" si="64"/>
        <v>70.084366460100014</v>
      </c>
      <c r="FJ37" s="44">
        <f t="shared" si="64"/>
        <v>63.075929814090017</v>
      </c>
      <c r="FK37" s="44">
        <f t="shared" si="64"/>
        <v>56.768336832681015</v>
      </c>
    </row>
    <row r="38" spans="2:177">
      <c r="B38" s="14" t="s">
        <v>715</v>
      </c>
      <c r="C38" s="68"/>
      <c r="D38" s="68"/>
      <c r="E38" s="68"/>
      <c r="F38" s="68"/>
      <c r="G38" s="68"/>
      <c r="H38" s="68"/>
      <c r="I38" s="68"/>
      <c r="J38" s="68"/>
      <c r="K38" s="68"/>
      <c r="L38" s="68"/>
      <c r="M38" s="68"/>
      <c r="N38" s="68"/>
      <c r="O38" s="68"/>
      <c r="P38" s="68"/>
      <c r="Q38" s="68"/>
      <c r="R38" s="68"/>
      <c r="S38" s="68"/>
      <c r="T38" s="68"/>
      <c r="U38" s="68"/>
      <c r="V38" s="68"/>
      <c r="W38" s="68"/>
      <c r="X38" s="68"/>
      <c r="Y38" s="68"/>
      <c r="Z38" s="62"/>
      <c r="AA38" s="68"/>
      <c r="AB38" s="68"/>
      <c r="AC38" s="68"/>
      <c r="AD38" s="62"/>
      <c r="AI38" s="68"/>
      <c r="AJ38" s="68"/>
      <c r="AK38" s="68"/>
      <c r="AL38" s="70"/>
      <c r="AM38" s="69"/>
      <c r="AN38" s="69"/>
      <c r="AO38" s="69"/>
      <c r="AP38" s="103"/>
      <c r="AQ38" s="65"/>
      <c r="AR38" s="65"/>
      <c r="AS38" s="65"/>
      <c r="AT38" s="65"/>
      <c r="AU38" s="44"/>
      <c r="AV38" s="65"/>
      <c r="AW38" s="44"/>
      <c r="AX38" s="65"/>
      <c r="AY38" s="65"/>
      <c r="AZ38" s="44"/>
      <c r="BA38" s="44"/>
      <c r="BB38" s="44"/>
      <c r="BC38" s="65">
        <v>98</v>
      </c>
      <c r="BD38" s="44">
        <v>99</v>
      </c>
      <c r="BE38" s="44">
        <v>101</v>
      </c>
      <c r="BF38" s="65">
        <v>102</v>
      </c>
      <c r="BG38" s="44">
        <v>93</v>
      </c>
      <c r="BH38" s="65">
        <v>101</v>
      </c>
      <c r="BI38" s="44">
        <v>83</v>
      </c>
      <c r="BJ38" s="65">
        <v>63</v>
      </c>
      <c r="BK38" s="65">
        <v>67</v>
      </c>
      <c r="BL38" s="44">
        <v>67</v>
      </c>
      <c r="BM38" s="44">
        <v>58</v>
      </c>
      <c r="BN38" s="44">
        <v>71</v>
      </c>
      <c r="BO38" s="68" t="s">
        <v>605</v>
      </c>
      <c r="BP38" s="68">
        <v>66</v>
      </c>
      <c r="BQ38" s="68" t="s">
        <v>605</v>
      </c>
      <c r="BR38" s="68">
        <v>51</v>
      </c>
      <c r="BS38" s="44" t="s">
        <v>605</v>
      </c>
      <c r="BT38" s="44">
        <v>51</v>
      </c>
      <c r="BU38" s="44" t="str">
        <f>+BQ38</f>
        <v>-</v>
      </c>
      <c r="BV38" s="44">
        <f>+BR38</f>
        <v>51</v>
      </c>
      <c r="BW38" s="44"/>
      <c r="BX38" s="44"/>
      <c r="BY38" s="44"/>
      <c r="BZ38" s="44"/>
      <c r="CA38" s="44"/>
      <c r="CB38" s="44"/>
      <c r="CC38" s="44"/>
      <c r="CD38" s="44"/>
      <c r="CE38" s="44"/>
      <c r="CF38" s="44"/>
      <c r="CG38" s="44"/>
      <c r="CH38" s="44"/>
      <c r="CI38" s="44"/>
      <c r="CJ38" s="44"/>
      <c r="CK38" s="44">
        <v>54</v>
      </c>
      <c r="CL38" s="44">
        <v>72</v>
      </c>
      <c r="CM38" s="44">
        <v>67</v>
      </c>
      <c r="CN38" s="115">
        <v>79</v>
      </c>
      <c r="CO38" s="115">
        <v>66</v>
      </c>
      <c r="CP38" s="115">
        <v>75</v>
      </c>
      <c r="CQ38" s="115">
        <v>69</v>
      </c>
      <c r="CR38" s="115">
        <v>57</v>
      </c>
      <c r="CS38" s="115">
        <v>70</v>
      </c>
      <c r="CT38" s="115">
        <v>77</v>
      </c>
      <c r="CU38" s="115">
        <v>49</v>
      </c>
      <c r="CV38" s="115">
        <v>66</v>
      </c>
      <c r="CW38" s="115">
        <v>71</v>
      </c>
      <c r="CX38" s="115">
        <v>80</v>
      </c>
      <c r="CY38" s="115">
        <v>67</v>
      </c>
      <c r="CZ38" s="115">
        <v>75</v>
      </c>
      <c r="DA38" s="115">
        <v>58</v>
      </c>
      <c r="DB38" s="115">
        <v>76</v>
      </c>
      <c r="DC38" s="115"/>
      <c r="DD38" s="115">
        <v>84</v>
      </c>
      <c r="DE38" s="115">
        <v>82</v>
      </c>
      <c r="DF38" s="115">
        <v>86</v>
      </c>
      <c r="DG38" s="115"/>
      <c r="DH38" s="115"/>
      <c r="DI38" s="115"/>
      <c r="DJ38" s="115"/>
      <c r="DK38" s="115"/>
      <c r="DL38" s="115"/>
      <c r="DM38" s="115"/>
      <c r="DN38" s="115"/>
      <c r="DO38" s="115"/>
      <c r="DP38" s="44"/>
      <c r="DQ38" s="44"/>
      <c r="DU38" s="68"/>
      <c r="DV38" s="68"/>
      <c r="DW38" s="68"/>
      <c r="DX38" s="68"/>
      <c r="DY38" s="68"/>
      <c r="DZ38" s="68"/>
      <c r="EA38" s="68"/>
      <c r="EB38" s="68"/>
      <c r="EC38" s="68"/>
      <c r="ED38" s="68"/>
      <c r="EF38" s="44"/>
      <c r="EG38" s="44"/>
      <c r="EH38" s="44"/>
      <c r="EI38" s="44"/>
      <c r="EJ38" s="44"/>
      <c r="EK38" s="65"/>
      <c r="EL38" s="44">
        <f>SUM(BC38:BF38)</f>
        <v>400</v>
      </c>
      <c r="EM38" s="44">
        <f>SUM(BG38:BJ38)</f>
        <v>340</v>
      </c>
      <c r="EN38" s="44">
        <f>SUM(BK38:BN38)</f>
        <v>263</v>
      </c>
      <c r="EO38" s="44">
        <f>SUM(BO38:BR38)</f>
        <v>117</v>
      </c>
      <c r="EP38" s="44">
        <f>SUM(BS38:BV38)</f>
        <v>102</v>
      </c>
      <c r="EQ38" s="44">
        <f t="shared" ref="EQ38:ET38" si="65">+EP38</f>
        <v>102</v>
      </c>
      <c r="ER38" s="44">
        <f t="shared" si="65"/>
        <v>102</v>
      </c>
      <c r="ES38" s="44">
        <f t="shared" si="65"/>
        <v>102</v>
      </c>
      <c r="ET38" s="44">
        <f t="shared" si="65"/>
        <v>102</v>
      </c>
      <c r="EU38" s="44">
        <f t="shared" si="11"/>
        <v>287</v>
      </c>
      <c r="EV38" s="44">
        <f t="shared" si="3"/>
        <v>273</v>
      </c>
      <c r="EW38" s="44">
        <f t="shared" si="4"/>
        <v>266</v>
      </c>
      <c r="EX38" s="44">
        <f t="shared" si="5"/>
        <v>276</v>
      </c>
      <c r="EY38" s="44">
        <f t="shared" si="6"/>
        <v>252</v>
      </c>
      <c r="EZ38" s="44">
        <f t="shared" ref="EZ38:FK39" si="66">+EY38*0.9</f>
        <v>226.8</v>
      </c>
      <c r="FA38" s="44">
        <f t="shared" si="66"/>
        <v>204.12</v>
      </c>
      <c r="FB38" s="44">
        <f t="shared" si="66"/>
        <v>183.708</v>
      </c>
      <c r="FC38" s="44">
        <f t="shared" si="66"/>
        <v>165.3372</v>
      </c>
      <c r="FD38" s="44">
        <f t="shared" si="66"/>
        <v>148.80348000000001</v>
      </c>
      <c r="FE38" s="44">
        <f t="shared" si="66"/>
        <v>133.92313200000001</v>
      </c>
      <c r="FF38" s="44">
        <f t="shared" si="66"/>
        <v>120.53081880000001</v>
      </c>
      <c r="FG38" s="44">
        <f t="shared" si="66"/>
        <v>108.47773692000001</v>
      </c>
      <c r="FH38" s="44">
        <f t="shared" si="66"/>
        <v>97.629963228000008</v>
      </c>
      <c r="FI38" s="44">
        <f t="shared" si="66"/>
        <v>87.866966905200016</v>
      </c>
      <c r="FJ38" s="44">
        <f t="shared" si="66"/>
        <v>79.080270214680013</v>
      </c>
      <c r="FK38" s="44">
        <f t="shared" si="66"/>
        <v>71.172243193212012</v>
      </c>
      <c r="FS38" s="82">
        <f>+EV38*0.5</f>
        <v>136.5</v>
      </c>
      <c r="FU38" s="14"/>
    </row>
    <row r="39" spans="2:177">
      <c r="B39" s="14" t="s">
        <v>1586</v>
      </c>
      <c r="C39" s="68"/>
      <c r="D39" s="68"/>
      <c r="E39" s="68"/>
      <c r="F39" s="68"/>
      <c r="G39" s="68"/>
      <c r="H39" s="68"/>
      <c r="I39" s="68"/>
      <c r="J39" s="68"/>
      <c r="K39" s="68"/>
      <c r="L39" s="68"/>
      <c r="M39" s="68"/>
      <c r="N39" s="68"/>
      <c r="O39" s="68"/>
      <c r="P39" s="68"/>
      <c r="Q39" s="68"/>
      <c r="R39" s="68"/>
      <c r="S39" s="68"/>
      <c r="T39" s="68"/>
      <c r="U39" s="68"/>
      <c r="V39" s="68"/>
      <c r="W39" s="68"/>
      <c r="X39" s="68"/>
      <c r="Y39" s="68"/>
      <c r="Z39" s="62"/>
      <c r="AA39" s="68"/>
      <c r="AB39" s="68"/>
      <c r="AC39" s="68"/>
      <c r="AD39" s="62"/>
      <c r="AI39" s="68"/>
      <c r="AJ39" s="68"/>
      <c r="AK39" s="68"/>
      <c r="AL39" s="70"/>
      <c r="AM39" s="69"/>
      <c r="AN39" s="69"/>
      <c r="AO39" s="69"/>
      <c r="AP39" s="103"/>
      <c r="AQ39" s="65"/>
      <c r="AR39" s="65"/>
      <c r="AS39" s="65"/>
      <c r="AT39" s="65"/>
      <c r="AU39" s="44"/>
      <c r="AV39" s="65"/>
      <c r="AW39" s="44"/>
      <c r="AX39" s="65"/>
      <c r="AY39" s="65"/>
      <c r="AZ39" s="44"/>
      <c r="BA39" s="44"/>
      <c r="BB39" s="44"/>
      <c r="BC39" s="65"/>
      <c r="BD39" s="44"/>
      <c r="BE39" s="44"/>
      <c r="BF39" s="65"/>
      <c r="BG39" s="44"/>
      <c r="BH39" s="65"/>
      <c r="BI39" s="44"/>
      <c r="BJ39" s="65"/>
      <c r="BK39" s="65"/>
      <c r="BL39" s="44"/>
      <c r="BM39" s="44"/>
      <c r="BN39" s="44"/>
      <c r="BO39" s="68"/>
      <c r="BP39" s="68"/>
      <c r="BQ39" s="68"/>
      <c r="BR39" s="68"/>
      <c r="BS39" s="44"/>
      <c r="BT39" s="44"/>
      <c r="BU39" s="44"/>
      <c r="BV39" s="44"/>
      <c r="BW39" s="44"/>
      <c r="BX39" s="44"/>
      <c r="BY39" s="44"/>
      <c r="BZ39" s="44"/>
      <c r="CA39" s="44"/>
      <c r="CB39" s="44"/>
      <c r="CC39" s="44"/>
      <c r="CD39" s="44"/>
      <c r="CE39" s="44"/>
      <c r="CF39" s="44"/>
      <c r="CG39" s="44"/>
      <c r="CH39" s="44"/>
      <c r="CI39" s="44"/>
      <c r="CJ39" s="44"/>
      <c r="CK39" s="44"/>
      <c r="CL39" s="44"/>
      <c r="CM39" s="44"/>
      <c r="CN39" s="115"/>
      <c r="CO39" s="115"/>
      <c r="CP39" s="115"/>
      <c r="CQ39" s="115"/>
      <c r="CR39" s="115"/>
      <c r="CS39" s="115"/>
      <c r="CT39" s="115"/>
      <c r="CU39" s="115"/>
      <c r="CV39" s="115"/>
      <c r="CW39" s="115"/>
      <c r="CX39" s="115"/>
      <c r="CY39" s="115"/>
      <c r="CZ39" s="115"/>
      <c r="DA39" s="115"/>
      <c r="DB39" s="115">
        <v>73</v>
      </c>
      <c r="DC39" s="115">
        <v>71</v>
      </c>
      <c r="DD39" s="115">
        <v>77</v>
      </c>
      <c r="DE39" s="115">
        <v>85</v>
      </c>
      <c r="DF39" s="115">
        <v>96</v>
      </c>
      <c r="DG39" s="115">
        <v>84</v>
      </c>
      <c r="DH39" s="115">
        <v>92</v>
      </c>
      <c r="DI39" s="115"/>
      <c r="DJ39" s="115"/>
      <c r="DK39" s="115"/>
      <c r="DL39" s="115"/>
      <c r="DM39" s="115"/>
      <c r="DN39" s="115"/>
      <c r="DO39" s="115"/>
      <c r="DP39" s="44"/>
      <c r="DQ39" s="44"/>
      <c r="DU39" s="68"/>
      <c r="DV39" s="68"/>
      <c r="DW39" s="68"/>
      <c r="DX39" s="68"/>
      <c r="DY39" s="68"/>
      <c r="DZ39" s="68"/>
      <c r="EA39" s="68"/>
      <c r="EB39" s="68"/>
      <c r="EC39" s="68"/>
      <c r="ED39" s="68"/>
      <c r="EF39" s="44"/>
      <c r="EG39" s="44"/>
      <c r="EH39" s="44"/>
      <c r="EI39" s="44"/>
      <c r="EJ39" s="44"/>
      <c r="EK39" s="65"/>
      <c r="EY39" s="44">
        <f t="shared" si="6"/>
        <v>329</v>
      </c>
      <c r="EZ39" s="44">
        <f>+EY39*1.1</f>
        <v>361.90000000000003</v>
      </c>
      <c r="FA39" s="44">
        <f t="shared" ref="FA39:FD39" si="67">+EZ39*1.1</f>
        <v>398.09000000000009</v>
      </c>
      <c r="FB39" s="44">
        <f t="shared" si="67"/>
        <v>437.89900000000011</v>
      </c>
      <c r="FC39" s="44">
        <f t="shared" si="67"/>
        <v>481.68890000000016</v>
      </c>
      <c r="FD39" s="44">
        <f t="shared" si="67"/>
        <v>529.85779000000025</v>
      </c>
      <c r="FE39" s="44">
        <f t="shared" si="66"/>
        <v>476.87201100000021</v>
      </c>
      <c r="FF39" s="44">
        <f t="shared" si="66"/>
        <v>429.18480990000018</v>
      </c>
      <c r="FG39" s="44">
        <f t="shared" si="66"/>
        <v>386.26632891000014</v>
      </c>
      <c r="FH39" s="44">
        <f t="shared" si="66"/>
        <v>347.63969601900016</v>
      </c>
      <c r="FI39" s="44">
        <f t="shared" si="66"/>
        <v>312.87572641710017</v>
      </c>
      <c r="FJ39" s="44">
        <f t="shared" si="66"/>
        <v>281.58815377539014</v>
      </c>
      <c r="FK39" s="44">
        <f t="shared" si="66"/>
        <v>253.42933839785113</v>
      </c>
      <c r="FU39" s="14"/>
    </row>
    <row r="40" spans="2:177">
      <c r="B40" s="14" t="s">
        <v>1369</v>
      </c>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E40" s="44"/>
      <c r="AF40" s="44"/>
      <c r="AG40" s="44"/>
      <c r="AH40" s="44"/>
      <c r="AI40" s="62"/>
      <c r="AK40" s="62"/>
      <c r="AL40" s="103"/>
      <c r="AM40" s="103"/>
      <c r="AN40" s="103"/>
      <c r="AO40" s="103"/>
      <c r="AP40" s="103"/>
      <c r="AQ40" s="70"/>
      <c r="AR40" s="70"/>
      <c r="AS40" s="70"/>
      <c r="AT40" s="70"/>
      <c r="AU40" s="68"/>
      <c r="AV40" s="65"/>
      <c r="AW40" s="44"/>
      <c r="AX40" s="70"/>
      <c r="AY40" s="75"/>
      <c r="AZ40" s="44"/>
      <c r="BA40" s="44"/>
      <c r="BB40" s="44"/>
      <c r="BC40" s="65"/>
      <c r="BD40" s="44"/>
      <c r="BE40" s="44"/>
      <c r="BF40" s="65"/>
      <c r="BG40" s="44"/>
      <c r="BH40" s="65"/>
      <c r="BI40" s="44"/>
      <c r="BJ40" s="65"/>
      <c r="BK40" s="65"/>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v>0</v>
      </c>
      <c r="CL40" s="44">
        <v>0</v>
      </c>
      <c r="CM40" s="44">
        <v>0</v>
      </c>
      <c r="CN40" s="115">
        <v>0</v>
      </c>
      <c r="CO40" s="115">
        <v>0</v>
      </c>
      <c r="CP40" s="115">
        <v>0</v>
      </c>
      <c r="CQ40" s="115">
        <v>0</v>
      </c>
      <c r="CR40" s="115">
        <v>0</v>
      </c>
      <c r="CS40" s="115">
        <v>21</v>
      </c>
      <c r="CT40" s="115">
        <v>29</v>
      </c>
      <c r="CU40" s="115">
        <v>32</v>
      </c>
      <c r="CV40" s="115">
        <v>37</v>
      </c>
      <c r="CW40" s="115">
        <v>54</v>
      </c>
      <c r="CX40" s="115">
        <v>56</v>
      </c>
      <c r="CY40" s="115">
        <v>67</v>
      </c>
      <c r="CZ40" s="115">
        <v>58</v>
      </c>
      <c r="DA40" s="115">
        <v>73</v>
      </c>
      <c r="DB40" s="115">
        <v>72</v>
      </c>
      <c r="DC40" s="115"/>
      <c r="DD40" s="115">
        <v>83</v>
      </c>
      <c r="DE40" s="115">
        <v>18</v>
      </c>
      <c r="DF40" s="115">
        <v>4</v>
      </c>
      <c r="DG40" s="115"/>
      <c r="DH40" s="115"/>
      <c r="DI40" s="115"/>
      <c r="DJ40" s="115"/>
      <c r="DK40" s="115"/>
      <c r="DL40" s="115"/>
      <c r="DM40" s="115"/>
      <c r="DN40" s="115"/>
      <c r="DO40" s="115"/>
      <c r="DP40" s="44"/>
      <c r="DQ40" s="44"/>
      <c r="DU40" s="68"/>
      <c r="DV40" s="68"/>
      <c r="DW40" s="68"/>
      <c r="DX40" s="68"/>
      <c r="DY40" s="68"/>
      <c r="DZ40" s="68"/>
      <c r="EA40" s="68"/>
      <c r="EB40" s="68"/>
      <c r="EC40" s="68"/>
      <c r="ED40" s="68"/>
      <c r="EE40" s="68"/>
      <c r="EF40" s="68"/>
      <c r="EG40" s="68"/>
      <c r="EH40" s="68"/>
      <c r="EI40" s="68"/>
      <c r="EJ40" s="68"/>
      <c r="EK40" s="65"/>
      <c r="EU40" s="44">
        <f t="shared" si="11"/>
        <v>0</v>
      </c>
      <c r="EV40" s="44">
        <f t="shared" si="3"/>
        <v>50</v>
      </c>
      <c r="EW40" s="44">
        <f t="shared" si="4"/>
        <v>179</v>
      </c>
      <c r="EX40" s="44">
        <f t="shared" si="5"/>
        <v>270</v>
      </c>
      <c r="EY40" s="44">
        <f t="shared" si="6"/>
        <v>105</v>
      </c>
      <c r="EZ40" s="44">
        <f>+EY40*1.01</f>
        <v>106.05</v>
      </c>
      <c r="FA40" s="44">
        <f t="shared" ref="FA40:FK40" si="68">+EZ40*1.01</f>
        <v>107.1105</v>
      </c>
      <c r="FB40" s="44">
        <f t="shared" si="68"/>
        <v>108.181605</v>
      </c>
      <c r="FC40" s="44">
        <f t="shared" si="68"/>
        <v>109.26342105000001</v>
      </c>
      <c r="FD40" s="44">
        <f t="shared" si="68"/>
        <v>110.3560552605</v>
      </c>
      <c r="FE40" s="44">
        <f t="shared" si="68"/>
        <v>111.459615813105</v>
      </c>
      <c r="FF40" s="44">
        <f t="shared" si="68"/>
        <v>112.57421197123605</v>
      </c>
      <c r="FG40" s="44">
        <f t="shared" si="68"/>
        <v>113.69995409094841</v>
      </c>
      <c r="FH40" s="44">
        <f t="shared" si="68"/>
        <v>114.8369536318579</v>
      </c>
      <c r="FI40" s="44">
        <f t="shared" si="68"/>
        <v>115.98532316817648</v>
      </c>
      <c r="FJ40" s="44">
        <f t="shared" si="68"/>
        <v>117.14517639985824</v>
      </c>
      <c r="FK40" s="44">
        <f t="shared" si="68"/>
        <v>118.31662816385683</v>
      </c>
      <c r="FU40" s="14"/>
    </row>
    <row r="41" spans="2:177" s="20" customFormat="1">
      <c r="B41" s="111" t="s">
        <v>1374</v>
      </c>
      <c r="C41" s="68"/>
      <c r="D41" s="68"/>
      <c r="E41" s="68"/>
      <c r="F41" s="68"/>
      <c r="G41" s="68"/>
      <c r="H41" s="68"/>
      <c r="I41" s="68"/>
      <c r="J41" s="68"/>
      <c r="K41" s="68"/>
      <c r="L41" s="68"/>
      <c r="M41" s="68"/>
      <c r="N41" s="68"/>
      <c r="O41" s="68"/>
      <c r="P41" s="68"/>
      <c r="Q41" s="68"/>
      <c r="R41" s="68"/>
      <c r="S41" s="68"/>
      <c r="T41" s="68"/>
      <c r="U41" s="68"/>
      <c r="V41" s="68"/>
      <c r="W41" s="68"/>
      <c r="X41" s="68"/>
      <c r="Y41" s="68"/>
      <c r="Z41" s="68"/>
      <c r="AA41" s="44"/>
      <c r="AB41" s="44"/>
      <c r="AC41" s="44"/>
      <c r="AD41" s="44"/>
      <c r="AE41" s="44"/>
      <c r="AF41" s="44"/>
      <c r="AG41" s="44"/>
      <c r="AH41" s="44"/>
      <c r="AI41" s="68"/>
      <c r="AJ41" s="44"/>
      <c r="AK41" s="44"/>
      <c r="AL41" s="44"/>
      <c r="AM41" s="65"/>
      <c r="AN41" s="65"/>
      <c r="AO41" s="65"/>
      <c r="AP41" s="70"/>
      <c r="AQ41" s="65"/>
      <c r="AR41" s="65"/>
      <c r="AS41" s="65"/>
      <c r="AT41" s="65"/>
      <c r="AU41" s="73"/>
      <c r="AV41" s="75"/>
      <c r="AW41" s="44"/>
      <c r="AX41" s="44"/>
      <c r="AY41" s="75"/>
      <c r="AZ41" s="73"/>
      <c r="BA41" s="73"/>
      <c r="BB41" s="73"/>
      <c r="BC41" s="65"/>
      <c r="BD41" s="44"/>
      <c r="BE41" s="44"/>
      <c r="BF41" s="65"/>
      <c r="BG41" s="44"/>
      <c r="BH41" s="65"/>
      <c r="BI41" s="44"/>
      <c r="BJ41" s="65"/>
      <c r="BK41" s="65"/>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v>117</v>
      </c>
      <c r="CL41" s="44">
        <v>125</v>
      </c>
      <c r="CM41" s="44">
        <v>106</v>
      </c>
      <c r="CN41" s="115">
        <v>108</v>
      </c>
      <c r="CO41" s="115">
        <v>104</v>
      </c>
      <c r="CP41" s="115">
        <v>107</v>
      </c>
      <c r="CQ41" s="115">
        <v>89</v>
      </c>
      <c r="CR41" s="115">
        <v>91</v>
      </c>
      <c r="CS41" s="115">
        <v>92</v>
      </c>
      <c r="CT41" s="115">
        <v>97</v>
      </c>
      <c r="CU41" s="115">
        <v>89</v>
      </c>
      <c r="CV41" s="115">
        <v>77</v>
      </c>
      <c r="CW41" s="115">
        <v>69</v>
      </c>
      <c r="CX41" s="115">
        <v>69</v>
      </c>
      <c r="CY41" s="115">
        <v>66</v>
      </c>
      <c r="CZ41" s="115">
        <v>64</v>
      </c>
      <c r="DA41" s="115">
        <v>58</v>
      </c>
      <c r="DB41" s="115">
        <v>52</v>
      </c>
      <c r="DC41" s="115"/>
      <c r="DD41" s="115">
        <v>56</v>
      </c>
      <c r="DE41" s="115">
        <v>61</v>
      </c>
      <c r="DF41" s="115">
        <v>52</v>
      </c>
      <c r="DG41" s="115"/>
      <c r="DH41" s="115"/>
      <c r="DI41" s="115"/>
      <c r="DJ41" s="115"/>
      <c r="DK41" s="115"/>
      <c r="DL41" s="115"/>
      <c r="DM41" s="115"/>
      <c r="DN41" s="115"/>
      <c r="DO41" s="115"/>
      <c r="DP41" s="44"/>
      <c r="DQ41" s="44"/>
      <c r="DU41" s="68"/>
      <c r="DV41" s="68"/>
      <c r="DW41" s="68"/>
      <c r="DX41" s="68"/>
      <c r="DY41" s="68"/>
      <c r="DZ41" s="68"/>
      <c r="EA41" s="68"/>
      <c r="EB41" s="68"/>
      <c r="EC41" s="68"/>
      <c r="ED41" s="68"/>
      <c r="EE41" s="68"/>
      <c r="EF41" s="68"/>
      <c r="EG41" s="68"/>
      <c r="EH41" s="73"/>
      <c r="EI41" s="73"/>
      <c r="EJ41" s="73"/>
      <c r="EK41" s="75"/>
      <c r="EL41" s="44"/>
      <c r="EM41" s="44"/>
      <c r="EN41" s="44"/>
      <c r="EO41" s="44"/>
      <c r="EP41" s="44"/>
      <c r="EQ41" s="44"/>
      <c r="ER41" s="44"/>
      <c r="ES41" s="44"/>
      <c r="ET41" s="44"/>
      <c r="EU41" s="44">
        <f t="shared" si="11"/>
        <v>425</v>
      </c>
      <c r="EV41" s="44">
        <f t="shared" si="3"/>
        <v>369</v>
      </c>
      <c r="EW41" s="44">
        <f t="shared" si="4"/>
        <v>304</v>
      </c>
      <c r="EX41" s="44">
        <f t="shared" si="5"/>
        <v>240</v>
      </c>
      <c r="EY41" s="44">
        <f t="shared" si="6"/>
        <v>169</v>
      </c>
      <c r="EZ41" s="44">
        <f t="shared" ref="EZ41:FK41" si="69">+EY41*1.01</f>
        <v>170.69</v>
      </c>
      <c r="FA41" s="44">
        <f t="shared" si="69"/>
        <v>172.39689999999999</v>
      </c>
      <c r="FB41" s="44">
        <f t="shared" si="69"/>
        <v>174.120869</v>
      </c>
      <c r="FC41" s="44">
        <f t="shared" si="69"/>
        <v>175.86207769000001</v>
      </c>
      <c r="FD41" s="44">
        <f t="shared" si="69"/>
        <v>177.6206984669</v>
      </c>
      <c r="FE41" s="44">
        <f t="shared" si="69"/>
        <v>179.39690545156898</v>
      </c>
      <c r="FF41" s="44">
        <f t="shared" si="69"/>
        <v>181.19087450608467</v>
      </c>
      <c r="FG41" s="44">
        <f t="shared" si="69"/>
        <v>183.00278325114553</v>
      </c>
      <c r="FH41" s="44">
        <f t="shared" si="69"/>
        <v>184.83281108365699</v>
      </c>
      <c r="FI41" s="44">
        <f t="shared" si="69"/>
        <v>186.68113919449357</v>
      </c>
      <c r="FJ41" s="44">
        <f t="shared" si="69"/>
        <v>188.5479505864385</v>
      </c>
      <c r="FK41" s="44">
        <f t="shared" si="69"/>
        <v>190.4334300923029</v>
      </c>
      <c r="FL41" s="44"/>
      <c r="FM41" s="44"/>
      <c r="FN41" s="44"/>
      <c r="FO41" s="44"/>
      <c r="FP41" s="44"/>
      <c r="FQ41" s="81"/>
      <c r="FR41" s="44"/>
      <c r="FS41" s="82"/>
      <c r="FT41" s="44"/>
      <c r="FU41" s="111"/>
    </row>
    <row r="42" spans="2:177">
      <c r="B42" s="4" t="s">
        <v>676</v>
      </c>
      <c r="C42" s="62"/>
      <c r="D42" s="62"/>
      <c r="E42" s="62"/>
      <c r="F42" s="62"/>
      <c r="G42" s="62" t="s">
        <v>605</v>
      </c>
      <c r="H42" s="62" t="s">
        <v>605</v>
      </c>
      <c r="I42" s="62" t="s">
        <v>605</v>
      </c>
      <c r="J42" s="62" t="s">
        <v>605</v>
      </c>
      <c r="K42" s="62" t="s">
        <v>605</v>
      </c>
      <c r="L42" s="62" t="s">
        <v>605</v>
      </c>
      <c r="M42" s="62" t="s">
        <v>605</v>
      </c>
      <c r="N42" s="62" t="s">
        <v>605</v>
      </c>
      <c r="O42" s="62" t="s">
        <v>605</v>
      </c>
      <c r="P42" s="62" t="s">
        <v>605</v>
      </c>
      <c r="Q42" s="62" t="s">
        <v>605</v>
      </c>
      <c r="R42" s="62" t="s">
        <v>605</v>
      </c>
      <c r="S42" s="62" t="s">
        <v>605</v>
      </c>
      <c r="T42" s="62" t="s">
        <v>605</v>
      </c>
      <c r="U42" s="62" t="s">
        <v>605</v>
      </c>
      <c r="V42" s="62" t="s">
        <v>605</v>
      </c>
      <c r="W42" s="62" t="s">
        <v>605</v>
      </c>
      <c r="X42" s="62" t="s">
        <v>605</v>
      </c>
      <c r="Y42" s="37">
        <v>12</v>
      </c>
      <c r="Z42" s="37">
        <v>29</v>
      </c>
      <c r="AA42" s="37">
        <f>18+17</f>
        <v>35</v>
      </c>
      <c r="AB42" s="37">
        <f>20+26</f>
        <v>46</v>
      </c>
      <c r="AC42" s="37">
        <f>26+31</f>
        <v>57</v>
      </c>
      <c r="AD42" s="37">
        <f>28+34</f>
        <v>62</v>
      </c>
      <c r="AE42" s="44">
        <f>27+37</f>
        <v>64</v>
      </c>
      <c r="AF42" s="44">
        <f>30+41</f>
        <v>71</v>
      </c>
      <c r="AG42" s="44">
        <f>29+40</f>
        <v>69</v>
      </c>
      <c r="AH42" s="44">
        <f>33+50</f>
        <v>83</v>
      </c>
      <c r="AI42" s="68">
        <f>34+54</f>
        <v>88</v>
      </c>
      <c r="AJ42" s="44">
        <f>31+60</f>
        <v>91</v>
      </c>
      <c r="AK42" s="44">
        <v>106</v>
      </c>
      <c r="AL42" s="65">
        <v>112</v>
      </c>
      <c r="AM42" s="65">
        <v>117</v>
      </c>
      <c r="AN42" s="69">
        <v>118</v>
      </c>
      <c r="AO42" s="69">
        <v>132</v>
      </c>
      <c r="AP42" s="103">
        <v>148</v>
      </c>
      <c r="AQ42" s="65">
        <v>148</v>
      </c>
      <c r="AR42" s="65">
        <v>145</v>
      </c>
      <c r="AS42" s="65">
        <v>162</v>
      </c>
      <c r="AT42" s="65">
        <v>177</v>
      </c>
      <c r="AU42" s="44">
        <f>53+118</f>
        <v>171</v>
      </c>
      <c r="AV42" s="65">
        <f>55+132</f>
        <v>187</v>
      </c>
      <c r="AW42" s="44">
        <v>189</v>
      </c>
      <c r="AX42" s="65">
        <v>196</v>
      </c>
      <c r="AY42" s="65">
        <v>179</v>
      </c>
      <c r="AZ42" s="44">
        <v>180</v>
      </c>
      <c r="BA42" s="44">
        <v>196</v>
      </c>
      <c r="BB42" s="44">
        <v>243</v>
      </c>
      <c r="BC42" s="65">
        <f>60+128</f>
        <v>188</v>
      </c>
      <c r="BD42" s="44">
        <v>207</v>
      </c>
      <c r="BE42" s="44">
        <v>200</v>
      </c>
      <c r="BF42" s="65">
        <v>230</v>
      </c>
      <c r="BG42" s="44">
        <v>195</v>
      </c>
      <c r="BH42" s="65">
        <v>192</v>
      </c>
      <c r="BI42" s="44">
        <v>171</v>
      </c>
      <c r="BJ42" s="65">
        <v>189</v>
      </c>
      <c r="BK42" s="65">
        <v>178</v>
      </c>
      <c r="BL42" s="44">
        <v>178</v>
      </c>
      <c r="BM42" s="44">
        <v>187</v>
      </c>
      <c r="BN42" s="44">
        <v>211</v>
      </c>
      <c r="BO42" s="44">
        <v>187</v>
      </c>
      <c r="BP42" s="44">
        <v>177</v>
      </c>
      <c r="BQ42" s="44">
        <v>193</v>
      </c>
      <c r="BR42" s="44">
        <v>218</v>
      </c>
      <c r="BS42" s="44">
        <v>177</v>
      </c>
      <c r="BT42" s="44">
        <v>221</v>
      </c>
      <c r="BU42" s="44">
        <f t="shared" ref="BU42:BV46" si="70">+BQ42</f>
        <v>193</v>
      </c>
      <c r="BV42" s="44">
        <f t="shared" si="70"/>
        <v>218</v>
      </c>
      <c r="BW42" s="44"/>
      <c r="BX42" s="44"/>
      <c r="BY42" s="44"/>
      <c r="BZ42" s="44"/>
      <c r="CA42" s="44"/>
      <c r="CB42" s="44"/>
      <c r="CC42" s="44"/>
      <c r="CD42" s="44"/>
      <c r="CE42" s="44"/>
      <c r="CF42" s="44"/>
      <c r="CG42" s="44"/>
      <c r="CH42" s="44"/>
      <c r="CI42" s="44"/>
      <c r="CJ42" s="44"/>
      <c r="CK42" s="44">
        <v>87</v>
      </c>
      <c r="CL42" s="44">
        <v>98</v>
      </c>
      <c r="CM42" s="44">
        <v>85</v>
      </c>
      <c r="CN42" s="115">
        <v>94</v>
      </c>
      <c r="CO42" s="115">
        <v>87</v>
      </c>
      <c r="CP42" s="115">
        <v>80</v>
      </c>
      <c r="CQ42" s="115">
        <v>74</v>
      </c>
      <c r="CR42" s="115">
        <v>75</v>
      </c>
      <c r="CS42" s="115">
        <v>52</v>
      </c>
      <c r="CT42" s="115">
        <v>69</v>
      </c>
      <c r="CU42" s="115">
        <v>80</v>
      </c>
      <c r="CV42" s="115">
        <v>72</v>
      </c>
      <c r="CW42" s="115">
        <v>51</v>
      </c>
      <c r="CX42" s="115">
        <v>63</v>
      </c>
      <c r="CY42" s="115">
        <v>65</v>
      </c>
      <c r="CZ42" s="115">
        <v>54</v>
      </c>
      <c r="DA42" s="115">
        <v>51</v>
      </c>
      <c r="DB42" s="115">
        <v>55</v>
      </c>
      <c r="DC42" s="115"/>
      <c r="DD42" s="115">
        <v>56</v>
      </c>
      <c r="DE42" s="115">
        <v>46</v>
      </c>
      <c r="DF42" s="115">
        <v>34</v>
      </c>
      <c r="DG42" s="115"/>
      <c r="DH42" s="115"/>
      <c r="DI42" s="115"/>
      <c r="DJ42" s="115"/>
      <c r="DK42" s="115"/>
      <c r="DL42" s="115"/>
      <c r="DM42" s="115"/>
      <c r="DN42" s="115"/>
      <c r="DO42" s="115"/>
      <c r="DP42" s="44"/>
      <c r="DQ42" s="44"/>
      <c r="DU42" s="68"/>
      <c r="DV42" s="68" t="s">
        <v>605</v>
      </c>
      <c r="DW42" s="68" t="s">
        <v>605</v>
      </c>
      <c r="DX42" s="68" t="s">
        <v>605</v>
      </c>
      <c r="DY42" s="68" t="s">
        <v>605</v>
      </c>
      <c r="DZ42" s="68" t="s">
        <v>605</v>
      </c>
      <c r="EA42" s="68" t="s">
        <v>605</v>
      </c>
      <c r="EB42" s="68" t="s">
        <v>605</v>
      </c>
      <c r="EC42" s="68" t="s">
        <v>605</v>
      </c>
      <c r="ED42" s="68">
        <f>SUM(W42:Z42)</f>
        <v>41</v>
      </c>
      <c r="EE42" s="68">
        <f>SUM(AA42:AD42)</f>
        <v>200</v>
      </c>
      <c r="EF42" s="68">
        <f>SUM(AE42:AH42)</f>
        <v>287</v>
      </c>
      <c r="EG42" s="44">
        <v>397</v>
      </c>
      <c r="EH42" s="44">
        <v>515</v>
      </c>
      <c r="EI42" s="44">
        <f>SUM(AQ42:AT42)</f>
        <v>632</v>
      </c>
      <c r="EJ42" s="44">
        <f>SUM(AU42:AX42)</f>
        <v>743</v>
      </c>
      <c r="EK42" s="65">
        <f>SUM(AY42:BB42)</f>
        <v>798</v>
      </c>
      <c r="EL42" s="44">
        <f>SUM(BC42:BF42)</f>
        <v>825</v>
      </c>
      <c r="EM42" s="44">
        <f>SUM(BG42:BJ42)</f>
        <v>747</v>
      </c>
      <c r="EN42" s="44">
        <f>SUM(BK42:BN42)</f>
        <v>754</v>
      </c>
      <c r="EO42" s="44">
        <f>SUM(BO42:BR42)</f>
        <v>775</v>
      </c>
      <c r="EP42" s="44">
        <f>SUM(BS42:BV42)</f>
        <v>809</v>
      </c>
      <c r="EQ42" s="44">
        <f>EP42*0.2</f>
        <v>161.80000000000001</v>
      </c>
      <c r="ER42" s="44">
        <f>EQ42*0.2</f>
        <v>32.360000000000007</v>
      </c>
      <c r="ES42" s="44">
        <f>ER42*0.2</f>
        <v>6.4720000000000013</v>
      </c>
      <c r="ET42" s="44">
        <f>ES42*0.2</f>
        <v>1.2944000000000004</v>
      </c>
      <c r="EU42" s="44">
        <f t="shared" si="11"/>
        <v>346</v>
      </c>
      <c r="EV42" s="44">
        <f t="shared" si="3"/>
        <v>270</v>
      </c>
      <c r="EW42" s="44">
        <f t="shared" si="4"/>
        <v>266</v>
      </c>
      <c r="EX42" s="44">
        <f t="shared" ref="EX42:EX80" si="71">SUM(CY42:DB42)</f>
        <v>225</v>
      </c>
      <c r="EY42" s="44">
        <f t="shared" si="6"/>
        <v>136</v>
      </c>
      <c r="EZ42" s="44">
        <f t="shared" ref="EZ42:FK42" si="72">+EY42*0.9</f>
        <v>122.4</v>
      </c>
      <c r="FA42" s="44">
        <f t="shared" si="72"/>
        <v>110.16000000000001</v>
      </c>
      <c r="FB42" s="44">
        <f t="shared" si="72"/>
        <v>99.144000000000005</v>
      </c>
      <c r="FC42" s="44">
        <f t="shared" si="72"/>
        <v>89.229600000000005</v>
      </c>
      <c r="FD42" s="44">
        <f t="shared" si="72"/>
        <v>80.306640000000002</v>
      </c>
      <c r="FE42" s="44">
        <f t="shared" si="72"/>
        <v>72.275976</v>
      </c>
      <c r="FF42" s="44">
        <f t="shared" si="72"/>
        <v>65.048378400000004</v>
      </c>
      <c r="FG42" s="44">
        <f t="shared" si="72"/>
        <v>58.543540560000004</v>
      </c>
      <c r="FH42" s="44">
        <f t="shared" si="72"/>
        <v>52.689186504000006</v>
      </c>
      <c r="FI42" s="44">
        <f t="shared" si="72"/>
        <v>47.420267853600009</v>
      </c>
      <c r="FJ42" s="44">
        <f t="shared" si="72"/>
        <v>42.678241068240013</v>
      </c>
      <c r="FK42" s="44">
        <f t="shared" si="72"/>
        <v>38.410416961416011</v>
      </c>
      <c r="FQ42" s="81">
        <f>EL42*0.7</f>
        <v>577.5</v>
      </c>
      <c r="FR42" s="44">
        <v>0</v>
      </c>
      <c r="FS42" s="82">
        <v>0</v>
      </c>
    </row>
    <row r="43" spans="2:177">
      <c r="B43" s="14" t="s">
        <v>713</v>
      </c>
      <c r="C43" s="68"/>
      <c r="D43" s="68"/>
      <c r="E43" s="68"/>
      <c r="F43" s="68"/>
      <c r="G43" s="68" t="s">
        <v>605</v>
      </c>
      <c r="H43" s="68" t="s">
        <v>605</v>
      </c>
      <c r="I43" s="68" t="s">
        <v>605</v>
      </c>
      <c r="J43" s="68" t="s">
        <v>605</v>
      </c>
      <c r="K43" s="68" t="s">
        <v>605</v>
      </c>
      <c r="L43" s="68" t="s">
        <v>605</v>
      </c>
      <c r="M43" s="68" t="s">
        <v>605</v>
      </c>
      <c r="N43" s="68" t="s">
        <v>605</v>
      </c>
      <c r="O43" s="68" t="s">
        <v>605</v>
      </c>
      <c r="P43" s="68" t="s">
        <v>605</v>
      </c>
      <c r="Q43" s="68" t="s">
        <v>605</v>
      </c>
      <c r="R43" s="68" t="s">
        <v>605</v>
      </c>
      <c r="S43" s="68" t="s">
        <v>605</v>
      </c>
      <c r="T43" s="68" t="s">
        <v>605</v>
      </c>
      <c r="U43" s="68" t="s">
        <v>605</v>
      </c>
      <c r="V43" s="68" t="s">
        <v>605</v>
      </c>
      <c r="W43" s="68" t="s">
        <v>605</v>
      </c>
      <c r="X43" s="68" t="s">
        <v>605</v>
      </c>
      <c r="Y43" s="68" t="s">
        <v>605</v>
      </c>
      <c r="Z43" s="62" t="s">
        <v>605</v>
      </c>
      <c r="AA43" s="68" t="s">
        <v>605</v>
      </c>
      <c r="AB43" s="68" t="s">
        <v>605</v>
      </c>
      <c r="AC43" s="68" t="s">
        <v>605</v>
      </c>
      <c r="AD43" s="62" t="s">
        <v>605</v>
      </c>
      <c r="AE43" s="37">
        <f>4+20</f>
        <v>24</v>
      </c>
      <c r="AH43" s="37">
        <v>49</v>
      </c>
      <c r="AI43" s="68">
        <f>20+35</f>
        <v>55</v>
      </c>
      <c r="AJ43" s="68">
        <f>18+40</f>
        <v>58</v>
      </c>
      <c r="AK43" s="68">
        <f>22+41</f>
        <v>63</v>
      </c>
      <c r="AL43" s="70">
        <v>71</v>
      </c>
      <c r="AM43" s="69">
        <v>70</v>
      </c>
      <c r="AN43" s="69">
        <v>75</v>
      </c>
      <c r="AO43" s="69">
        <v>84</v>
      </c>
      <c r="AP43" s="103">
        <v>91</v>
      </c>
      <c r="AQ43" s="65">
        <v>93</v>
      </c>
      <c r="AR43" s="65">
        <v>92</v>
      </c>
      <c r="AS43" s="65">
        <v>102</v>
      </c>
      <c r="AT43" s="65">
        <v>114</v>
      </c>
      <c r="AU43" s="44">
        <f>37+67</f>
        <v>104</v>
      </c>
      <c r="AV43" s="65">
        <f>32+85</f>
        <v>117</v>
      </c>
      <c r="AW43" s="44">
        <v>121</v>
      </c>
      <c r="AX43" s="65">
        <v>123</v>
      </c>
      <c r="AY43" s="65">
        <v>110</v>
      </c>
      <c r="AZ43" s="44">
        <v>114</v>
      </c>
      <c r="BA43" s="44">
        <v>123</v>
      </c>
      <c r="BB43" s="44">
        <v>136</v>
      </c>
      <c r="BC43" s="65">
        <f>42+86</f>
        <v>128</v>
      </c>
      <c r="BD43" s="44">
        <v>122</v>
      </c>
      <c r="BE43" s="44">
        <v>111</v>
      </c>
      <c r="BF43" s="65">
        <v>122</v>
      </c>
      <c r="BG43" s="44">
        <v>114</v>
      </c>
      <c r="BH43" s="65">
        <v>95</v>
      </c>
      <c r="BI43" s="44">
        <v>85</v>
      </c>
      <c r="BJ43" s="65">
        <v>67</v>
      </c>
      <c r="BK43" s="65">
        <v>56</v>
      </c>
      <c r="BL43" s="44">
        <v>55</v>
      </c>
      <c r="BM43" s="44">
        <v>51</v>
      </c>
      <c r="BN43" s="68">
        <v>48</v>
      </c>
      <c r="BO43" s="68">
        <v>51</v>
      </c>
      <c r="BP43" s="68" t="s">
        <v>605</v>
      </c>
      <c r="BQ43" s="68" t="s">
        <v>605</v>
      </c>
      <c r="BR43" s="68">
        <v>50</v>
      </c>
      <c r="BS43" s="44" t="s">
        <v>605</v>
      </c>
      <c r="BT43" s="44" t="s">
        <v>605</v>
      </c>
      <c r="BU43" s="44" t="str">
        <f t="shared" si="70"/>
        <v>-</v>
      </c>
      <c r="BV43" s="44">
        <f t="shared" si="70"/>
        <v>50</v>
      </c>
      <c r="BW43" s="44"/>
      <c r="BX43" s="44"/>
      <c r="BY43" s="44"/>
      <c r="BZ43" s="44"/>
      <c r="CA43" s="44"/>
      <c r="CB43" s="44"/>
      <c r="CC43" s="44"/>
      <c r="CD43" s="44"/>
      <c r="CE43" s="44"/>
      <c r="CF43" s="44"/>
      <c r="CG43" s="44"/>
      <c r="CH43" s="44"/>
      <c r="CI43" s="44"/>
      <c r="CJ43" s="44"/>
      <c r="CK43" s="44">
        <v>0</v>
      </c>
      <c r="CL43" s="44">
        <v>0</v>
      </c>
      <c r="CM43" s="44">
        <v>0</v>
      </c>
      <c r="CN43" s="115">
        <v>0</v>
      </c>
      <c r="CO43" s="115">
        <v>0</v>
      </c>
      <c r="CP43" s="115">
        <v>0</v>
      </c>
      <c r="CQ43" s="115">
        <v>0</v>
      </c>
      <c r="CR43" s="115">
        <v>0</v>
      </c>
      <c r="CS43" s="115">
        <v>35</v>
      </c>
      <c r="CT43" s="115">
        <v>41</v>
      </c>
      <c r="CU43" s="115">
        <v>52</v>
      </c>
      <c r="CV43" s="115">
        <v>51</v>
      </c>
      <c r="CW43" s="115">
        <v>56</v>
      </c>
      <c r="CX43" s="115">
        <v>53</v>
      </c>
      <c r="CY43" s="115">
        <v>62</v>
      </c>
      <c r="CZ43" s="115">
        <v>59</v>
      </c>
      <c r="DA43" s="115">
        <v>66</v>
      </c>
      <c r="DB43" s="115">
        <v>61</v>
      </c>
      <c r="DC43" s="115"/>
      <c r="DD43" s="115">
        <v>72</v>
      </c>
      <c r="DE43" s="115">
        <v>76</v>
      </c>
      <c r="DF43" s="115">
        <v>76</v>
      </c>
      <c r="DG43" s="115"/>
      <c r="DH43" s="115"/>
      <c r="DI43" s="115"/>
      <c r="DJ43" s="115"/>
      <c r="DK43" s="115"/>
      <c r="DL43" s="115"/>
      <c r="DM43" s="115"/>
      <c r="DN43" s="115"/>
      <c r="DO43" s="115"/>
      <c r="DP43" s="44"/>
      <c r="DQ43" s="44"/>
      <c r="DU43" s="68"/>
      <c r="DV43" s="68" t="s">
        <v>605</v>
      </c>
      <c r="DW43" s="68" t="s">
        <v>605</v>
      </c>
      <c r="DX43" s="68" t="s">
        <v>605</v>
      </c>
      <c r="DY43" s="68" t="s">
        <v>605</v>
      </c>
      <c r="DZ43" s="68" t="s">
        <v>605</v>
      </c>
      <c r="EA43" s="68" t="s">
        <v>605</v>
      </c>
      <c r="EB43" s="68" t="s">
        <v>605</v>
      </c>
      <c r="EC43" s="68" t="s">
        <v>605</v>
      </c>
      <c r="ED43" s="68" t="s">
        <v>605</v>
      </c>
      <c r="EE43" s="37">
        <v>50</v>
      </c>
      <c r="EF43" s="44">
        <v>143</v>
      </c>
      <c r="EG43" s="44">
        <v>247</v>
      </c>
      <c r="EH43" s="44">
        <v>320</v>
      </c>
      <c r="EI43" s="44">
        <f>SUM(AQ43:AT43)</f>
        <v>401</v>
      </c>
      <c r="EJ43" s="44">
        <f>SUM(AU43:AX43)</f>
        <v>465</v>
      </c>
      <c r="EK43" s="65">
        <f>SUM(AY43:BB43)</f>
        <v>483</v>
      </c>
      <c r="EL43" s="44">
        <f>SUM(BC43:BF43)</f>
        <v>483</v>
      </c>
      <c r="EM43" s="44">
        <f>EL43*0.5</f>
        <v>241.5</v>
      </c>
      <c r="EN43" s="44">
        <f>SUM(BK43:BN43)</f>
        <v>210</v>
      </c>
      <c r="EO43" s="44">
        <f>SUM(BO43:BR43)</f>
        <v>101</v>
      </c>
      <c r="EP43" s="44">
        <f>SUM(BS43:BV43)</f>
        <v>50</v>
      </c>
      <c r="EQ43" s="44">
        <f t="shared" ref="EQ43:ET43" si="73">EP43*0.9</f>
        <v>45</v>
      </c>
      <c r="ER43" s="44">
        <f t="shared" si="73"/>
        <v>40.5</v>
      </c>
      <c r="ES43" s="44">
        <f t="shared" si="73"/>
        <v>36.450000000000003</v>
      </c>
      <c r="ET43" s="44">
        <f t="shared" si="73"/>
        <v>32.805000000000007</v>
      </c>
      <c r="EU43" s="44">
        <f t="shared" si="11"/>
        <v>0</v>
      </c>
      <c r="EV43" s="44">
        <f t="shared" si="3"/>
        <v>76</v>
      </c>
      <c r="EW43" s="44">
        <f t="shared" si="4"/>
        <v>212</v>
      </c>
      <c r="EX43" s="44">
        <f t="shared" si="71"/>
        <v>248</v>
      </c>
      <c r="EY43" s="44">
        <f t="shared" si="6"/>
        <v>224</v>
      </c>
      <c r="EZ43" s="44">
        <f t="shared" ref="EZ43:FK43" si="74">+EY43*0.9</f>
        <v>201.6</v>
      </c>
      <c r="FA43" s="44">
        <f t="shared" si="74"/>
        <v>181.44</v>
      </c>
      <c r="FB43" s="44">
        <f t="shared" si="74"/>
        <v>163.29599999999999</v>
      </c>
      <c r="FC43" s="44">
        <f t="shared" si="74"/>
        <v>146.96639999999999</v>
      </c>
      <c r="FD43" s="44">
        <f t="shared" si="74"/>
        <v>132.26975999999999</v>
      </c>
      <c r="FE43" s="44">
        <f t="shared" si="74"/>
        <v>119.042784</v>
      </c>
      <c r="FF43" s="44">
        <f t="shared" si="74"/>
        <v>107.1385056</v>
      </c>
      <c r="FG43" s="44">
        <f t="shared" si="74"/>
        <v>96.424655040000005</v>
      </c>
      <c r="FH43" s="44">
        <f t="shared" si="74"/>
        <v>86.782189536000004</v>
      </c>
      <c r="FI43" s="44">
        <f t="shared" si="74"/>
        <v>78.103970582400009</v>
      </c>
      <c r="FJ43" s="44">
        <f t="shared" si="74"/>
        <v>70.29357352416001</v>
      </c>
      <c r="FK43" s="44">
        <f t="shared" si="74"/>
        <v>63.26421617174401</v>
      </c>
      <c r="FQ43" s="81">
        <f>EL43*0.5</f>
        <v>241.5</v>
      </c>
      <c r="FR43" s="44">
        <f>EQ43*0.2</f>
        <v>9</v>
      </c>
      <c r="FS43" s="82">
        <f>EV43*0.1</f>
        <v>7.6000000000000005</v>
      </c>
      <c r="FU43" s="14" t="s">
        <v>714</v>
      </c>
    </row>
    <row r="44" spans="2:177">
      <c r="B44" s="14" t="s">
        <v>1624</v>
      </c>
      <c r="C44" s="68"/>
      <c r="D44" s="68"/>
      <c r="E44" s="68"/>
      <c r="F44" s="68"/>
      <c r="G44" s="68"/>
      <c r="H44" s="68"/>
      <c r="I44" s="68"/>
      <c r="J44" s="68"/>
      <c r="K44" s="68"/>
      <c r="L44" s="68"/>
      <c r="M44" s="68"/>
      <c r="N44" s="68"/>
      <c r="O44" s="68"/>
      <c r="P44" s="68"/>
      <c r="Q44" s="68"/>
      <c r="R44" s="68"/>
      <c r="S44" s="68"/>
      <c r="T44" s="68"/>
      <c r="U44" s="68"/>
      <c r="V44" s="68"/>
      <c r="W44" s="68"/>
      <c r="X44" s="68"/>
      <c r="Y44" s="68"/>
      <c r="Z44" s="62"/>
      <c r="AA44" s="68"/>
      <c r="AB44" s="68"/>
      <c r="AC44" s="68"/>
      <c r="AD44" s="62"/>
      <c r="AI44" s="68"/>
      <c r="AJ44" s="68"/>
      <c r="AK44" s="68"/>
      <c r="AL44" s="70"/>
      <c r="AM44" s="69"/>
      <c r="AN44" s="69"/>
      <c r="AO44" s="69"/>
      <c r="AP44" s="103"/>
      <c r="AQ44" s="65"/>
      <c r="AR44" s="65"/>
      <c r="AS44" s="65"/>
      <c r="AT44" s="65"/>
      <c r="AU44" s="44"/>
      <c r="AV44" s="65"/>
      <c r="AW44" s="44"/>
      <c r="AX44" s="65"/>
      <c r="AY44" s="65"/>
      <c r="AZ44" s="44"/>
      <c r="BA44" s="44"/>
      <c r="BB44" s="44"/>
      <c r="BC44" s="65"/>
      <c r="BD44" s="44"/>
      <c r="BE44" s="44"/>
      <c r="BF44" s="65"/>
      <c r="BG44" s="44"/>
      <c r="BH44" s="65"/>
      <c r="BI44" s="44"/>
      <c r="BJ44" s="65"/>
      <c r="BK44" s="65"/>
      <c r="BL44" s="44"/>
      <c r="BM44" s="44"/>
      <c r="BN44" s="68"/>
      <c r="BO44" s="68"/>
      <c r="BP44" s="68"/>
      <c r="BQ44" s="68"/>
      <c r="BR44" s="68"/>
      <c r="BS44" s="44"/>
      <c r="BT44" s="44"/>
      <c r="BU44" s="44"/>
      <c r="BV44" s="44"/>
      <c r="BW44" s="44"/>
      <c r="BX44" s="44"/>
      <c r="BY44" s="44"/>
      <c r="BZ44" s="44"/>
      <c r="CA44" s="44"/>
      <c r="CB44" s="44"/>
      <c r="CC44" s="44"/>
      <c r="CD44" s="44"/>
      <c r="CE44" s="44"/>
      <c r="CF44" s="44"/>
      <c r="CG44" s="44"/>
      <c r="CH44" s="44"/>
      <c r="CI44" s="44"/>
      <c r="CJ44" s="44"/>
      <c r="CK44" s="44"/>
      <c r="CL44" s="44"/>
      <c r="CM44" s="44"/>
      <c r="CN44" s="115"/>
      <c r="CO44" s="115"/>
      <c r="CP44" s="115"/>
      <c r="CQ44" s="115"/>
      <c r="CR44" s="115"/>
      <c r="CS44" s="115"/>
      <c r="CT44" s="115"/>
      <c r="CU44" s="115"/>
      <c r="CV44" s="115"/>
      <c r="CW44" s="115"/>
      <c r="CX44" s="115"/>
      <c r="CY44" s="115"/>
      <c r="CZ44" s="115"/>
      <c r="DA44" s="115">
        <v>36</v>
      </c>
      <c r="DB44" s="115">
        <v>38</v>
      </c>
      <c r="DC44" s="115"/>
      <c r="DD44" s="115">
        <v>53</v>
      </c>
      <c r="DE44" s="115">
        <v>37</v>
      </c>
      <c r="DF44" s="115">
        <v>24</v>
      </c>
      <c r="DG44" s="115"/>
      <c r="DH44" s="115"/>
      <c r="DI44" s="115"/>
      <c r="DJ44" s="115"/>
      <c r="DK44" s="115"/>
      <c r="DL44" s="115"/>
      <c r="DM44" s="115"/>
      <c r="DN44" s="115"/>
      <c r="DO44" s="115"/>
      <c r="DP44" s="44"/>
      <c r="DQ44" s="44"/>
      <c r="DU44" s="68"/>
      <c r="DV44" s="68"/>
      <c r="DW44" s="68"/>
      <c r="DX44" s="68"/>
      <c r="DY44" s="68"/>
      <c r="DZ44" s="68"/>
      <c r="EA44" s="68"/>
      <c r="EB44" s="68"/>
      <c r="EC44" s="68"/>
      <c r="ED44" s="68"/>
      <c r="EF44" s="44"/>
      <c r="EG44" s="44"/>
      <c r="EH44" s="44"/>
      <c r="EI44" s="44"/>
      <c r="EJ44" s="44"/>
      <c r="EK44" s="65"/>
      <c r="EY44" s="44">
        <f t="shared" si="6"/>
        <v>114</v>
      </c>
      <c r="FU44" s="14"/>
    </row>
    <row r="45" spans="2:177">
      <c r="B45" s="14" t="s">
        <v>1625</v>
      </c>
      <c r="C45" s="68"/>
      <c r="D45" s="68"/>
      <c r="E45" s="68"/>
      <c r="F45" s="68"/>
      <c r="G45" s="68"/>
      <c r="H45" s="68"/>
      <c r="I45" s="68"/>
      <c r="J45" s="68"/>
      <c r="K45" s="68"/>
      <c r="L45" s="68"/>
      <c r="M45" s="68"/>
      <c r="N45" s="68"/>
      <c r="O45" s="68"/>
      <c r="P45" s="68"/>
      <c r="Q45" s="68"/>
      <c r="R45" s="68"/>
      <c r="S45" s="68"/>
      <c r="T45" s="68"/>
      <c r="U45" s="68"/>
      <c r="V45" s="68"/>
      <c r="W45" s="68"/>
      <c r="X45" s="68"/>
      <c r="Y45" s="68"/>
      <c r="Z45" s="62"/>
      <c r="AA45" s="68"/>
      <c r="AB45" s="68"/>
      <c r="AC45" s="68"/>
      <c r="AD45" s="62"/>
      <c r="AI45" s="68"/>
      <c r="AJ45" s="68"/>
      <c r="AK45" s="68"/>
      <c r="AL45" s="70"/>
      <c r="AM45" s="69"/>
      <c r="AN45" s="69"/>
      <c r="AO45" s="69"/>
      <c r="AP45" s="103"/>
      <c r="AQ45" s="65"/>
      <c r="AR45" s="65"/>
      <c r="AS45" s="65"/>
      <c r="AT45" s="65"/>
      <c r="AU45" s="44"/>
      <c r="AV45" s="65"/>
      <c r="AW45" s="44"/>
      <c r="AX45" s="65"/>
      <c r="AY45" s="65"/>
      <c r="AZ45" s="44"/>
      <c r="BA45" s="44"/>
      <c r="BB45" s="44"/>
      <c r="BC45" s="65"/>
      <c r="BD45" s="44"/>
      <c r="BE45" s="44"/>
      <c r="BF45" s="65"/>
      <c r="BG45" s="44"/>
      <c r="BH45" s="65"/>
      <c r="BI45" s="44"/>
      <c r="BJ45" s="65"/>
      <c r="BK45" s="65"/>
      <c r="BL45" s="44"/>
      <c r="BM45" s="44"/>
      <c r="BN45" s="68"/>
      <c r="BO45" s="68"/>
      <c r="BP45" s="68"/>
      <c r="BQ45" s="68"/>
      <c r="BR45" s="68"/>
      <c r="BS45" s="44"/>
      <c r="BT45" s="44"/>
      <c r="BU45" s="44"/>
      <c r="BV45" s="44"/>
      <c r="BW45" s="44"/>
      <c r="BX45" s="44"/>
      <c r="BY45" s="44"/>
      <c r="BZ45" s="44"/>
      <c r="CA45" s="44"/>
      <c r="CB45" s="44"/>
      <c r="CC45" s="44"/>
      <c r="CD45" s="44"/>
      <c r="CE45" s="44"/>
      <c r="CF45" s="44"/>
      <c r="CG45" s="44"/>
      <c r="CH45" s="44"/>
      <c r="CI45" s="44"/>
      <c r="CJ45" s="44"/>
      <c r="CK45" s="44"/>
      <c r="CL45" s="44"/>
      <c r="CM45" s="44"/>
      <c r="CN45" s="115"/>
      <c r="CO45" s="115"/>
      <c r="CP45" s="115"/>
      <c r="CQ45" s="115"/>
      <c r="CR45" s="115"/>
      <c r="CS45" s="115"/>
      <c r="CT45" s="115"/>
      <c r="CU45" s="115"/>
      <c r="CV45" s="115"/>
      <c r="CW45" s="115"/>
      <c r="CX45" s="115"/>
      <c r="CY45" s="115"/>
      <c r="CZ45" s="115"/>
      <c r="DA45" s="115">
        <v>41</v>
      </c>
      <c r="DB45" s="115">
        <v>41</v>
      </c>
      <c r="DC45" s="115"/>
      <c r="DD45" s="115">
        <v>54</v>
      </c>
      <c r="DE45" s="115">
        <v>40</v>
      </c>
      <c r="DF45" s="115">
        <v>54</v>
      </c>
      <c r="DG45" s="115"/>
      <c r="DH45" s="115"/>
      <c r="DI45" s="115"/>
      <c r="DJ45" s="115"/>
      <c r="DK45" s="115"/>
      <c r="DL45" s="115"/>
      <c r="DM45" s="115"/>
      <c r="DN45" s="115"/>
      <c r="DO45" s="115"/>
      <c r="DP45" s="44"/>
      <c r="DQ45" s="44"/>
      <c r="DU45" s="68"/>
      <c r="DV45" s="68"/>
      <c r="DW45" s="68"/>
      <c r="DX45" s="68"/>
      <c r="DY45" s="68"/>
      <c r="DZ45" s="68"/>
      <c r="EA45" s="68"/>
      <c r="EB45" s="68"/>
      <c r="EC45" s="68"/>
      <c r="ED45" s="68"/>
      <c r="EF45" s="44"/>
      <c r="EG45" s="44"/>
      <c r="EH45" s="44"/>
      <c r="EI45" s="44"/>
      <c r="EJ45" s="44"/>
      <c r="EK45" s="65"/>
      <c r="EY45" s="44">
        <f t="shared" si="6"/>
        <v>148</v>
      </c>
      <c r="FU45" s="14"/>
    </row>
    <row r="46" spans="2:177">
      <c r="B46" s="4" t="s">
        <v>372</v>
      </c>
      <c r="AE46" s="44"/>
      <c r="AF46" s="44"/>
      <c r="AG46" s="44"/>
      <c r="AH46" s="44"/>
      <c r="AI46" s="62"/>
      <c r="AM46" s="69"/>
      <c r="AP46" s="62"/>
      <c r="AQ46" s="44"/>
      <c r="AR46" s="44"/>
      <c r="AS46" s="44"/>
      <c r="AT46" s="44"/>
      <c r="AU46" s="44"/>
      <c r="AV46" s="65"/>
      <c r="AW46" s="44"/>
      <c r="AX46" s="44"/>
      <c r="AY46" s="44"/>
      <c r="AZ46" s="44"/>
      <c r="BA46" s="44"/>
      <c r="BB46" s="44"/>
      <c r="BC46" s="65"/>
      <c r="BD46" s="44"/>
      <c r="BE46" s="44"/>
      <c r="BF46" s="65">
        <v>43</v>
      </c>
      <c r="BG46" s="44"/>
      <c r="BH46" s="65">
        <v>46</v>
      </c>
      <c r="BI46" s="44">
        <v>49</v>
      </c>
      <c r="BJ46" s="65">
        <v>50</v>
      </c>
      <c r="BK46" s="65"/>
      <c r="BL46" s="44">
        <v>53</v>
      </c>
      <c r="BM46" s="44">
        <v>52</v>
      </c>
      <c r="BN46" s="44">
        <v>57</v>
      </c>
      <c r="BO46" s="68">
        <v>52</v>
      </c>
      <c r="BP46" s="68">
        <v>65</v>
      </c>
      <c r="BQ46" s="68">
        <v>57</v>
      </c>
      <c r="BR46" s="68">
        <v>62</v>
      </c>
      <c r="BS46" s="44">
        <v>63</v>
      </c>
      <c r="BT46" s="44">
        <v>79</v>
      </c>
      <c r="BU46" s="44">
        <f t="shared" si="70"/>
        <v>57</v>
      </c>
      <c r="BV46" s="44">
        <f t="shared" si="70"/>
        <v>62</v>
      </c>
      <c r="BW46" s="44"/>
      <c r="BX46" s="44"/>
      <c r="BY46" s="44"/>
      <c r="BZ46" s="44"/>
      <c r="CA46" s="44"/>
      <c r="CB46" s="44"/>
      <c r="CC46" s="44"/>
      <c r="CD46" s="44"/>
      <c r="CE46" s="44"/>
      <c r="CF46" s="44"/>
      <c r="CG46" s="44"/>
      <c r="CH46" s="44"/>
      <c r="CI46" s="44"/>
      <c r="CJ46" s="44"/>
      <c r="CK46" s="44">
        <v>67</v>
      </c>
      <c r="CL46" s="44">
        <v>74</v>
      </c>
      <c r="CM46" s="44">
        <v>60</v>
      </c>
      <c r="CN46" s="115">
        <v>65</v>
      </c>
      <c r="CO46" s="115">
        <v>61</v>
      </c>
      <c r="CP46" s="115">
        <v>64</v>
      </c>
      <c r="CQ46" s="115">
        <v>60</v>
      </c>
      <c r="CR46" s="115">
        <v>64</v>
      </c>
      <c r="CS46" s="115">
        <v>59</v>
      </c>
      <c r="CT46" s="115">
        <v>69</v>
      </c>
      <c r="CU46" s="115">
        <v>57</v>
      </c>
      <c r="CV46" s="115">
        <v>62</v>
      </c>
      <c r="CW46" s="115">
        <v>56</v>
      </c>
      <c r="CX46" s="115">
        <v>64</v>
      </c>
      <c r="CY46" s="115">
        <v>54</v>
      </c>
      <c r="CZ46" s="115">
        <v>45</v>
      </c>
      <c r="DA46" s="115">
        <v>30</v>
      </c>
      <c r="DB46" s="115">
        <v>16</v>
      </c>
      <c r="DC46" s="115"/>
      <c r="DD46" s="115"/>
      <c r="DE46" s="115"/>
      <c r="DF46" s="115"/>
      <c r="DG46" s="115"/>
      <c r="DH46" s="115"/>
      <c r="DI46" s="115"/>
      <c r="DJ46" s="115"/>
      <c r="DK46" s="115"/>
      <c r="DL46" s="115"/>
      <c r="DM46" s="115"/>
      <c r="DN46" s="115"/>
      <c r="DO46" s="115"/>
      <c r="DP46" s="44"/>
      <c r="DQ46" s="44"/>
      <c r="DU46" s="44"/>
      <c r="DV46" s="44"/>
      <c r="DW46" s="44"/>
      <c r="DX46" s="44"/>
      <c r="DY46" s="44"/>
      <c r="DZ46" s="44"/>
      <c r="EA46" s="44"/>
      <c r="EB46" s="44"/>
      <c r="EC46" s="44"/>
      <c r="ED46" s="44"/>
      <c r="EE46" s="44"/>
      <c r="EF46" s="44"/>
      <c r="EG46" s="44"/>
      <c r="EH46" s="44"/>
      <c r="EI46" s="44"/>
      <c r="EJ46" s="44">
        <v>0</v>
      </c>
      <c r="EK46" s="65"/>
      <c r="EP46" s="44">
        <f>SUM(BS46:BV46)</f>
        <v>261</v>
      </c>
      <c r="EQ46" s="44">
        <f>+EP46*0.9</f>
        <v>234.9</v>
      </c>
      <c r="ER46" s="44">
        <f t="shared" ref="ER46:ET46" si="75">+EQ46*0.9</f>
        <v>211.41</v>
      </c>
      <c r="ES46" s="44">
        <f t="shared" si="75"/>
        <v>190.26900000000001</v>
      </c>
      <c r="ET46" s="44">
        <f t="shared" si="75"/>
        <v>171.24210000000002</v>
      </c>
      <c r="EU46" s="44">
        <f t="shared" si="11"/>
        <v>250</v>
      </c>
      <c r="EV46" s="44">
        <f t="shared" si="3"/>
        <v>252</v>
      </c>
      <c r="EW46" s="44">
        <f t="shared" si="4"/>
        <v>239</v>
      </c>
      <c r="EX46" s="44">
        <f t="shared" si="71"/>
        <v>145</v>
      </c>
      <c r="EY46" s="44">
        <f t="shared" si="6"/>
        <v>0</v>
      </c>
      <c r="EZ46" s="44">
        <f>+EY46*0.9</f>
        <v>0</v>
      </c>
      <c r="FA46" s="44">
        <f t="shared" ref="FA46:FK46" si="76">+EZ46*0.9</f>
        <v>0</v>
      </c>
      <c r="FB46" s="44">
        <f t="shared" si="76"/>
        <v>0</v>
      </c>
      <c r="FC46" s="44">
        <f t="shared" si="76"/>
        <v>0</v>
      </c>
      <c r="FD46" s="44">
        <f t="shared" si="76"/>
        <v>0</v>
      </c>
      <c r="FE46" s="44">
        <f t="shared" si="76"/>
        <v>0</v>
      </c>
      <c r="FF46" s="44">
        <f t="shared" si="76"/>
        <v>0</v>
      </c>
      <c r="FG46" s="44">
        <f t="shared" si="76"/>
        <v>0</v>
      </c>
      <c r="FH46" s="44">
        <f t="shared" si="76"/>
        <v>0</v>
      </c>
      <c r="FI46" s="44">
        <f t="shared" si="76"/>
        <v>0</v>
      </c>
      <c r="FJ46" s="44">
        <f t="shared" si="76"/>
        <v>0</v>
      </c>
      <c r="FK46" s="44">
        <f t="shared" si="76"/>
        <v>0</v>
      </c>
      <c r="FS46" s="82">
        <f>+EV46*0.5</f>
        <v>126</v>
      </c>
      <c r="FU46" s="14" t="s">
        <v>727</v>
      </c>
    </row>
    <row r="47" spans="2:177">
      <c r="B47" s="14" t="s">
        <v>1370</v>
      </c>
      <c r="C47" s="68"/>
      <c r="D47" s="68"/>
      <c r="E47" s="68"/>
      <c r="F47" s="68"/>
      <c r="G47" s="68"/>
      <c r="H47" s="68"/>
      <c r="I47" s="68"/>
      <c r="J47" s="68"/>
      <c r="K47" s="68"/>
      <c r="L47" s="68"/>
      <c r="M47" s="68"/>
      <c r="N47" s="68"/>
      <c r="O47" s="68"/>
      <c r="P47" s="68"/>
      <c r="Q47" s="68"/>
      <c r="R47" s="68"/>
      <c r="S47" s="68"/>
      <c r="T47" s="68"/>
      <c r="U47" s="68"/>
      <c r="V47" s="68"/>
      <c r="W47" s="68"/>
      <c r="X47" s="68"/>
      <c r="Y47" s="68"/>
      <c r="Z47" s="62"/>
      <c r="AA47" s="68"/>
      <c r="AB47" s="68"/>
      <c r="AC47" s="68"/>
      <c r="AD47" s="62"/>
      <c r="AI47" s="68"/>
      <c r="AJ47" s="68"/>
      <c r="AK47" s="68"/>
      <c r="AL47" s="70"/>
      <c r="AM47" s="69"/>
      <c r="AN47" s="69"/>
      <c r="AO47" s="69"/>
      <c r="AP47" s="103"/>
      <c r="AQ47" s="65"/>
      <c r="AR47" s="65"/>
      <c r="AS47" s="65"/>
      <c r="AT47" s="65"/>
      <c r="AU47" s="44"/>
      <c r="AV47" s="65"/>
      <c r="AW47" s="44"/>
      <c r="AX47" s="65"/>
      <c r="AY47" s="65"/>
      <c r="AZ47" s="44"/>
      <c r="BA47" s="44"/>
      <c r="BB47" s="44"/>
      <c r="BC47" s="65"/>
      <c r="BD47" s="44"/>
      <c r="BE47" s="44"/>
      <c r="BF47" s="65"/>
      <c r="BG47" s="44"/>
      <c r="BH47" s="65"/>
      <c r="BI47" s="44"/>
      <c r="BJ47" s="65"/>
      <c r="BK47" s="65"/>
      <c r="BL47" s="44"/>
      <c r="BM47" s="44"/>
      <c r="BN47" s="68"/>
      <c r="BO47" s="68"/>
      <c r="BP47" s="68"/>
      <c r="BQ47" s="68"/>
      <c r="BR47" s="68"/>
      <c r="BS47" s="44"/>
      <c r="BT47" s="44"/>
      <c r="BU47" s="44"/>
      <c r="BV47" s="44"/>
      <c r="BW47" s="44"/>
      <c r="BX47" s="44"/>
      <c r="BY47" s="44"/>
      <c r="BZ47" s="44"/>
      <c r="CA47" s="44"/>
      <c r="CB47" s="44"/>
      <c r="CC47" s="44"/>
      <c r="CD47" s="44"/>
      <c r="CE47" s="44"/>
      <c r="CF47" s="44"/>
      <c r="CG47" s="44"/>
      <c r="CH47" s="44"/>
      <c r="CI47" s="44"/>
      <c r="CJ47" s="44"/>
      <c r="CK47" s="44">
        <v>0</v>
      </c>
      <c r="CL47" s="44">
        <v>0</v>
      </c>
      <c r="CM47" s="44">
        <v>0</v>
      </c>
      <c r="CN47" s="115">
        <v>0</v>
      </c>
      <c r="CO47" s="115">
        <v>0</v>
      </c>
      <c r="CP47" s="115">
        <v>0</v>
      </c>
      <c r="CQ47" s="115">
        <v>0</v>
      </c>
      <c r="CR47" s="115">
        <v>0</v>
      </c>
      <c r="CS47" s="115">
        <v>0</v>
      </c>
      <c r="CT47" s="115">
        <v>36</v>
      </c>
      <c r="CU47" s="115">
        <v>45</v>
      </c>
      <c r="CV47" s="115">
        <v>41</v>
      </c>
      <c r="CW47" s="115">
        <v>0</v>
      </c>
      <c r="CX47" s="115">
        <v>66</v>
      </c>
      <c r="CY47" s="115">
        <v>52</v>
      </c>
      <c r="CZ47" s="115">
        <v>46</v>
      </c>
      <c r="DA47" s="115">
        <v>51</v>
      </c>
      <c r="DB47" s="115">
        <v>54</v>
      </c>
      <c r="DC47" s="115"/>
      <c r="DD47" s="115">
        <v>33</v>
      </c>
      <c r="DE47" s="115">
        <v>0</v>
      </c>
      <c r="DF47" s="115">
        <v>23</v>
      </c>
      <c r="DG47" s="115"/>
      <c r="DH47" s="115"/>
      <c r="DI47" s="115"/>
      <c r="DJ47" s="115"/>
      <c r="DK47" s="115"/>
      <c r="DL47" s="115"/>
      <c r="DM47" s="115"/>
      <c r="DN47" s="115"/>
      <c r="DO47" s="115"/>
      <c r="DP47" s="44"/>
      <c r="DQ47" s="44"/>
      <c r="DU47" s="68"/>
      <c r="DV47" s="68"/>
      <c r="DW47" s="68"/>
      <c r="DX47" s="68"/>
      <c r="DY47" s="68"/>
      <c r="DZ47" s="68"/>
      <c r="EA47" s="68"/>
      <c r="EB47" s="68"/>
      <c r="EC47" s="68"/>
      <c r="ED47" s="68"/>
      <c r="EF47" s="44"/>
      <c r="EG47" s="44"/>
      <c r="EH47" s="44"/>
      <c r="EI47" s="44"/>
      <c r="EJ47" s="44"/>
      <c r="EK47" s="65"/>
      <c r="EU47" s="44">
        <f t="shared" si="11"/>
        <v>0</v>
      </c>
      <c r="EV47" s="44">
        <f t="shared" si="3"/>
        <v>36</v>
      </c>
      <c r="EW47" s="44">
        <f t="shared" si="4"/>
        <v>152</v>
      </c>
      <c r="EX47" s="44">
        <f t="shared" si="71"/>
        <v>203</v>
      </c>
      <c r="EY47" s="44">
        <f t="shared" si="6"/>
        <v>56</v>
      </c>
      <c r="EZ47" s="44">
        <f>+EY47*0.95</f>
        <v>53.199999999999996</v>
      </c>
      <c r="FA47" s="44">
        <f t="shared" ref="FA47:FK47" si="77">+EZ47*0.95</f>
        <v>50.539999999999992</v>
      </c>
      <c r="FB47" s="44">
        <f t="shared" si="77"/>
        <v>48.012999999999991</v>
      </c>
      <c r="FC47" s="44">
        <f t="shared" si="77"/>
        <v>45.612349999999992</v>
      </c>
      <c r="FD47" s="44">
        <f t="shared" si="77"/>
        <v>43.331732499999994</v>
      </c>
      <c r="FE47" s="44">
        <f t="shared" si="77"/>
        <v>41.165145874999993</v>
      </c>
      <c r="FF47" s="44">
        <f t="shared" si="77"/>
        <v>39.10688858124999</v>
      </c>
      <c r="FG47" s="44">
        <f t="shared" si="77"/>
        <v>37.151544152187491</v>
      </c>
      <c r="FH47" s="44">
        <f t="shared" si="77"/>
        <v>35.293966944578116</v>
      </c>
      <c r="FI47" s="44">
        <f t="shared" si="77"/>
        <v>33.529268597349208</v>
      </c>
      <c r="FJ47" s="44">
        <f t="shared" si="77"/>
        <v>31.852805167481748</v>
      </c>
      <c r="FK47" s="44">
        <f t="shared" si="77"/>
        <v>30.260164909107658</v>
      </c>
      <c r="FU47" s="14"/>
    </row>
    <row r="48" spans="2:177">
      <c r="B48" s="14" t="s">
        <v>1371</v>
      </c>
      <c r="C48" s="68"/>
      <c r="D48" s="68"/>
      <c r="E48" s="68"/>
      <c r="F48" s="68"/>
      <c r="G48" s="68"/>
      <c r="H48" s="68"/>
      <c r="I48" s="68"/>
      <c r="J48" s="68"/>
      <c r="K48" s="68"/>
      <c r="L48" s="68"/>
      <c r="M48" s="68"/>
      <c r="N48" s="68"/>
      <c r="O48" s="68"/>
      <c r="P48" s="68"/>
      <c r="Q48" s="68"/>
      <c r="R48" s="68"/>
      <c r="S48" s="68"/>
      <c r="T48" s="68"/>
      <c r="U48" s="68"/>
      <c r="V48" s="68"/>
      <c r="W48" s="68"/>
      <c r="X48" s="68"/>
      <c r="Y48" s="68"/>
      <c r="Z48" s="62"/>
      <c r="AA48" s="68"/>
      <c r="AB48" s="68"/>
      <c r="AC48" s="68"/>
      <c r="AD48" s="62"/>
      <c r="AI48" s="68"/>
      <c r="AJ48" s="68"/>
      <c r="AK48" s="68"/>
      <c r="AL48" s="70"/>
      <c r="AM48" s="69"/>
      <c r="AN48" s="69"/>
      <c r="AO48" s="69"/>
      <c r="AP48" s="103"/>
      <c r="AQ48" s="65"/>
      <c r="AR48" s="65"/>
      <c r="AS48" s="65"/>
      <c r="AT48" s="65"/>
      <c r="AU48" s="44"/>
      <c r="AV48" s="65"/>
      <c r="AW48" s="44"/>
      <c r="AX48" s="65"/>
      <c r="AY48" s="65"/>
      <c r="AZ48" s="44"/>
      <c r="BA48" s="44"/>
      <c r="BB48" s="44"/>
      <c r="BC48" s="65"/>
      <c r="BD48" s="44"/>
      <c r="BE48" s="44"/>
      <c r="BF48" s="65"/>
      <c r="BG48" s="44"/>
      <c r="BH48" s="65"/>
      <c r="BI48" s="44"/>
      <c r="BJ48" s="65"/>
      <c r="BK48" s="65"/>
      <c r="BL48" s="44"/>
      <c r="BM48" s="44"/>
      <c r="BN48" s="68"/>
      <c r="BO48" s="68"/>
      <c r="BP48" s="68"/>
      <c r="BQ48" s="68"/>
      <c r="BR48" s="68"/>
      <c r="BS48" s="44"/>
      <c r="BT48" s="44"/>
      <c r="BU48" s="44"/>
      <c r="BV48" s="44"/>
      <c r="BW48" s="44"/>
      <c r="BX48" s="44"/>
      <c r="BY48" s="44"/>
      <c r="BZ48" s="44"/>
      <c r="CA48" s="44"/>
      <c r="CB48" s="44"/>
      <c r="CC48" s="44"/>
      <c r="CD48" s="44"/>
      <c r="CE48" s="44"/>
      <c r="CF48" s="44"/>
      <c r="CG48" s="44"/>
      <c r="CH48" s="44"/>
      <c r="CI48" s="44"/>
      <c r="CJ48" s="44"/>
      <c r="CK48" s="44">
        <v>0</v>
      </c>
      <c r="CL48" s="44">
        <v>0</v>
      </c>
      <c r="CM48" s="44">
        <v>0</v>
      </c>
      <c r="CN48" s="115">
        <v>0</v>
      </c>
      <c r="CO48" s="115">
        <v>0</v>
      </c>
      <c r="CP48" s="115">
        <v>0</v>
      </c>
      <c r="CQ48" s="115">
        <v>0</v>
      </c>
      <c r="CR48" s="115">
        <v>0</v>
      </c>
      <c r="CS48" s="115">
        <v>44</v>
      </c>
      <c r="CT48" s="115">
        <v>48</v>
      </c>
      <c r="CU48" s="115">
        <v>50</v>
      </c>
      <c r="CV48" s="115">
        <v>45</v>
      </c>
      <c r="CW48" s="115">
        <v>50</v>
      </c>
      <c r="CX48" s="115">
        <v>47</v>
      </c>
      <c r="CY48" s="115">
        <v>51</v>
      </c>
      <c r="CZ48" s="115">
        <v>58</v>
      </c>
      <c r="DA48" s="115">
        <v>55</v>
      </c>
      <c r="DB48" s="115">
        <v>55</v>
      </c>
      <c r="DC48" s="115"/>
      <c r="DD48" s="115">
        <v>59</v>
      </c>
      <c r="DE48" s="115">
        <v>54</v>
      </c>
      <c r="DF48" s="115">
        <v>65</v>
      </c>
      <c r="DG48" s="115"/>
      <c r="DH48" s="115"/>
      <c r="DI48" s="115"/>
      <c r="DJ48" s="115"/>
      <c r="DK48" s="115"/>
      <c r="DL48" s="115"/>
      <c r="DM48" s="115"/>
      <c r="DN48" s="115"/>
      <c r="DO48" s="115"/>
      <c r="DP48" s="44"/>
      <c r="DQ48" s="44"/>
      <c r="DU48" s="68"/>
      <c r="DV48" s="68"/>
      <c r="DW48" s="68"/>
      <c r="DX48" s="68"/>
      <c r="DY48" s="68"/>
      <c r="DZ48" s="68"/>
      <c r="EA48" s="68"/>
      <c r="EB48" s="68"/>
      <c r="EC48" s="68"/>
      <c r="ED48" s="68"/>
      <c r="EF48" s="44"/>
      <c r="EG48" s="44"/>
      <c r="EH48" s="44"/>
      <c r="EI48" s="44"/>
      <c r="EJ48" s="44"/>
      <c r="EK48" s="65"/>
      <c r="EU48" s="44">
        <f t="shared" si="11"/>
        <v>0</v>
      </c>
      <c r="EV48" s="44">
        <f t="shared" si="3"/>
        <v>92</v>
      </c>
      <c r="EW48" s="44">
        <f t="shared" si="4"/>
        <v>192</v>
      </c>
      <c r="EX48" s="44">
        <f t="shared" si="71"/>
        <v>219</v>
      </c>
      <c r="EY48" s="44">
        <f t="shared" si="6"/>
        <v>178</v>
      </c>
      <c r="EZ48" s="44">
        <f>+EY48*0.9</f>
        <v>160.20000000000002</v>
      </c>
      <c r="FA48" s="44">
        <f t="shared" ref="FA48:FK48" si="78">+EZ48*0.9</f>
        <v>144.18</v>
      </c>
      <c r="FB48" s="44">
        <f t="shared" si="78"/>
        <v>129.762</v>
      </c>
      <c r="FC48" s="44">
        <f t="shared" si="78"/>
        <v>116.78580000000001</v>
      </c>
      <c r="FD48" s="44">
        <f t="shared" si="78"/>
        <v>105.10722000000001</v>
      </c>
      <c r="FE48" s="44">
        <f t="shared" si="78"/>
        <v>94.596498000000011</v>
      </c>
      <c r="FF48" s="44">
        <f t="shared" si="78"/>
        <v>85.136848200000017</v>
      </c>
      <c r="FG48" s="44">
        <f t="shared" si="78"/>
        <v>76.623163380000022</v>
      </c>
      <c r="FH48" s="44">
        <f t="shared" si="78"/>
        <v>68.960847042000026</v>
      </c>
      <c r="FI48" s="44">
        <f t="shared" si="78"/>
        <v>62.064762337800026</v>
      </c>
      <c r="FJ48" s="44">
        <f t="shared" si="78"/>
        <v>55.858286104020024</v>
      </c>
      <c r="FK48" s="44">
        <f t="shared" si="78"/>
        <v>50.27245749361802</v>
      </c>
      <c r="FU48" s="14"/>
    </row>
    <row r="49" spans="1:184">
      <c r="B49" s="14" t="s">
        <v>1372</v>
      </c>
      <c r="C49" s="68"/>
      <c r="D49" s="68"/>
      <c r="E49" s="68"/>
      <c r="F49" s="68"/>
      <c r="G49" s="68"/>
      <c r="H49" s="68"/>
      <c r="I49" s="68"/>
      <c r="J49" s="68"/>
      <c r="K49" s="68"/>
      <c r="L49" s="68"/>
      <c r="M49" s="68"/>
      <c r="N49" s="68"/>
      <c r="O49" s="68"/>
      <c r="P49" s="68"/>
      <c r="Q49" s="68"/>
      <c r="R49" s="68"/>
      <c r="S49" s="68"/>
      <c r="T49" s="68"/>
      <c r="U49" s="68"/>
      <c r="V49" s="68"/>
      <c r="W49" s="68"/>
      <c r="X49" s="68"/>
      <c r="Y49" s="68"/>
      <c r="Z49" s="62"/>
      <c r="AA49" s="68"/>
      <c r="AB49" s="68"/>
      <c r="AC49" s="68"/>
      <c r="AD49" s="62"/>
      <c r="AI49" s="68"/>
      <c r="AJ49" s="68"/>
      <c r="AK49" s="68"/>
      <c r="AL49" s="70"/>
      <c r="AM49" s="69"/>
      <c r="AN49" s="69"/>
      <c r="AO49" s="69"/>
      <c r="AP49" s="103"/>
      <c r="AQ49" s="65"/>
      <c r="AR49" s="65"/>
      <c r="AS49" s="65"/>
      <c r="AT49" s="65"/>
      <c r="AU49" s="44"/>
      <c r="AV49" s="65"/>
      <c r="AW49" s="44"/>
      <c r="AX49" s="65"/>
      <c r="AY49" s="65"/>
      <c r="AZ49" s="44"/>
      <c r="BA49" s="44"/>
      <c r="BB49" s="44"/>
      <c r="BC49" s="65"/>
      <c r="BD49" s="44"/>
      <c r="BE49" s="44"/>
      <c r="BF49" s="65"/>
      <c r="BG49" s="44"/>
      <c r="BH49" s="65"/>
      <c r="BI49" s="44"/>
      <c r="BJ49" s="65"/>
      <c r="BK49" s="65"/>
      <c r="BL49" s="44"/>
      <c r="BM49" s="44"/>
      <c r="BN49" s="68"/>
      <c r="BO49" s="68"/>
      <c r="BP49" s="68"/>
      <c r="BQ49" s="68"/>
      <c r="BR49" s="68"/>
      <c r="BS49" s="44"/>
      <c r="BT49" s="44"/>
      <c r="BU49" s="44"/>
      <c r="BV49" s="44"/>
      <c r="BW49" s="44"/>
      <c r="BX49" s="44"/>
      <c r="BY49" s="44"/>
      <c r="BZ49" s="44"/>
      <c r="CA49" s="44"/>
      <c r="CB49" s="44"/>
      <c r="CC49" s="44"/>
      <c r="CD49" s="44"/>
      <c r="CE49" s="44"/>
      <c r="CF49" s="44"/>
      <c r="CG49" s="44"/>
      <c r="CH49" s="44"/>
      <c r="CI49" s="44"/>
      <c r="CJ49" s="44"/>
      <c r="CK49" s="44">
        <v>0</v>
      </c>
      <c r="CL49" s="44">
        <v>0</v>
      </c>
      <c r="CM49" s="44">
        <v>0</v>
      </c>
      <c r="CN49" s="115">
        <v>0</v>
      </c>
      <c r="CO49" s="115">
        <v>0</v>
      </c>
      <c r="CP49" s="115">
        <v>30</v>
      </c>
      <c r="CQ49" s="115">
        <v>37</v>
      </c>
      <c r="CR49" s="115">
        <v>36</v>
      </c>
      <c r="CS49" s="115">
        <v>42</v>
      </c>
      <c r="CT49" s="115">
        <v>45</v>
      </c>
      <c r="CU49" s="115">
        <v>47</v>
      </c>
      <c r="CV49" s="115">
        <v>42</v>
      </c>
      <c r="CW49" s="115">
        <v>47</v>
      </c>
      <c r="CX49" s="115">
        <v>51</v>
      </c>
      <c r="CY49" s="115">
        <v>48</v>
      </c>
      <c r="CZ49" s="115">
        <v>51</v>
      </c>
      <c r="DA49" s="115">
        <v>58</v>
      </c>
      <c r="DB49" s="115">
        <v>37</v>
      </c>
      <c r="DC49" s="115">
        <v>103</v>
      </c>
      <c r="DD49" s="115">
        <v>50</v>
      </c>
      <c r="DE49" s="115">
        <v>56</v>
      </c>
      <c r="DF49" s="115">
        <v>57</v>
      </c>
      <c r="DG49" s="115">
        <v>116</v>
      </c>
      <c r="DH49" s="115">
        <v>148</v>
      </c>
      <c r="DI49" s="115"/>
      <c r="DJ49" s="115"/>
      <c r="DK49" s="115"/>
      <c r="DL49" s="115"/>
      <c r="DM49" s="115"/>
      <c r="DN49" s="115"/>
      <c r="DO49" s="115"/>
      <c r="DP49" s="44"/>
      <c r="DQ49" s="44"/>
      <c r="DU49" s="68"/>
      <c r="DV49" s="68"/>
      <c r="DW49" s="68"/>
      <c r="DX49" s="68"/>
      <c r="DY49" s="68"/>
      <c r="DZ49" s="68"/>
      <c r="EA49" s="68"/>
      <c r="EB49" s="68"/>
      <c r="EC49" s="68"/>
      <c r="ED49" s="68"/>
      <c r="EF49" s="44"/>
      <c r="EG49" s="44"/>
      <c r="EH49" s="44"/>
      <c r="EI49" s="44"/>
      <c r="EJ49" s="44"/>
      <c r="EK49" s="65"/>
      <c r="EU49" s="44">
        <f t="shared" si="11"/>
        <v>30</v>
      </c>
      <c r="EV49" s="44">
        <f t="shared" si="3"/>
        <v>160</v>
      </c>
      <c r="EW49" s="44">
        <f t="shared" si="4"/>
        <v>187</v>
      </c>
      <c r="EX49" s="44">
        <f t="shared" si="71"/>
        <v>194</v>
      </c>
      <c r="EY49" s="44">
        <f t="shared" si="6"/>
        <v>266</v>
      </c>
      <c r="EZ49" s="44">
        <f t="shared" ref="EZ49:FK49" si="79">+EY49*0.9</f>
        <v>239.4</v>
      </c>
      <c r="FA49" s="44">
        <f t="shared" si="79"/>
        <v>215.46</v>
      </c>
      <c r="FB49" s="44">
        <f t="shared" si="79"/>
        <v>193.91400000000002</v>
      </c>
      <c r="FC49" s="44">
        <f t="shared" si="79"/>
        <v>174.52260000000001</v>
      </c>
      <c r="FD49" s="44">
        <f t="shared" si="79"/>
        <v>157.07034000000002</v>
      </c>
      <c r="FE49" s="44">
        <f t="shared" si="79"/>
        <v>141.36330600000002</v>
      </c>
      <c r="FF49" s="44">
        <f t="shared" si="79"/>
        <v>127.22697540000003</v>
      </c>
      <c r="FG49" s="44">
        <f t="shared" si="79"/>
        <v>114.50427786000003</v>
      </c>
      <c r="FH49" s="44">
        <f t="shared" si="79"/>
        <v>103.05385007400002</v>
      </c>
      <c r="FI49" s="44">
        <f t="shared" si="79"/>
        <v>92.748465066600019</v>
      </c>
      <c r="FJ49" s="44">
        <f t="shared" si="79"/>
        <v>83.473618559940022</v>
      </c>
      <c r="FK49" s="44">
        <f t="shared" si="79"/>
        <v>75.126256703946027</v>
      </c>
      <c r="FU49" s="14"/>
    </row>
    <row r="50" spans="1:184">
      <c r="B50" s="14" t="s">
        <v>1359</v>
      </c>
      <c r="C50" s="62"/>
      <c r="D50" s="62"/>
      <c r="E50" s="62"/>
      <c r="F50" s="62"/>
      <c r="G50" s="62"/>
      <c r="H50" s="62"/>
      <c r="I50" s="62"/>
      <c r="J50" s="62"/>
      <c r="K50" s="62"/>
      <c r="L50" s="62"/>
      <c r="M50" s="62"/>
      <c r="N50" s="62"/>
      <c r="O50" s="62"/>
      <c r="P50" s="62"/>
      <c r="Q50" s="62"/>
      <c r="R50" s="62"/>
      <c r="S50" s="62"/>
      <c r="T50" s="62"/>
      <c r="U50" s="62"/>
      <c r="V50" s="62"/>
      <c r="W50" s="68"/>
      <c r="X50" s="68"/>
      <c r="Y50" s="68"/>
      <c r="Z50" s="68"/>
      <c r="AA50" s="44"/>
      <c r="AB50" s="44"/>
      <c r="AC50" s="44"/>
      <c r="AD50" s="44"/>
      <c r="AE50" s="44"/>
      <c r="AF50" s="44"/>
      <c r="AG50" s="44"/>
      <c r="AH50" s="44"/>
      <c r="AI50" s="68"/>
      <c r="AM50" s="69"/>
      <c r="AN50" s="69"/>
      <c r="AO50" s="69"/>
      <c r="AP50" s="103"/>
      <c r="AQ50" s="65"/>
      <c r="AR50" s="65"/>
      <c r="AS50" s="65"/>
      <c r="AT50" s="65"/>
      <c r="AU50" s="44"/>
      <c r="AV50" s="65"/>
      <c r="AW50" s="44"/>
      <c r="AX50" s="44"/>
      <c r="AY50" s="44"/>
      <c r="AZ50" s="44"/>
      <c r="BA50" s="44"/>
      <c r="BB50" s="44"/>
      <c r="BC50" s="65"/>
      <c r="BD50" s="44"/>
      <c r="BE50" s="44"/>
      <c r="BF50" s="65"/>
      <c r="BG50" s="44"/>
      <c r="BH50" s="65"/>
      <c r="BI50" s="44"/>
      <c r="BJ50" s="65"/>
      <c r="BK50" s="65"/>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v>57</v>
      </c>
      <c r="CL50" s="44">
        <v>22</v>
      </c>
      <c r="CM50" s="44">
        <v>0</v>
      </c>
      <c r="CN50" s="115">
        <v>0</v>
      </c>
      <c r="CO50" s="115">
        <v>64</v>
      </c>
      <c r="CP50" s="115">
        <v>23</v>
      </c>
      <c r="CQ50" s="115">
        <v>0</v>
      </c>
      <c r="CR50" s="115">
        <v>0</v>
      </c>
      <c r="CS50" s="115">
        <v>77</v>
      </c>
      <c r="CT50" s="115">
        <v>27</v>
      </c>
      <c r="CU50" s="115">
        <v>53</v>
      </c>
      <c r="CV50" s="115">
        <v>61</v>
      </c>
      <c r="CW50" s="115">
        <v>47</v>
      </c>
      <c r="CX50" s="115">
        <v>24</v>
      </c>
      <c r="CY50" s="115">
        <v>42</v>
      </c>
      <c r="CZ50" s="115">
        <v>68</v>
      </c>
      <c r="DA50" s="115">
        <v>67</v>
      </c>
      <c r="DB50" s="115">
        <v>23</v>
      </c>
      <c r="DC50" s="115"/>
      <c r="DD50" s="115">
        <v>101</v>
      </c>
      <c r="DE50" s="115">
        <v>91</v>
      </c>
      <c r="DF50" s="115">
        <v>30</v>
      </c>
      <c r="DG50" s="115"/>
      <c r="DH50" s="115">
        <v>100</v>
      </c>
      <c r="DI50" s="115"/>
      <c r="DJ50" s="115"/>
      <c r="DK50" s="115"/>
      <c r="DL50" s="115"/>
      <c r="DM50" s="115"/>
      <c r="DN50" s="115"/>
      <c r="DO50" s="115"/>
      <c r="DP50" s="44"/>
      <c r="DQ50" s="44"/>
      <c r="DU50" s="68"/>
      <c r="DV50" s="68"/>
      <c r="DW50" s="68"/>
      <c r="DX50" s="68"/>
      <c r="DY50" s="68"/>
      <c r="DZ50" s="68"/>
      <c r="EA50" s="68"/>
      <c r="EB50" s="68"/>
      <c r="EC50" s="68"/>
      <c r="ED50" s="44"/>
      <c r="EE50" s="44"/>
      <c r="EF50" s="44"/>
      <c r="EG50" s="44"/>
      <c r="EH50" s="44"/>
      <c r="EI50" s="44"/>
      <c r="EJ50" s="44"/>
      <c r="EK50" s="65"/>
      <c r="EU50" s="44">
        <f t="shared" si="11"/>
        <v>87</v>
      </c>
      <c r="EV50" s="44">
        <f t="shared" si="3"/>
        <v>104</v>
      </c>
      <c r="EW50" s="44">
        <f t="shared" si="4"/>
        <v>185</v>
      </c>
      <c r="EX50" s="44">
        <f t="shared" si="71"/>
        <v>200</v>
      </c>
      <c r="EY50" s="44">
        <f t="shared" si="6"/>
        <v>222</v>
      </c>
      <c r="EZ50" s="44">
        <f>+EY50*0.95</f>
        <v>210.89999999999998</v>
      </c>
      <c r="FA50" s="44">
        <f t="shared" ref="FA50:FK50" si="80">+EZ50*0.95</f>
        <v>200.35499999999996</v>
      </c>
      <c r="FB50" s="44">
        <f t="shared" si="80"/>
        <v>190.33724999999995</v>
      </c>
      <c r="FC50" s="44">
        <f t="shared" si="80"/>
        <v>180.82038749999995</v>
      </c>
      <c r="FD50" s="44">
        <f t="shared" si="80"/>
        <v>171.77936812499993</v>
      </c>
      <c r="FE50" s="44">
        <f t="shared" si="80"/>
        <v>163.19039971874992</v>
      </c>
      <c r="FF50" s="44">
        <f t="shared" si="80"/>
        <v>155.03087973281242</v>
      </c>
      <c r="FG50" s="44">
        <f t="shared" si="80"/>
        <v>147.2793357461718</v>
      </c>
      <c r="FH50" s="44">
        <f t="shared" si="80"/>
        <v>139.91536895886321</v>
      </c>
      <c r="FI50" s="44">
        <f t="shared" si="80"/>
        <v>132.91960051092005</v>
      </c>
      <c r="FJ50" s="44">
        <f t="shared" si="80"/>
        <v>126.27362048537404</v>
      </c>
      <c r="FK50" s="44">
        <f t="shared" si="80"/>
        <v>119.95993946110534</v>
      </c>
      <c r="FR50" s="85"/>
      <c r="FS50" s="86"/>
    </row>
    <row r="51" spans="1:184">
      <c r="B51" s="14" t="s">
        <v>1620</v>
      </c>
      <c r="C51" s="62"/>
      <c r="D51" s="62"/>
      <c r="E51" s="62"/>
      <c r="F51" s="62"/>
      <c r="G51" s="62"/>
      <c r="H51" s="62"/>
      <c r="I51" s="62"/>
      <c r="J51" s="62"/>
      <c r="K51" s="62"/>
      <c r="L51" s="62"/>
      <c r="M51" s="62"/>
      <c r="N51" s="62"/>
      <c r="O51" s="62"/>
      <c r="P51" s="62"/>
      <c r="Q51" s="62"/>
      <c r="R51" s="62"/>
      <c r="S51" s="62"/>
      <c r="T51" s="62"/>
      <c r="U51" s="62"/>
      <c r="V51" s="62"/>
      <c r="W51" s="68"/>
      <c r="X51" s="68"/>
      <c r="Y51" s="68"/>
      <c r="Z51" s="68"/>
      <c r="AA51" s="44"/>
      <c r="AB51" s="44"/>
      <c r="AC51" s="44"/>
      <c r="AD51" s="44"/>
      <c r="AE51" s="44"/>
      <c r="AF51" s="44"/>
      <c r="AG51" s="44"/>
      <c r="AH51" s="44"/>
      <c r="AI51" s="68"/>
      <c r="AM51" s="69"/>
      <c r="AN51" s="69"/>
      <c r="AO51" s="69"/>
      <c r="AP51" s="103"/>
      <c r="AQ51" s="65"/>
      <c r="AR51" s="65"/>
      <c r="AS51" s="65"/>
      <c r="AT51" s="65"/>
      <c r="AU51" s="44"/>
      <c r="AV51" s="65"/>
      <c r="AW51" s="44"/>
      <c r="AX51" s="44"/>
      <c r="AY51" s="44"/>
      <c r="AZ51" s="44"/>
      <c r="BA51" s="44"/>
      <c r="BB51" s="44"/>
      <c r="BC51" s="65"/>
      <c r="BD51" s="44"/>
      <c r="BE51" s="44"/>
      <c r="BF51" s="65"/>
      <c r="BG51" s="44"/>
      <c r="BH51" s="65"/>
      <c r="BI51" s="44"/>
      <c r="BJ51" s="65"/>
      <c r="BK51" s="65"/>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115"/>
      <c r="CO51" s="115"/>
      <c r="CP51" s="115"/>
      <c r="CQ51" s="115"/>
      <c r="CR51" s="115"/>
      <c r="CS51" s="115"/>
      <c r="CT51" s="115"/>
      <c r="CU51" s="115"/>
      <c r="CV51" s="115"/>
      <c r="CW51" s="115"/>
      <c r="CX51" s="115"/>
      <c r="CY51" s="115"/>
      <c r="CZ51" s="115"/>
      <c r="DA51" s="115"/>
      <c r="DB51" s="115"/>
      <c r="DC51" s="115">
        <v>10</v>
      </c>
      <c r="DD51" s="115">
        <v>12</v>
      </c>
      <c r="DE51" s="115">
        <v>0</v>
      </c>
      <c r="DF51" s="115"/>
      <c r="DG51" s="115">
        <v>23</v>
      </c>
      <c r="DH51" s="115">
        <v>32</v>
      </c>
      <c r="DI51" s="115"/>
      <c r="DJ51" s="115"/>
      <c r="DK51" s="115"/>
      <c r="DL51" s="115"/>
      <c r="DM51" s="115"/>
      <c r="DN51" s="115"/>
      <c r="DO51" s="115"/>
      <c r="DP51" s="44"/>
      <c r="DQ51" s="44"/>
      <c r="DU51" s="68"/>
      <c r="DV51" s="68"/>
      <c r="DW51" s="68"/>
      <c r="DX51" s="68"/>
      <c r="DY51" s="68"/>
      <c r="DZ51" s="68"/>
      <c r="EA51" s="68"/>
      <c r="EB51" s="68"/>
      <c r="EC51" s="68"/>
      <c r="ED51" s="44"/>
      <c r="EE51" s="44"/>
      <c r="EF51" s="44"/>
      <c r="EG51" s="44"/>
      <c r="EH51" s="44"/>
      <c r="EI51" s="44"/>
      <c r="EJ51" s="44"/>
      <c r="EK51" s="65"/>
      <c r="FR51" s="85"/>
      <c r="FS51" s="86"/>
    </row>
    <row r="52" spans="1:184">
      <c r="B52" s="14" t="s">
        <v>1621</v>
      </c>
      <c r="C52" s="62"/>
      <c r="D52" s="62"/>
      <c r="E52" s="62"/>
      <c r="F52" s="62"/>
      <c r="G52" s="62"/>
      <c r="H52" s="62"/>
      <c r="I52" s="62"/>
      <c r="J52" s="62"/>
      <c r="K52" s="62"/>
      <c r="L52" s="62"/>
      <c r="M52" s="62"/>
      <c r="N52" s="62"/>
      <c r="O52" s="62"/>
      <c r="P52" s="62"/>
      <c r="Q52" s="62"/>
      <c r="R52" s="62"/>
      <c r="S52" s="62"/>
      <c r="T52" s="62"/>
      <c r="U52" s="62"/>
      <c r="V52" s="62"/>
      <c r="W52" s="68"/>
      <c r="X52" s="68"/>
      <c r="Y52" s="68"/>
      <c r="Z52" s="68"/>
      <c r="AA52" s="44"/>
      <c r="AB52" s="44"/>
      <c r="AC52" s="44"/>
      <c r="AD52" s="44"/>
      <c r="AE52" s="44"/>
      <c r="AF52" s="44"/>
      <c r="AG52" s="44"/>
      <c r="AH52" s="44"/>
      <c r="AI52" s="68"/>
      <c r="AM52" s="69"/>
      <c r="AN52" s="69"/>
      <c r="AO52" s="69"/>
      <c r="AP52" s="103"/>
      <c r="AQ52" s="65"/>
      <c r="AR52" s="65"/>
      <c r="AS52" s="65"/>
      <c r="AT52" s="65"/>
      <c r="AU52" s="44"/>
      <c r="AV52" s="65"/>
      <c r="AW52" s="44"/>
      <c r="AX52" s="44"/>
      <c r="AY52" s="44"/>
      <c r="AZ52" s="44"/>
      <c r="BA52" s="44"/>
      <c r="BB52" s="44"/>
      <c r="BC52" s="65"/>
      <c r="BD52" s="44"/>
      <c r="BE52" s="44"/>
      <c r="BF52" s="65"/>
      <c r="BG52" s="44"/>
      <c r="BH52" s="65"/>
      <c r="BI52" s="44"/>
      <c r="BJ52" s="65"/>
      <c r="BK52" s="65"/>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115"/>
      <c r="CO52" s="115"/>
      <c r="CP52" s="115"/>
      <c r="CQ52" s="115"/>
      <c r="CR52" s="115"/>
      <c r="CS52" s="115"/>
      <c r="CT52" s="115"/>
      <c r="CU52" s="115"/>
      <c r="CV52" s="115"/>
      <c r="CW52" s="115"/>
      <c r="CX52" s="115"/>
      <c r="CY52" s="115"/>
      <c r="CZ52" s="115"/>
      <c r="DA52" s="115"/>
      <c r="DB52" s="115"/>
      <c r="DC52" s="115">
        <v>0</v>
      </c>
      <c r="DD52" s="115">
        <v>0</v>
      </c>
      <c r="DE52" s="115">
        <v>0</v>
      </c>
      <c r="DF52" s="115">
        <v>17</v>
      </c>
      <c r="DG52" s="115">
        <v>106</v>
      </c>
      <c r="DH52" s="115">
        <v>121</v>
      </c>
      <c r="DI52" s="115"/>
      <c r="DJ52" s="115"/>
      <c r="DK52" s="115"/>
      <c r="DL52" s="115"/>
      <c r="DM52" s="115"/>
      <c r="DN52" s="115"/>
      <c r="DO52" s="115"/>
      <c r="DP52" s="44"/>
      <c r="DQ52" s="44"/>
      <c r="DU52" s="68"/>
      <c r="DV52" s="68"/>
      <c r="DW52" s="68"/>
      <c r="DX52" s="68"/>
      <c r="DY52" s="68"/>
      <c r="DZ52" s="68"/>
      <c r="EA52" s="68"/>
      <c r="EB52" s="68"/>
      <c r="EC52" s="68"/>
      <c r="ED52" s="44"/>
      <c r="EE52" s="44"/>
      <c r="EF52" s="44"/>
      <c r="EG52" s="44"/>
      <c r="EH52" s="44"/>
      <c r="EI52" s="44"/>
      <c r="EJ52" s="44"/>
      <c r="EK52" s="65"/>
      <c r="FR52" s="85"/>
      <c r="FS52" s="86"/>
    </row>
    <row r="53" spans="1:184">
      <c r="B53" s="14" t="s">
        <v>1622</v>
      </c>
      <c r="C53" s="62"/>
      <c r="D53" s="62"/>
      <c r="E53" s="62"/>
      <c r="F53" s="62"/>
      <c r="G53" s="62"/>
      <c r="H53" s="62"/>
      <c r="I53" s="62"/>
      <c r="J53" s="62"/>
      <c r="K53" s="62"/>
      <c r="L53" s="62"/>
      <c r="M53" s="62"/>
      <c r="N53" s="62"/>
      <c r="O53" s="62"/>
      <c r="P53" s="62"/>
      <c r="Q53" s="62"/>
      <c r="R53" s="62"/>
      <c r="S53" s="62"/>
      <c r="T53" s="62"/>
      <c r="U53" s="62"/>
      <c r="V53" s="62"/>
      <c r="W53" s="68"/>
      <c r="X53" s="68"/>
      <c r="Y53" s="68"/>
      <c r="Z53" s="68"/>
      <c r="AA53" s="44"/>
      <c r="AB53" s="44"/>
      <c r="AC53" s="44"/>
      <c r="AD53" s="44"/>
      <c r="AE53" s="44"/>
      <c r="AF53" s="44"/>
      <c r="AG53" s="44"/>
      <c r="AH53" s="44"/>
      <c r="AI53" s="68"/>
      <c r="AM53" s="69"/>
      <c r="AN53" s="69"/>
      <c r="AO53" s="69"/>
      <c r="AP53" s="103"/>
      <c r="AQ53" s="65"/>
      <c r="AR53" s="65"/>
      <c r="AS53" s="65"/>
      <c r="AT53" s="65"/>
      <c r="AU53" s="44"/>
      <c r="AV53" s="65"/>
      <c r="AW53" s="44"/>
      <c r="AX53" s="44"/>
      <c r="AY53" s="44"/>
      <c r="AZ53" s="44"/>
      <c r="BA53" s="44"/>
      <c r="BB53" s="44"/>
      <c r="BC53" s="65"/>
      <c r="BD53" s="44"/>
      <c r="BE53" s="44"/>
      <c r="BF53" s="65"/>
      <c r="BG53" s="44"/>
      <c r="BH53" s="65"/>
      <c r="BI53" s="44"/>
      <c r="BJ53" s="65"/>
      <c r="BK53" s="65"/>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115"/>
      <c r="CO53" s="115"/>
      <c r="CP53" s="115"/>
      <c r="CQ53" s="115"/>
      <c r="CR53" s="115"/>
      <c r="CS53" s="115"/>
      <c r="CT53" s="115"/>
      <c r="CU53" s="115"/>
      <c r="CV53" s="115"/>
      <c r="CW53" s="115"/>
      <c r="CX53" s="115"/>
      <c r="CY53" s="115"/>
      <c r="CZ53" s="115"/>
      <c r="DA53" s="115"/>
      <c r="DB53" s="115"/>
      <c r="DC53" s="115">
        <v>0</v>
      </c>
      <c r="DD53" s="115">
        <v>0</v>
      </c>
      <c r="DE53" s="115">
        <v>0</v>
      </c>
      <c r="DF53" s="115">
        <v>4</v>
      </c>
      <c r="DG53" s="115">
        <v>28</v>
      </c>
      <c r="DH53" s="115">
        <v>33</v>
      </c>
      <c r="DI53" s="115"/>
      <c r="DJ53" s="115"/>
      <c r="DK53" s="115"/>
      <c r="DL53" s="115"/>
      <c r="DM53" s="115"/>
      <c r="DN53" s="115"/>
      <c r="DO53" s="115"/>
      <c r="DP53" s="44"/>
      <c r="DQ53" s="44"/>
      <c r="DU53" s="68"/>
      <c r="DV53" s="68"/>
      <c r="DW53" s="68"/>
      <c r="DX53" s="68"/>
      <c r="DY53" s="68"/>
      <c r="DZ53" s="68"/>
      <c r="EA53" s="68"/>
      <c r="EB53" s="68"/>
      <c r="EC53" s="68"/>
      <c r="ED53" s="44"/>
      <c r="EE53" s="44"/>
      <c r="EF53" s="44"/>
      <c r="EG53" s="44"/>
      <c r="EH53" s="44"/>
      <c r="EI53" s="44"/>
      <c r="EJ53" s="44"/>
      <c r="EK53" s="65"/>
      <c r="FR53" s="85"/>
      <c r="FS53" s="86"/>
    </row>
    <row r="54" spans="1:184">
      <c r="B54" s="14" t="s">
        <v>1373</v>
      </c>
      <c r="C54" s="62"/>
      <c r="D54" s="62"/>
      <c r="E54" s="62"/>
      <c r="F54" s="62"/>
      <c r="G54" s="62"/>
      <c r="H54" s="62"/>
      <c r="I54" s="62"/>
      <c r="J54" s="62"/>
      <c r="K54" s="62"/>
      <c r="L54" s="62"/>
      <c r="M54" s="62"/>
      <c r="N54" s="62"/>
      <c r="O54" s="62"/>
      <c r="P54" s="62"/>
      <c r="Q54" s="62"/>
      <c r="R54" s="62"/>
      <c r="S54" s="62"/>
      <c r="T54" s="62"/>
      <c r="U54" s="62"/>
      <c r="V54" s="62"/>
      <c r="W54" s="68"/>
      <c r="X54" s="68"/>
      <c r="Y54" s="68"/>
      <c r="Z54" s="68"/>
      <c r="AA54" s="44"/>
      <c r="AB54" s="44"/>
      <c r="AC54" s="44"/>
      <c r="AD54" s="44"/>
      <c r="AE54" s="44"/>
      <c r="AF54" s="44"/>
      <c r="AG54" s="44"/>
      <c r="AH54" s="44"/>
      <c r="AI54" s="68"/>
      <c r="AM54" s="69"/>
      <c r="AN54" s="69"/>
      <c r="AO54" s="69"/>
      <c r="AP54" s="103"/>
      <c r="AQ54" s="65"/>
      <c r="AR54" s="65"/>
      <c r="AS54" s="65"/>
      <c r="AT54" s="65"/>
      <c r="AU54" s="44"/>
      <c r="AV54" s="65"/>
      <c r="AW54" s="44"/>
      <c r="AX54" s="44"/>
      <c r="AY54" s="44"/>
      <c r="AZ54" s="44"/>
      <c r="BA54" s="44"/>
      <c r="BB54" s="44"/>
      <c r="BC54" s="65"/>
      <c r="BD54" s="44"/>
      <c r="BE54" s="44"/>
      <c r="BF54" s="65"/>
      <c r="BG54" s="44"/>
      <c r="BH54" s="65"/>
      <c r="BI54" s="44"/>
      <c r="BJ54" s="65"/>
      <c r="BK54" s="65"/>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v>0</v>
      </c>
      <c r="CL54" s="44">
        <v>0</v>
      </c>
      <c r="CM54" s="44">
        <v>0</v>
      </c>
      <c r="CN54" s="115">
        <v>0</v>
      </c>
      <c r="CO54" s="115">
        <v>0</v>
      </c>
      <c r="CP54" s="115">
        <v>30</v>
      </c>
      <c r="CQ54" s="115">
        <v>37</v>
      </c>
      <c r="CR54" s="115">
        <v>32</v>
      </c>
      <c r="CS54" s="115">
        <v>34</v>
      </c>
      <c r="CT54" s="115">
        <v>39</v>
      </c>
      <c r="CU54" s="115">
        <v>35</v>
      </c>
      <c r="CV54" s="115">
        <v>36</v>
      </c>
      <c r="CW54" s="115">
        <v>41</v>
      </c>
      <c r="CX54" s="115">
        <v>42</v>
      </c>
      <c r="CY54" s="115">
        <v>40</v>
      </c>
      <c r="CZ54" s="115">
        <v>44</v>
      </c>
      <c r="DA54" s="115">
        <v>45</v>
      </c>
      <c r="DB54" s="115">
        <v>46</v>
      </c>
      <c r="DC54" s="115"/>
      <c r="DD54" s="115">
        <v>43</v>
      </c>
      <c r="DE54" s="115">
        <v>45</v>
      </c>
      <c r="DF54" s="115">
        <v>46</v>
      </c>
      <c r="DG54" s="115"/>
      <c r="DH54" s="115"/>
      <c r="DI54" s="115"/>
      <c r="DJ54" s="115"/>
      <c r="DK54" s="115"/>
      <c r="DL54" s="115"/>
      <c r="DM54" s="115"/>
      <c r="DN54" s="115"/>
      <c r="DO54" s="115"/>
      <c r="DP54" s="44"/>
      <c r="DQ54" s="44"/>
      <c r="DU54" s="68"/>
      <c r="DV54" s="68"/>
      <c r="DW54" s="68"/>
      <c r="DX54" s="68"/>
      <c r="DY54" s="68"/>
      <c r="DZ54" s="68"/>
      <c r="EA54" s="68"/>
      <c r="EB54" s="68"/>
      <c r="EC54" s="68"/>
      <c r="ED54" s="44"/>
      <c r="EE54" s="44"/>
      <c r="EF54" s="44"/>
      <c r="EG54" s="44"/>
      <c r="EH54" s="44"/>
      <c r="EI54" s="44"/>
      <c r="EJ54" s="44"/>
      <c r="EK54" s="65"/>
      <c r="EU54" s="44">
        <f t="shared" si="11"/>
        <v>30</v>
      </c>
      <c r="EV54" s="44">
        <f t="shared" si="3"/>
        <v>142</v>
      </c>
      <c r="EW54" s="44">
        <f t="shared" si="4"/>
        <v>154</v>
      </c>
      <c r="EX54" s="44">
        <f t="shared" si="71"/>
        <v>175</v>
      </c>
      <c r="EY54" s="44">
        <f t="shared" si="6"/>
        <v>134</v>
      </c>
      <c r="EZ54" s="44">
        <f>+EY54*0.9</f>
        <v>120.60000000000001</v>
      </c>
      <c r="FA54" s="44">
        <f t="shared" ref="FA54:FK54" si="81">+EZ54*0.9</f>
        <v>108.54</v>
      </c>
      <c r="FB54" s="44">
        <f t="shared" si="81"/>
        <v>97.686000000000007</v>
      </c>
      <c r="FC54" s="44">
        <f t="shared" si="81"/>
        <v>87.917400000000015</v>
      </c>
      <c r="FD54" s="44">
        <f t="shared" si="81"/>
        <v>79.125660000000011</v>
      </c>
      <c r="FE54" s="44">
        <f t="shared" si="81"/>
        <v>71.213094000000012</v>
      </c>
      <c r="FF54" s="44">
        <f t="shared" si="81"/>
        <v>64.091784600000011</v>
      </c>
      <c r="FG54" s="44">
        <f t="shared" si="81"/>
        <v>57.682606140000011</v>
      </c>
      <c r="FH54" s="44">
        <f t="shared" si="81"/>
        <v>51.914345526000012</v>
      </c>
      <c r="FI54" s="44">
        <f t="shared" si="81"/>
        <v>46.722910973400012</v>
      </c>
      <c r="FJ54" s="44">
        <f t="shared" si="81"/>
        <v>42.050619876060011</v>
      </c>
      <c r="FK54" s="44">
        <f t="shared" si="81"/>
        <v>37.84555788845401</v>
      </c>
      <c r="FR54" s="85"/>
      <c r="FS54" s="86"/>
    </row>
    <row r="55" spans="1:184">
      <c r="B55" s="14" t="s">
        <v>1381</v>
      </c>
      <c r="C55" s="62"/>
      <c r="D55" s="62"/>
      <c r="E55" s="62"/>
      <c r="F55" s="62"/>
      <c r="G55" s="62"/>
      <c r="H55" s="62"/>
      <c r="I55" s="62"/>
      <c r="J55" s="62"/>
      <c r="K55" s="62"/>
      <c r="L55" s="62"/>
      <c r="M55" s="62"/>
      <c r="N55" s="62"/>
      <c r="O55" s="62"/>
      <c r="P55" s="62"/>
      <c r="Q55" s="62"/>
      <c r="R55" s="62"/>
      <c r="S55" s="62"/>
      <c r="T55" s="62"/>
      <c r="U55" s="62"/>
      <c r="V55" s="62"/>
      <c r="W55" s="68"/>
      <c r="X55" s="68"/>
      <c r="Y55" s="68"/>
      <c r="Z55" s="68"/>
      <c r="AA55" s="44"/>
      <c r="AB55" s="44"/>
      <c r="AC55" s="44"/>
      <c r="AD55" s="44"/>
      <c r="AE55" s="44"/>
      <c r="AF55" s="44"/>
      <c r="AG55" s="44"/>
      <c r="AH55" s="44"/>
      <c r="AI55" s="68"/>
      <c r="AM55" s="69"/>
      <c r="AN55" s="69"/>
      <c r="AO55" s="69"/>
      <c r="AP55" s="103"/>
      <c r="AQ55" s="65"/>
      <c r="AR55" s="65"/>
      <c r="AS55" s="65"/>
      <c r="AT55" s="65"/>
      <c r="AU55" s="44"/>
      <c r="AV55" s="65"/>
      <c r="AW55" s="44"/>
      <c r="AX55" s="44"/>
      <c r="AY55" s="44"/>
      <c r="AZ55" s="44"/>
      <c r="BA55" s="44"/>
      <c r="BB55" s="44"/>
      <c r="BC55" s="65"/>
      <c r="BD55" s="44"/>
      <c r="BE55" s="44"/>
      <c r="BF55" s="65"/>
      <c r="BG55" s="44"/>
      <c r="BH55" s="65"/>
      <c r="BI55" s="44"/>
      <c r="BJ55" s="65"/>
      <c r="BK55" s="65"/>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v>61</v>
      </c>
      <c r="CL55" s="44">
        <v>0</v>
      </c>
      <c r="CM55" s="44">
        <v>0</v>
      </c>
      <c r="CN55" s="115">
        <v>0</v>
      </c>
      <c r="CO55" s="115">
        <v>73</v>
      </c>
      <c r="CP55" s="115">
        <v>0</v>
      </c>
      <c r="CQ55" s="115">
        <v>0</v>
      </c>
      <c r="CR55" s="115">
        <v>0</v>
      </c>
      <c r="CS55" s="115">
        <v>48</v>
      </c>
      <c r="CT55" s="115">
        <v>26</v>
      </c>
      <c r="CU55" s="115">
        <v>0</v>
      </c>
      <c r="CV55" s="115">
        <v>0</v>
      </c>
      <c r="CW55" s="115">
        <v>52</v>
      </c>
      <c r="CX55" s="115">
        <v>16</v>
      </c>
      <c r="CY55" s="115">
        <v>0</v>
      </c>
      <c r="CZ55" s="115">
        <v>0</v>
      </c>
      <c r="DA55" s="115">
        <v>60</v>
      </c>
      <c r="DB55" s="115">
        <v>15</v>
      </c>
      <c r="DC55" s="115"/>
      <c r="DD55" s="115"/>
      <c r="DE55" s="115">
        <v>58</v>
      </c>
      <c r="DF55" s="115">
        <v>17</v>
      </c>
      <c r="DG55" s="115"/>
      <c r="DH55" s="115"/>
      <c r="DI55" s="115"/>
      <c r="DJ55" s="115"/>
      <c r="DK55" s="115"/>
      <c r="DL55" s="115"/>
      <c r="DM55" s="115"/>
      <c r="DN55" s="115"/>
      <c r="DO55" s="115"/>
      <c r="DP55" s="44"/>
      <c r="DQ55" s="44"/>
      <c r="DU55" s="68"/>
      <c r="DV55" s="68"/>
      <c r="DW55" s="68"/>
      <c r="DX55" s="68"/>
      <c r="DY55" s="68"/>
      <c r="DZ55" s="68"/>
      <c r="EA55" s="68"/>
      <c r="EB55" s="68"/>
      <c r="EC55" s="68"/>
      <c r="ED55" s="44"/>
      <c r="EE55" s="44"/>
      <c r="EF55" s="44"/>
      <c r="EG55" s="44"/>
      <c r="EH55" s="44"/>
      <c r="EI55" s="44"/>
      <c r="EJ55" s="44"/>
      <c r="EK55" s="65"/>
      <c r="EU55" s="44">
        <f t="shared" si="11"/>
        <v>73</v>
      </c>
      <c r="EV55" s="44">
        <f t="shared" si="3"/>
        <v>74</v>
      </c>
      <c r="EW55" s="44">
        <f t="shared" si="4"/>
        <v>68</v>
      </c>
      <c r="EX55" s="44">
        <f t="shared" si="71"/>
        <v>75</v>
      </c>
      <c r="EY55" s="44">
        <f t="shared" si="6"/>
        <v>75</v>
      </c>
      <c r="EZ55" s="44">
        <f>+EY55*0.95</f>
        <v>71.25</v>
      </c>
      <c r="FA55" s="44">
        <f t="shared" ref="FA55:FK55" si="82">+EZ55*0.95</f>
        <v>67.6875</v>
      </c>
      <c r="FB55" s="44">
        <f t="shared" si="82"/>
        <v>64.303124999999994</v>
      </c>
      <c r="FC55" s="44">
        <f t="shared" si="82"/>
        <v>61.087968749999995</v>
      </c>
      <c r="FD55" s="44">
        <f t="shared" si="82"/>
        <v>58.03357031249999</v>
      </c>
      <c r="FE55" s="44">
        <f t="shared" si="82"/>
        <v>55.131891796874989</v>
      </c>
      <c r="FF55" s="44">
        <f t="shared" si="82"/>
        <v>52.375297207031238</v>
      </c>
      <c r="FG55" s="44">
        <f t="shared" si="82"/>
        <v>49.756532346679677</v>
      </c>
      <c r="FH55" s="44">
        <f t="shared" si="82"/>
        <v>47.26870572934569</v>
      </c>
      <c r="FI55" s="44">
        <f t="shared" si="82"/>
        <v>44.905270442878404</v>
      </c>
      <c r="FJ55" s="44">
        <f t="shared" si="82"/>
        <v>42.660006920734482</v>
      </c>
      <c r="FK55" s="44">
        <f t="shared" si="82"/>
        <v>40.527006574697758</v>
      </c>
      <c r="FR55" s="85"/>
      <c r="FS55" s="86"/>
    </row>
    <row r="56" spans="1:184">
      <c r="B56" s="4" t="s">
        <v>681</v>
      </c>
      <c r="C56" s="62"/>
      <c r="D56" s="62"/>
      <c r="E56" s="62"/>
      <c r="F56" s="62"/>
      <c r="G56" s="62" t="s">
        <v>605</v>
      </c>
      <c r="H56" s="62" t="s">
        <v>605</v>
      </c>
      <c r="I56" s="62" t="s">
        <v>605</v>
      </c>
      <c r="J56" s="62" t="s">
        <v>605</v>
      </c>
      <c r="K56" s="62" t="s">
        <v>605</v>
      </c>
      <c r="L56" s="62" t="s">
        <v>605</v>
      </c>
      <c r="M56" s="62" t="s">
        <v>605</v>
      </c>
      <c r="N56" s="62" t="s">
        <v>605</v>
      </c>
      <c r="O56" s="62" t="s">
        <v>605</v>
      </c>
      <c r="P56" s="62" t="s">
        <v>605</v>
      </c>
      <c r="Q56" s="62" t="s">
        <v>605</v>
      </c>
      <c r="R56" s="62" t="s">
        <v>605</v>
      </c>
      <c r="S56" s="62" t="s">
        <v>605</v>
      </c>
      <c r="T56" s="62" t="s">
        <v>605</v>
      </c>
      <c r="U56" s="62" t="s">
        <v>605</v>
      </c>
      <c r="V56" s="62" t="s">
        <v>605</v>
      </c>
      <c r="W56" s="62" t="s">
        <v>605</v>
      </c>
      <c r="X56" s="62" t="s">
        <v>605</v>
      </c>
      <c r="Y56" s="62" t="s">
        <v>605</v>
      </c>
      <c r="Z56" s="62" t="s">
        <v>605</v>
      </c>
      <c r="AA56" s="62" t="s">
        <v>605</v>
      </c>
      <c r="AB56" s="62" t="s">
        <v>605</v>
      </c>
      <c r="AC56" s="62" t="s">
        <v>605</v>
      </c>
      <c r="AD56" s="62" t="s">
        <v>605</v>
      </c>
      <c r="AE56" s="68" t="s">
        <v>605</v>
      </c>
      <c r="AF56" s="68" t="s">
        <v>605</v>
      </c>
      <c r="AG56" s="68" t="s">
        <v>605</v>
      </c>
      <c r="AH56" s="68" t="s">
        <v>605</v>
      </c>
      <c r="AI56" s="68" t="s">
        <v>605</v>
      </c>
      <c r="AJ56" s="68" t="s">
        <v>605</v>
      </c>
      <c r="AK56" s="68" t="s">
        <v>605</v>
      </c>
      <c r="AL56" s="70" t="s">
        <v>605</v>
      </c>
      <c r="AM56" s="70" t="s">
        <v>605</v>
      </c>
      <c r="AN56" s="69">
        <v>0</v>
      </c>
      <c r="AO56" s="69">
        <v>33</v>
      </c>
      <c r="AP56" s="103">
        <v>68</v>
      </c>
      <c r="AQ56" s="65">
        <v>162</v>
      </c>
      <c r="AR56" s="65">
        <v>200</v>
      </c>
      <c r="AS56" s="65">
        <v>241</v>
      </c>
      <c r="AT56" s="65">
        <v>280</v>
      </c>
      <c r="AU56" s="44">
        <f>193+84</f>
        <v>277</v>
      </c>
      <c r="AV56" s="65">
        <f>109+98</f>
        <v>207</v>
      </c>
      <c r="AW56" s="44">
        <v>182</v>
      </c>
      <c r="AX56" s="65">
        <v>180</v>
      </c>
      <c r="AY56" s="65">
        <v>177</v>
      </c>
      <c r="AZ56" s="44">
        <v>192</v>
      </c>
      <c r="BA56" s="44">
        <v>155</v>
      </c>
      <c r="BB56" s="44">
        <v>176</v>
      </c>
      <c r="BC56" s="65">
        <f>106+83</f>
        <v>189</v>
      </c>
      <c r="BD56" s="44">
        <v>170</v>
      </c>
      <c r="BE56" s="44">
        <v>163</v>
      </c>
      <c r="BF56" s="65">
        <v>233</v>
      </c>
      <c r="BG56" s="44">
        <v>199</v>
      </c>
      <c r="BH56" s="65">
        <v>190</v>
      </c>
      <c r="BI56" s="44">
        <v>156</v>
      </c>
      <c r="BJ56" s="65">
        <v>175</v>
      </c>
      <c r="BK56" s="65">
        <v>178</v>
      </c>
      <c r="BL56" s="44">
        <v>172</v>
      </c>
      <c r="BM56" s="44">
        <v>146</v>
      </c>
      <c r="BN56" s="44">
        <v>174</v>
      </c>
      <c r="BO56" s="44">
        <v>166</v>
      </c>
      <c r="BP56" s="44">
        <v>166</v>
      </c>
      <c r="BQ56" s="44">
        <v>154</v>
      </c>
      <c r="BR56" s="44">
        <v>162</v>
      </c>
      <c r="BS56" s="44">
        <v>147</v>
      </c>
      <c r="BT56" s="44">
        <v>170</v>
      </c>
      <c r="BU56" s="44">
        <f t="shared" ref="BU56:BV59" si="83">+BQ56</f>
        <v>154</v>
      </c>
      <c r="BV56" s="44">
        <f t="shared" si="83"/>
        <v>162</v>
      </c>
      <c r="BW56" s="44"/>
      <c r="BX56" s="44"/>
      <c r="BY56" s="44"/>
      <c r="BZ56" s="44"/>
      <c r="CA56" s="44"/>
      <c r="CB56" s="44"/>
      <c r="CC56" s="44"/>
      <c r="CD56" s="44"/>
      <c r="CE56" s="44"/>
      <c r="CF56" s="44"/>
      <c r="CG56" s="44"/>
      <c r="CH56" s="44"/>
      <c r="CI56" s="44"/>
      <c r="CJ56" s="44"/>
      <c r="CK56" s="44">
        <v>261</v>
      </c>
      <c r="CL56" s="44">
        <v>296</v>
      </c>
      <c r="CM56" s="44">
        <v>273</v>
      </c>
      <c r="CN56" s="115">
        <v>276</v>
      </c>
      <c r="CO56" s="115">
        <v>276</v>
      </c>
      <c r="CP56" s="115">
        <v>282</v>
      </c>
      <c r="CQ56" s="115">
        <v>270</v>
      </c>
      <c r="CR56" s="115">
        <v>235</v>
      </c>
      <c r="CS56" s="115">
        <v>223</v>
      </c>
      <c r="CT56" s="115">
        <v>191</v>
      </c>
      <c r="CU56" s="115">
        <v>217</v>
      </c>
      <c r="CV56" s="115">
        <v>184</v>
      </c>
      <c r="CW56" s="115">
        <v>7</v>
      </c>
      <c r="CX56" s="115">
        <v>-11</v>
      </c>
      <c r="CY56" s="115">
        <v>2</v>
      </c>
      <c r="CZ56" s="115">
        <v>1</v>
      </c>
      <c r="DA56" s="115">
        <v>4</v>
      </c>
      <c r="DB56" s="115">
        <v>0</v>
      </c>
      <c r="DC56" s="115"/>
      <c r="DD56" s="115"/>
      <c r="DE56" s="115">
        <v>0</v>
      </c>
      <c r="DF56" s="115"/>
      <c r="DG56" s="115"/>
      <c r="DH56" s="115"/>
      <c r="DI56" s="115"/>
      <c r="DJ56" s="115"/>
      <c r="DK56" s="115"/>
      <c r="DL56" s="115"/>
      <c r="DM56" s="115"/>
      <c r="DN56" s="115"/>
      <c r="DO56" s="115"/>
      <c r="DP56" s="44"/>
      <c r="DQ56" s="44"/>
      <c r="DU56" s="68"/>
      <c r="DV56" s="68" t="s">
        <v>605</v>
      </c>
      <c r="DW56" s="68" t="s">
        <v>605</v>
      </c>
      <c r="DX56" s="68" t="s">
        <v>605</v>
      </c>
      <c r="DY56" s="68" t="s">
        <v>605</v>
      </c>
      <c r="DZ56" s="68" t="s">
        <v>605</v>
      </c>
      <c r="EA56" s="68" t="s">
        <v>605</v>
      </c>
      <c r="EB56" s="68" t="s">
        <v>605</v>
      </c>
      <c r="EC56" s="68" t="s">
        <v>605</v>
      </c>
      <c r="ED56" s="68" t="s">
        <v>605</v>
      </c>
      <c r="EE56" s="68" t="s">
        <v>605</v>
      </c>
      <c r="EF56" s="68" t="s">
        <v>605</v>
      </c>
      <c r="EG56" s="68" t="s">
        <v>605</v>
      </c>
      <c r="EH56" s="44">
        <v>101</v>
      </c>
      <c r="EI56" s="44">
        <f>SUM(AQ56:AT56)</f>
        <v>883</v>
      </c>
      <c r="EJ56" s="44">
        <f>SUM(AU56:AX56)</f>
        <v>846</v>
      </c>
      <c r="EK56" s="65">
        <f t="shared" ref="EK56:EK70" si="84">SUM(AY56:BB56)</f>
        <v>700</v>
      </c>
      <c r="EL56" s="44">
        <f t="shared" ref="EL56" si="85">SUM(BC56:BF56)</f>
        <v>755</v>
      </c>
      <c r="EM56" s="44">
        <f t="shared" ref="EM56" si="86">SUM(BG56:BJ56)</f>
        <v>720</v>
      </c>
      <c r="EN56" s="44">
        <f t="shared" ref="EN56:EN72" si="87">SUM(BK56:BN56)</f>
        <v>670</v>
      </c>
      <c r="EO56" s="44">
        <f t="shared" ref="EO56:EO72" si="88">SUM(BO56:BR56)</f>
        <v>648</v>
      </c>
      <c r="EP56" s="44">
        <f t="shared" ref="EP56:EP70" si="89">SUM(BS56:BV56)</f>
        <v>633</v>
      </c>
      <c r="EQ56" s="44">
        <f>EP56*0.9</f>
        <v>569.70000000000005</v>
      </c>
      <c r="ER56" s="44">
        <f>EQ56*0.8</f>
        <v>455.76000000000005</v>
      </c>
      <c r="ES56" s="44">
        <f>ER56*0.7</f>
        <v>319.03200000000004</v>
      </c>
      <c r="ET56" s="44">
        <f>ES56*0.5</f>
        <v>159.51600000000002</v>
      </c>
      <c r="EU56" s="44">
        <f t="shared" si="11"/>
        <v>1107</v>
      </c>
      <c r="EV56" s="44">
        <f t="shared" si="3"/>
        <v>919</v>
      </c>
      <c r="EW56" s="44">
        <f t="shared" si="4"/>
        <v>397</v>
      </c>
      <c r="EX56" s="44">
        <f t="shared" si="71"/>
        <v>7</v>
      </c>
      <c r="EY56" s="44">
        <f t="shared" si="6"/>
        <v>0</v>
      </c>
      <c r="EZ56" s="44">
        <f>+EY56*0.9</f>
        <v>0</v>
      </c>
      <c r="FA56" s="44">
        <f t="shared" ref="FA56:FK56" si="90">+EZ56*0.9</f>
        <v>0</v>
      </c>
      <c r="FB56" s="44">
        <f t="shared" si="90"/>
        <v>0</v>
      </c>
      <c r="FC56" s="44">
        <f t="shared" si="90"/>
        <v>0</v>
      </c>
      <c r="FD56" s="44">
        <f t="shared" si="90"/>
        <v>0</v>
      </c>
      <c r="FE56" s="44">
        <f t="shared" si="90"/>
        <v>0</v>
      </c>
      <c r="FF56" s="44">
        <f t="shared" si="90"/>
        <v>0</v>
      </c>
      <c r="FG56" s="44">
        <f t="shared" si="90"/>
        <v>0</v>
      </c>
      <c r="FH56" s="44">
        <f t="shared" si="90"/>
        <v>0</v>
      </c>
      <c r="FI56" s="44">
        <f t="shared" si="90"/>
        <v>0</v>
      </c>
      <c r="FJ56" s="44">
        <f t="shared" si="90"/>
        <v>0</v>
      </c>
      <c r="FK56" s="44">
        <f t="shared" si="90"/>
        <v>0</v>
      </c>
      <c r="FQ56" s="81">
        <f>EL56*0.2</f>
        <v>151</v>
      </c>
      <c r="FR56" s="44">
        <f>EQ56*0.2</f>
        <v>113.94000000000001</v>
      </c>
      <c r="FS56" s="82">
        <v>0</v>
      </c>
      <c r="FU56" s="4" t="s">
        <v>682</v>
      </c>
    </row>
    <row r="57" spans="1:184" s="20" customFormat="1" collapsed="1">
      <c r="B57" s="20" t="s">
        <v>638</v>
      </c>
      <c r="C57" s="68" t="s">
        <v>605</v>
      </c>
      <c r="D57" s="68" t="s">
        <v>605</v>
      </c>
      <c r="E57" s="68" t="s">
        <v>605</v>
      </c>
      <c r="F57" s="68" t="s">
        <v>605</v>
      </c>
      <c r="G57" s="68" t="s">
        <v>605</v>
      </c>
      <c r="H57" s="68" t="s">
        <v>605</v>
      </c>
      <c r="I57" s="68" t="s">
        <v>605</v>
      </c>
      <c r="J57" s="68" t="s">
        <v>605</v>
      </c>
      <c r="K57" s="68" t="s">
        <v>605</v>
      </c>
      <c r="L57" s="68" t="s">
        <v>605</v>
      </c>
      <c r="M57" s="68" t="s">
        <v>605</v>
      </c>
      <c r="N57" s="68" t="s">
        <v>605</v>
      </c>
      <c r="O57" s="68" t="s">
        <v>605</v>
      </c>
      <c r="P57" s="68" t="s">
        <v>605</v>
      </c>
      <c r="Q57" s="68" t="s">
        <v>605</v>
      </c>
      <c r="R57" s="68" t="s">
        <v>605</v>
      </c>
      <c r="S57" s="68" t="s">
        <v>605</v>
      </c>
      <c r="T57" s="68" t="s">
        <v>605</v>
      </c>
      <c r="U57" s="68" t="s">
        <v>605</v>
      </c>
      <c r="V57" s="68" t="s">
        <v>605</v>
      </c>
      <c r="W57" s="44">
        <v>57</v>
      </c>
      <c r="X57" s="44">
        <v>48</v>
      </c>
      <c r="Y57" s="44">
        <v>25</v>
      </c>
      <c r="Z57" s="44">
        <v>69</v>
      </c>
      <c r="AA57" s="44">
        <v>72</v>
      </c>
      <c r="AB57" s="44">
        <f>34+8</f>
        <v>42</v>
      </c>
      <c r="AC57" s="44">
        <f>39+22</f>
        <v>61</v>
      </c>
      <c r="AD57" s="44">
        <f>57+21</f>
        <v>78</v>
      </c>
      <c r="AE57" s="44">
        <f>73+24</f>
        <v>97</v>
      </c>
      <c r="AF57" s="44">
        <f>81+29</f>
        <v>110</v>
      </c>
      <c r="AG57" s="44">
        <f>85+35</f>
        <v>120</v>
      </c>
      <c r="AH57" s="44">
        <f>99+36</f>
        <v>135</v>
      </c>
      <c r="AI57" s="68">
        <f>104+39</f>
        <v>143</v>
      </c>
      <c r="AJ57" s="44">
        <f>106+47</f>
        <v>153</v>
      </c>
      <c r="AK57" s="44">
        <f>109+48</f>
        <v>157</v>
      </c>
      <c r="AL57" s="65">
        <v>164</v>
      </c>
      <c r="AM57" s="65">
        <v>186</v>
      </c>
      <c r="AN57" s="65">
        <v>167</v>
      </c>
      <c r="AO57" s="65">
        <v>206</v>
      </c>
      <c r="AP57" s="70">
        <v>223</v>
      </c>
      <c r="AQ57" s="65">
        <v>258</v>
      </c>
      <c r="AR57" s="65">
        <v>202</v>
      </c>
      <c r="AS57" s="65">
        <v>232</v>
      </c>
      <c r="AT57" s="65">
        <v>252</v>
      </c>
      <c r="AU57" s="44">
        <f>164+95</f>
        <v>259</v>
      </c>
      <c r="AV57" s="65">
        <f>170+122</f>
        <v>292</v>
      </c>
      <c r="AW57" s="44">
        <v>281</v>
      </c>
      <c r="AX57" s="65">
        <v>283</v>
      </c>
      <c r="AY57" s="65">
        <v>283</v>
      </c>
      <c r="AZ57" s="44">
        <v>257</v>
      </c>
      <c r="BA57" s="44">
        <v>271</v>
      </c>
      <c r="BB57" s="44">
        <v>330</v>
      </c>
      <c r="BC57" s="65">
        <f>161+131</f>
        <v>292</v>
      </c>
      <c r="BD57" s="44">
        <v>299</v>
      </c>
      <c r="BE57" s="44">
        <v>285</v>
      </c>
      <c r="BF57" s="65">
        <v>300</v>
      </c>
      <c r="BG57" s="44">
        <v>319</v>
      </c>
      <c r="BH57" s="65">
        <v>325</v>
      </c>
      <c r="BI57" s="44">
        <v>321</v>
      </c>
      <c r="BJ57" s="65">
        <v>318</v>
      </c>
      <c r="BK57" s="65">
        <v>325</v>
      </c>
      <c r="BL57" s="44">
        <v>343</v>
      </c>
      <c r="BM57" s="44">
        <v>328</v>
      </c>
      <c r="BN57" s="44">
        <v>349</v>
      </c>
      <c r="BO57" s="44">
        <v>342</v>
      </c>
      <c r="BP57" s="44">
        <v>346</v>
      </c>
      <c r="BQ57" s="44">
        <v>319</v>
      </c>
      <c r="BR57" s="44">
        <v>346</v>
      </c>
      <c r="BS57" s="44">
        <v>321</v>
      </c>
      <c r="BT57" s="44">
        <v>348</v>
      </c>
      <c r="BU57" s="44">
        <f t="shared" si="83"/>
        <v>319</v>
      </c>
      <c r="BV57" s="44">
        <f t="shared" si="83"/>
        <v>346</v>
      </c>
      <c r="BW57" s="44"/>
      <c r="BX57" s="44"/>
      <c r="BY57" s="44"/>
      <c r="BZ57" s="44"/>
      <c r="CA57" s="44"/>
      <c r="CB57" s="44"/>
      <c r="CC57" s="44"/>
      <c r="CD57" s="44"/>
      <c r="CE57" s="44"/>
      <c r="CF57" s="44"/>
      <c r="CG57" s="44"/>
      <c r="CH57" s="44"/>
      <c r="CI57" s="44"/>
      <c r="CJ57" s="44"/>
      <c r="CK57" s="44">
        <v>50</v>
      </c>
      <c r="CL57" s="44">
        <v>52</v>
      </c>
      <c r="CM57" s="44">
        <v>64</v>
      </c>
      <c r="CN57" s="115">
        <v>71</v>
      </c>
      <c r="CO57" s="115">
        <v>61</v>
      </c>
      <c r="CP57" s="115">
        <v>56</v>
      </c>
      <c r="CQ57" s="115">
        <v>70</v>
      </c>
      <c r="CR57" s="115">
        <v>55</v>
      </c>
      <c r="CS57" s="115">
        <v>51</v>
      </c>
      <c r="CT57" s="115">
        <v>46</v>
      </c>
      <c r="CU57" s="115">
        <v>0</v>
      </c>
      <c r="CV57" s="115">
        <v>0</v>
      </c>
      <c r="CW57" s="115">
        <v>41</v>
      </c>
      <c r="CX57" s="115">
        <v>29</v>
      </c>
      <c r="CY57" s="115">
        <v>0</v>
      </c>
      <c r="CZ57" s="115">
        <v>0</v>
      </c>
      <c r="DA57" s="115"/>
      <c r="DB57" s="115"/>
      <c r="DC57" s="115"/>
      <c r="DD57" s="115"/>
      <c r="DE57" s="115"/>
      <c r="DF57" s="115"/>
      <c r="DG57" s="115"/>
      <c r="DH57" s="115"/>
      <c r="DI57" s="115"/>
      <c r="DJ57" s="115"/>
      <c r="DK57" s="115"/>
      <c r="DL57" s="115"/>
      <c r="DM57" s="115"/>
      <c r="DN57" s="115"/>
      <c r="DO57" s="115"/>
      <c r="DP57" s="44"/>
      <c r="DQ57" s="44"/>
      <c r="DU57" s="68"/>
      <c r="DV57" s="68" t="s">
        <v>605</v>
      </c>
      <c r="DW57" s="68" t="s">
        <v>605</v>
      </c>
      <c r="DX57" s="68" t="s">
        <v>605</v>
      </c>
      <c r="DY57" s="44" t="s">
        <v>605</v>
      </c>
      <c r="DZ57" s="68" t="s">
        <v>605</v>
      </c>
      <c r="EA57" s="68" t="s">
        <v>605</v>
      </c>
      <c r="EB57" s="68" t="s">
        <v>605</v>
      </c>
      <c r="EC57" s="68" t="s">
        <v>605</v>
      </c>
      <c r="ED57" s="68">
        <f>SUM(W57:Z57)</f>
        <v>199</v>
      </c>
      <c r="EE57" s="68">
        <f>SUM(AA57:AD57)</f>
        <v>253</v>
      </c>
      <c r="EF57" s="68">
        <f>SUM(AE57:AH57)</f>
        <v>462</v>
      </c>
      <c r="EG57" s="44">
        <v>618</v>
      </c>
      <c r="EH57" s="44">
        <v>782</v>
      </c>
      <c r="EI57" s="44">
        <f>SUM(AQ57:AT57)</f>
        <v>944</v>
      </c>
      <c r="EJ57" s="44">
        <f>SUM(AU57:AX57)</f>
        <v>1115</v>
      </c>
      <c r="EK57" s="65">
        <f>SUM(AY57:BB57)</f>
        <v>1141</v>
      </c>
      <c r="EL57" s="68">
        <f>SUM(BC57:BF57)</f>
        <v>1176</v>
      </c>
      <c r="EM57" s="44">
        <f>SUM(BG57:BJ57)</f>
        <v>1283</v>
      </c>
      <c r="EN57" s="44">
        <f>SUM(BK57:BN57)</f>
        <v>1345</v>
      </c>
      <c r="EO57" s="44">
        <f>SUM(BO57:BR57)</f>
        <v>1353</v>
      </c>
      <c r="EP57" s="44">
        <f>SUM(BS57:BV57)</f>
        <v>1334</v>
      </c>
      <c r="EQ57" s="44">
        <f>EP57*0.2</f>
        <v>266.8</v>
      </c>
      <c r="ER57" s="44">
        <f>EQ57*0.2</f>
        <v>53.360000000000007</v>
      </c>
      <c r="ES57" s="44">
        <f>ER57*0.2</f>
        <v>10.672000000000002</v>
      </c>
      <c r="ET57" s="44">
        <f>ES57*0.2</f>
        <v>2.1344000000000007</v>
      </c>
      <c r="EU57" s="44">
        <f t="shared" si="11"/>
        <v>252</v>
      </c>
      <c r="EV57" s="44">
        <f t="shared" si="3"/>
        <v>222</v>
      </c>
      <c r="EW57" s="44">
        <f t="shared" si="4"/>
        <v>70</v>
      </c>
      <c r="EX57" s="44">
        <f t="shared" si="71"/>
        <v>0</v>
      </c>
      <c r="EY57" s="44">
        <f t="shared" si="6"/>
        <v>0</v>
      </c>
      <c r="EZ57" s="44"/>
      <c r="FA57" s="44"/>
      <c r="FB57" s="44"/>
      <c r="FC57" s="44"/>
      <c r="FD57" s="44"/>
      <c r="FE57" s="44"/>
      <c r="FF57" s="44"/>
      <c r="FG57" s="44"/>
      <c r="FH57" s="44"/>
      <c r="FI57" s="44"/>
      <c r="FJ57" s="44"/>
      <c r="FK57" s="44"/>
      <c r="FL57" s="44"/>
      <c r="FM57" s="44"/>
      <c r="FN57" s="44"/>
      <c r="FO57" s="44"/>
      <c r="FP57" s="44"/>
      <c r="FQ57" s="81">
        <f>EL57*0.5</f>
        <v>588</v>
      </c>
      <c r="FR57" s="44">
        <f>EQ57*0.1</f>
        <v>26.680000000000003</v>
      </c>
      <c r="FS57" s="82">
        <v>0</v>
      </c>
      <c r="FT57" s="44"/>
    </row>
    <row r="58" spans="1:184" s="9" customFormat="1">
      <c r="A58" s="14"/>
      <c r="B58" s="14" t="s">
        <v>647</v>
      </c>
      <c r="C58" s="68"/>
      <c r="D58" s="68"/>
      <c r="E58" s="68"/>
      <c r="F58" s="68"/>
      <c r="G58" s="68" t="s">
        <v>605</v>
      </c>
      <c r="H58" s="68" t="s">
        <v>605</v>
      </c>
      <c r="I58" s="68" t="s">
        <v>605</v>
      </c>
      <c r="J58" s="68" t="s">
        <v>605</v>
      </c>
      <c r="K58" s="68" t="s">
        <v>605</v>
      </c>
      <c r="L58" s="68" t="s">
        <v>605</v>
      </c>
      <c r="M58" s="68" t="s">
        <v>605</v>
      </c>
      <c r="N58" s="68" t="s">
        <v>605</v>
      </c>
      <c r="O58" s="68" t="s">
        <v>605</v>
      </c>
      <c r="P58" s="68" t="s">
        <v>605</v>
      </c>
      <c r="Q58" s="68" t="s">
        <v>605</v>
      </c>
      <c r="R58" s="68" t="s">
        <v>605</v>
      </c>
      <c r="S58" s="68" t="s">
        <v>605</v>
      </c>
      <c r="T58" s="68" t="s">
        <v>605</v>
      </c>
      <c r="U58" s="68" t="s">
        <v>605</v>
      </c>
      <c r="V58" s="68" t="s">
        <v>605</v>
      </c>
      <c r="W58" s="68" t="s">
        <v>605</v>
      </c>
      <c r="X58" s="68" t="s">
        <v>605</v>
      </c>
      <c r="Y58" s="68" t="s">
        <v>605</v>
      </c>
      <c r="Z58" s="68" t="s">
        <v>605</v>
      </c>
      <c r="AA58" s="68" t="s">
        <v>605</v>
      </c>
      <c r="AB58" s="68" t="s">
        <v>605</v>
      </c>
      <c r="AC58" s="68" t="s">
        <v>605</v>
      </c>
      <c r="AD58" s="68" t="s">
        <v>605</v>
      </c>
      <c r="AE58" s="68" t="s">
        <v>605</v>
      </c>
      <c r="AF58" s="68" t="s">
        <v>605</v>
      </c>
      <c r="AG58" s="68" t="s">
        <v>605</v>
      </c>
      <c r="AH58" s="68" t="s">
        <v>605</v>
      </c>
      <c r="AI58" s="68" t="s">
        <v>605</v>
      </c>
      <c r="AJ58" s="68" t="s">
        <v>605</v>
      </c>
      <c r="AK58" s="68" t="s">
        <v>605</v>
      </c>
      <c r="AL58" s="70" t="s">
        <v>605</v>
      </c>
      <c r="AM58" s="70" t="s">
        <v>605</v>
      </c>
      <c r="AN58" s="103" t="s">
        <v>605</v>
      </c>
      <c r="AO58" s="103" t="s">
        <v>605</v>
      </c>
      <c r="AP58" s="70" t="s">
        <v>605</v>
      </c>
      <c r="AQ58" s="75" t="s">
        <v>648</v>
      </c>
      <c r="AR58" s="75" t="s">
        <v>649</v>
      </c>
      <c r="AS58" s="75" t="s">
        <v>650</v>
      </c>
      <c r="AT58" s="75" t="s">
        <v>651</v>
      </c>
      <c r="AU58" s="73" t="s">
        <v>652</v>
      </c>
      <c r="AV58" s="75" t="s">
        <v>653</v>
      </c>
      <c r="AW58" s="73" t="s">
        <v>654</v>
      </c>
      <c r="AX58" s="75" t="s">
        <v>655</v>
      </c>
      <c r="AY58" s="75" t="s">
        <v>656</v>
      </c>
      <c r="AZ58" s="73" t="s">
        <v>657</v>
      </c>
      <c r="BA58" s="73" t="s">
        <v>658</v>
      </c>
      <c r="BB58" s="73">
        <v>520</v>
      </c>
      <c r="BC58" s="70">
        <f>592+124</f>
        <v>716</v>
      </c>
      <c r="BD58" s="68">
        <f>113+621</f>
        <v>734</v>
      </c>
      <c r="BE58" s="68">
        <f>175+118</f>
        <v>293</v>
      </c>
      <c r="BF58" s="70">
        <f>206+125</f>
        <v>331</v>
      </c>
      <c r="BG58" s="68">
        <f>204+129</f>
        <v>333</v>
      </c>
      <c r="BH58" s="70">
        <f>168+147</f>
        <v>315</v>
      </c>
      <c r="BI58" s="68">
        <f>165+146</f>
        <v>311</v>
      </c>
      <c r="BJ58" s="70">
        <f>141+155</f>
        <v>296</v>
      </c>
      <c r="BK58" s="70">
        <f>151+129</f>
        <v>280</v>
      </c>
      <c r="BL58" s="68">
        <f>158+106</f>
        <v>264</v>
      </c>
      <c r="BM58" s="68">
        <f>107+152</f>
        <v>259</v>
      </c>
      <c r="BN58" s="68">
        <f>169+83</f>
        <v>252</v>
      </c>
      <c r="BO58" s="68">
        <f>166+105</f>
        <v>271</v>
      </c>
      <c r="BP58" s="68">
        <f>177+125</f>
        <v>302</v>
      </c>
      <c r="BQ58" s="68">
        <f>173+96</f>
        <v>269</v>
      </c>
      <c r="BR58" s="68">
        <f>182+114</f>
        <v>296</v>
      </c>
      <c r="BS58" s="44">
        <f>172+82</f>
        <v>254</v>
      </c>
      <c r="BT58" s="44">
        <f>198+96</f>
        <v>294</v>
      </c>
      <c r="BU58" s="44">
        <f t="shared" si="83"/>
        <v>269</v>
      </c>
      <c r="BV58" s="44">
        <f t="shared" si="83"/>
        <v>296</v>
      </c>
      <c r="BW58" s="44"/>
      <c r="BX58" s="44"/>
      <c r="BY58" s="44"/>
      <c r="BZ58" s="44"/>
      <c r="CA58" s="44"/>
      <c r="CB58" s="44"/>
      <c r="CC58" s="44"/>
      <c r="CD58" s="44"/>
      <c r="CE58" s="44"/>
      <c r="CF58" s="44"/>
      <c r="CG58" s="44"/>
      <c r="CH58" s="44"/>
      <c r="CI58" s="44"/>
      <c r="CJ58" s="44"/>
      <c r="CK58" s="44">
        <v>78</v>
      </c>
      <c r="CL58" s="44">
        <v>83</v>
      </c>
      <c r="CM58" s="44">
        <v>77</v>
      </c>
      <c r="CN58" s="115">
        <v>86</v>
      </c>
      <c r="CO58" s="115">
        <v>80</v>
      </c>
      <c r="CP58" s="115">
        <v>94</v>
      </c>
      <c r="CQ58" s="115">
        <v>77</v>
      </c>
      <c r="CR58" s="115">
        <v>86</v>
      </c>
      <c r="CS58" s="115">
        <v>40</v>
      </c>
      <c r="CT58" s="115">
        <v>47</v>
      </c>
      <c r="CU58" s="115">
        <v>0</v>
      </c>
      <c r="CV58" s="115"/>
      <c r="CW58" s="115">
        <v>43</v>
      </c>
      <c r="CX58" s="115">
        <v>43</v>
      </c>
      <c r="CY58" s="115">
        <v>0</v>
      </c>
      <c r="CZ58" s="115"/>
      <c r="DA58" s="115"/>
      <c r="DB58" s="115"/>
      <c r="DC58" s="115"/>
      <c r="DD58" s="115"/>
      <c r="DE58" s="115"/>
      <c r="DF58" s="115"/>
      <c r="DG58" s="115"/>
      <c r="DH58" s="115"/>
      <c r="DI58" s="115"/>
      <c r="DJ58" s="115"/>
      <c r="DK58" s="115"/>
      <c r="DL58" s="115"/>
      <c r="DM58" s="115"/>
      <c r="DN58" s="115"/>
      <c r="DO58" s="115"/>
      <c r="DP58" s="44"/>
      <c r="DQ58" s="44"/>
      <c r="DR58" s="14"/>
      <c r="DS58" s="14"/>
      <c r="DT58" s="14"/>
      <c r="DU58" s="68"/>
      <c r="DV58" s="68" t="s">
        <v>605</v>
      </c>
      <c r="DW58" s="68" t="s">
        <v>605</v>
      </c>
      <c r="DX58" s="68" t="s">
        <v>605</v>
      </c>
      <c r="DY58" s="68" t="s">
        <v>605</v>
      </c>
      <c r="DZ58" s="68" t="s">
        <v>605</v>
      </c>
      <c r="EA58" s="68" t="s">
        <v>605</v>
      </c>
      <c r="EB58" s="68" t="s">
        <v>605</v>
      </c>
      <c r="EC58" s="68" t="s">
        <v>605</v>
      </c>
      <c r="ED58" s="68" t="s">
        <v>605</v>
      </c>
      <c r="EE58" s="68" t="s">
        <v>605</v>
      </c>
      <c r="EF58" s="68" t="s">
        <v>605</v>
      </c>
      <c r="EG58" s="68" t="s">
        <v>605</v>
      </c>
      <c r="EH58" s="73" t="s">
        <v>659</v>
      </c>
      <c r="EI58" s="73" t="s">
        <v>660</v>
      </c>
      <c r="EJ58" s="73" t="s">
        <v>661</v>
      </c>
      <c r="EK58" s="75">
        <f>SUM(AY58:BB58)</f>
        <v>520</v>
      </c>
      <c r="EL58" s="68">
        <f>SUM(BC58:BF58)</f>
        <v>2074</v>
      </c>
      <c r="EM58" s="44">
        <f>SUM(BG58:BJ58)</f>
        <v>1255</v>
      </c>
      <c r="EN58" s="44">
        <f>SUM(BK58:BN58)</f>
        <v>1055</v>
      </c>
      <c r="EO58" s="44">
        <f>SUM(BO58:BR58)</f>
        <v>1138</v>
      </c>
      <c r="EP58" s="44">
        <f>SUM(BS58:BV58)</f>
        <v>1113</v>
      </c>
      <c r="EQ58" s="68">
        <f>EP58*0.5</f>
        <v>556.5</v>
      </c>
      <c r="ER58" s="68">
        <f>EQ58*0.5</f>
        <v>278.25</v>
      </c>
      <c r="ES58" s="68">
        <f>ER58*0.5</f>
        <v>139.125</v>
      </c>
      <c r="ET58" s="68">
        <f>ES58*0.5</f>
        <v>69.5625</v>
      </c>
      <c r="EU58" s="44">
        <f t="shared" si="11"/>
        <v>337</v>
      </c>
      <c r="EV58" s="44">
        <f t="shared" si="3"/>
        <v>250</v>
      </c>
      <c r="EW58" s="44">
        <f t="shared" si="4"/>
        <v>86</v>
      </c>
      <c r="EX58" s="44">
        <f t="shared" si="71"/>
        <v>0</v>
      </c>
      <c r="EY58" s="44">
        <f t="shared" si="6"/>
        <v>0</v>
      </c>
      <c r="EZ58" s="68"/>
      <c r="FA58" s="68"/>
      <c r="FB58" s="68"/>
      <c r="FC58" s="68"/>
      <c r="FD58" s="68"/>
      <c r="FE58" s="68"/>
      <c r="FF58" s="68"/>
      <c r="FG58" s="68"/>
      <c r="FH58" s="68"/>
      <c r="FI58" s="68"/>
      <c r="FJ58" s="68"/>
      <c r="FK58" s="68"/>
      <c r="FL58" s="68"/>
      <c r="FM58" s="68"/>
      <c r="FN58" s="68"/>
      <c r="FO58" s="68"/>
      <c r="FP58" s="68"/>
      <c r="FQ58" s="83">
        <f>EL58*0.3</f>
        <v>622.19999999999993</v>
      </c>
      <c r="FR58" s="68">
        <f>EQ58*0.2</f>
        <v>111.30000000000001</v>
      </c>
      <c r="FS58" s="84">
        <f>EV58*0.1</f>
        <v>25</v>
      </c>
      <c r="FT58" s="68"/>
      <c r="FU58" s="14" t="s">
        <v>662</v>
      </c>
      <c r="FV58" s="14"/>
      <c r="FW58" s="14"/>
      <c r="FX58" s="14"/>
      <c r="FY58" s="14"/>
      <c r="FZ58" s="14"/>
      <c r="GA58" s="14"/>
      <c r="GB58" s="14"/>
    </row>
    <row r="59" spans="1:184">
      <c r="B59" s="4" t="s">
        <v>706</v>
      </c>
      <c r="AA59" s="44"/>
      <c r="AB59" s="44"/>
      <c r="AC59" s="44"/>
      <c r="AD59" s="44"/>
      <c r="AE59" s="44"/>
      <c r="AF59" s="44"/>
      <c r="AG59" s="44"/>
      <c r="AH59" s="44"/>
      <c r="AI59" s="68"/>
      <c r="AJ59" s="44"/>
      <c r="AL59" s="65"/>
      <c r="AM59" s="65"/>
      <c r="AN59" s="69"/>
      <c r="AO59" s="69"/>
      <c r="AP59" s="103"/>
      <c r="AQ59" s="65"/>
      <c r="AR59" s="65"/>
      <c r="AS59" s="65"/>
      <c r="AT59" s="65"/>
      <c r="AU59" s="44"/>
      <c r="AV59" s="65"/>
      <c r="AW59" s="44"/>
      <c r="AX59" s="65"/>
      <c r="AY59" s="65"/>
      <c r="AZ59" s="44"/>
      <c r="BA59" s="44"/>
      <c r="BB59" s="44"/>
      <c r="BC59" s="65">
        <v>84</v>
      </c>
      <c r="BD59" s="44"/>
      <c r="BE59" s="44">
        <v>78</v>
      </c>
      <c r="BF59" s="65">
        <v>74</v>
      </c>
      <c r="BG59" s="44">
        <v>73</v>
      </c>
      <c r="BH59" s="65">
        <v>75</v>
      </c>
      <c r="BI59" s="44">
        <v>76</v>
      </c>
      <c r="BJ59" s="65">
        <v>74</v>
      </c>
      <c r="BK59" s="65">
        <v>81</v>
      </c>
      <c r="BL59" s="44">
        <v>86</v>
      </c>
      <c r="BM59" s="44">
        <v>82</v>
      </c>
      <c r="BN59" s="44">
        <v>86</v>
      </c>
      <c r="BO59" s="44">
        <v>87</v>
      </c>
      <c r="BP59" s="44">
        <v>92</v>
      </c>
      <c r="BQ59" s="44">
        <v>92</v>
      </c>
      <c r="BR59" s="44">
        <v>87</v>
      </c>
      <c r="BS59" s="44">
        <v>74</v>
      </c>
      <c r="BT59" s="44">
        <v>82</v>
      </c>
      <c r="BU59" s="44">
        <f t="shared" si="83"/>
        <v>92</v>
      </c>
      <c r="BV59" s="44">
        <f t="shared" si="83"/>
        <v>87</v>
      </c>
      <c r="BW59" s="44"/>
      <c r="BX59" s="44"/>
      <c r="BY59" s="44"/>
      <c r="BZ59" s="44"/>
      <c r="CA59" s="44"/>
      <c r="CB59" s="44"/>
      <c r="CC59" s="44"/>
      <c r="CD59" s="44"/>
      <c r="CE59" s="44"/>
      <c r="CF59" s="44"/>
      <c r="CG59" s="44"/>
      <c r="CH59" s="44"/>
      <c r="CI59" s="44"/>
      <c r="CJ59" s="44"/>
      <c r="CK59" s="44">
        <v>60</v>
      </c>
      <c r="CL59" s="44">
        <v>62</v>
      </c>
      <c r="CM59" s="44">
        <v>0</v>
      </c>
      <c r="CN59" s="115">
        <v>0</v>
      </c>
      <c r="CO59" s="115">
        <v>50</v>
      </c>
      <c r="CP59" s="115">
        <v>51</v>
      </c>
      <c r="CQ59" s="115">
        <v>0</v>
      </c>
      <c r="CR59" s="115">
        <v>0</v>
      </c>
      <c r="CS59" s="115">
        <v>33</v>
      </c>
      <c r="CT59" s="115">
        <v>45</v>
      </c>
      <c r="CU59" s="115">
        <v>0</v>
      </c>
      <c r="CV59" s="115"/>
      <c r="CW59" s="115">
        <v>56</v>
      </c>
      <c r="CX59" s="115">
        <v>47</v>
      </c>
      <c r="CY59" s="115">
        <v>0</v>
      </c>
      <c r="CZ59" s="115"/>
      <c r="DA59" s="115"/>
      <c r="DB59" s="115"/>
      <c r="DC59" s="115"/>
      <c r="DD59" s="115"/>
      <c r="DE59" s="115"/>
      <c r="DF59" s="115"/>
      <c r="DG59" s="115"/>
      <c r="DH59" s="115"/>
      <c r="DI59" s="115"/>
      <c r="DJ59" s="115"/>
      <c r="DK59" s="115"/>
      <c r="DL59" s="115"/>
      <c r="DM59" s="115"/>
      <c r="DN59" s="115"/>
      <c r="DO59" s="115"/>
      <c r="DP59" s="44"/>
      <c r="DQ59" s="44"/>
      <c r="DR59" s="44"/>
      <c r="DS59" s="44"/>
      <c r="DT59" s="44"/>
      <c r="DU59" s="68"/>
      <c r="DV59" s="68"/>
      <c r="DW59" s="68"/>
      <c r="DX59" s="68"/>
      <c r="DY59" s="68"/>
      <c r="DZ59" s="68"/>
      <c r="EA59" s="68"/>
      <c r="EB59" s="68"/>
      <c r="EC59" s="68"/>
      <c r="ED59" s="68"/>
      <c r="EE59" s="68"/>
      <c r="EF59" s="68"/>
      <c r="EG59" s="44"/>
      <c r="EH59" s="44"/>
      <c r="EI59" s="44"/>
      <c r="EJ59" s="44"/>
      <c r="EK59" s="65"/>
      <c r="EL59" s="44">
        <f>SUM(BC59:BF59)</f>
        <v>236</v>
      </c>
      <c r="EM59" s="44">
        <f>SUM(BG59:BJ59)</f>
        <v>298</v>
      </c>
      <c r="EN59" s="44">
        <f>SUM(BK59:BN59)</f>
        <v>335</v>
      </c>
      <c r="EO59" s="44">
        <f>SUM(BO59:BR59)</f>
        <v>358</v>
      </c>
      <c r="EP59" s="44">
        <f>SUM(BS59:BV59)</f>
        <v>335</v>
      </c>
      <c r="EQ59" s="44">
        <f t="shared" ref="EQ59:ET59" si="91">+EP59*0.8</f>
        <v>268</v>
      </c>
      <c r="ER59" s="44">
        <f t="shared" si="91"/>
        <v>214.4</v>
      </c>
      <c r="ES59" s="44">
        <f t="shared" si="91"/>
        <v>171.52</v>
      </c>
      <c r="ET59" s="44">
        <f t="shared" si="91"/>
        <v>137.21600000000001</v>
      </c>
      <c r="EU59" s="44">
        <f t="shared" si="11"/>
        <v>101</v>
      </c>
      <c r="EV59" s="44">
        <f t="shared" si="3"/>
        <v>78</v>
      </c>
      <c r="EW59" s="44">
        <f t="shared" si="4"/>
        <v>103</v>
      </c>
      <c r="EX59" s="44">
        <f t="shared" si="71"/>
        <v>0</v>
      </c>
      <c r="EY59" s="44">
        <f t="shared" si="6"/>
        <v>0</v>
      </c>
      <c r="FS59" s="82">
        <f>+EV59*0.2</f>
        <v>15.600000000000001</v>
      </c>
    </row>
    <row r="60" spans="1:184">
      <c r="B60" s="4" t="s">
        <v>1382</v>
      </c>
      <c r="AA60" s="44"/>
      <c r="AB60" s="44"/>
      <c r="AC60" s="44"/>
      <c r="AD60" s="44"/>
      <c r="AE60" s="44"/>
      <c r="AF60" s="44"/>
      <c r="AG60" s="44"/>
      <c r="AH60" s="44"/>
      <c r="AI60" s="68"/>
      <c r="AJ60" s="44"/>
      <c r="AL60" s="65"/>
      <c r="AM60" s="65"/>
      <c r="AN60" s="69"/>
      <c r="AO60" s="69"/>
      <c r="AP60" s="103"/>
      <c r="AQ60" s="65"/>
      <c r="AR60" s="65"/>
      <c r="AS60" s="65"/>
      <c r="AT60" s="65"/>
      <c r="AU60" s="44"/>
      <c r="AV60" s="65"/>
      <c r="AW60" s="44"/>
      <c r="AX60" s="65"/>
      <c r="AY60" s="65"/>
      <c r="AZ60" s="44"/>
      <c r="BA60" s="44"/>
      <c r="BB60" s="44"/>
      <c r="BC60" s="65"/>
      <c r="BD60" s="44"/>
      <c r="BE60" s="44"/>
      <c r="BF60" s="65"/>
      <c r="BG60" s="44"/>
      <c r="BH60" s="65"/>
      <c r="BI60" s="44"/>
      <c r="BJ60" s="65"/>
      <c r="BK60" s="65"/>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v>0</v>
      </c>
      <c r="CL60" s="44">
        <v>0</v>
      </c>
      <c r="CM60" s="44">
        <v>0</v>
      </c>
      <c r="CN60" s="115">
        <v>40</v>
      </c>
      <c r="CO60" s="115">
        <v>0</v>
      </c>
      <c r="CP60" s="115">
        <v>0</v>
      </c>
      <c r="CQ60" s="115">
        <v>0</v>
      </c>
      <c r="CR60" s="115">
        <v>114</v>
      </c>
      <c r="CS60" s="115">
        <v>55</v>
      </c>
      <c r="CT60" s="115">
        <v>48</v>
      </c>
      <c r="CU60" s="115">
        <v>0</v>
      </c>
      <c r="CV60" s="115"/>
      <c r="CW60" s="115">
        <v>50</v>
      </c>
      <c r="CX60" s="115">
        <v>30</v>
      </c>
      <c r="CY60" s="115">
        <v>0</v>
      </c>
      <c r="CZ60" s="115"/>
      <c r="DA60" s="115"/>
      <c r="DB60" s="115"/>
      <c r="DC60" s="115"/>
      <c r="DD60" s="115"/>
      <c r="DE60" s="115"/>
      <c r="DF60" s="115"/>
      <c r="DG60" s="115"/>
      <c r="DH60" s="115"/>
      <c r="DI60" s="115"/>
      <c r="DJ60" s="115"/>
      <c r="DK60" s="115"/>
      <c r="DL60" s="115"/>
      <c r="DM60" s="115"/>
      <c r="DN60" s="115"/>
      <c r="DO60" s="115"/>
      <c r="DP60" s="44"/>
      <c r="DQ60" s="44"/>
      <c r="DR60" s="44"/>
      <c r="DS60" s="44"/>
      <c r="DT60" s="44"/>
      <c r="DU60" s="68"/>
      <c r="DV60" s="68"/>
      <c r="DW60" s="68"/>
      <c r="DX60" s="68"/>
      <c r="DY60" s="68"/>
      <c r="DZ60" s="68"/>
      <c r="EA60" s="68"/>
      <c r="EB60" s="68"/>
      <c r="EC60" s="68"/>
      <c r="ED60" s="68"/>
      <c r="EE60" s="68"/>
      <c r="EF60" s="68"/>
      <c r="EG60" s="44"/>
      <c r="EH60" s="44"/>
      <c r="EI60" s="44"/>
      <c r="EJ60" s="44"/>
      <c r="EK60" s="65"/>
      <c r="EU60" s="44">
        <f t="shared" si="11"/>
        <v>40</v>
      </c>
      <c r="EV60" s="44">
        <f t="shared" si="3"/>
        <v>217</v>
      </c>
      <c r="EW60" s="44">
        <f t="shared" si="4"/>
        <v>80</v>
      </c>
      <c r="EX60" s="44">
        <f t="shared" si="71"/>
        <v>0</v>
      </c>
      <c r="EY60" s="44">
        <f t="shared" si="6"/>
        <v>0</v>
      </c>
    </row>
    <row r="61" spans="1:184">
      <c r="B61" s="14" t="s">
        <v>721</v>
      </c>
      <c r="W61" s="44"/>
      <c r="X61" s="44"/>
      <c r="Y61" s="44"/>
      <c r="Z61" s="44"/>
      <c r="AA61" s="44"/>
      <c r="AB61" s="44"/>
      <c r="AC61" s="44"/>
      <c r="AD61" s="44"/>
      <c r="AE61" s="44"/>
      <c r="AF61" s="44"/>
      <c r="AG61" s="44"/>
      <c r="AH61" s="44"/>
      <c r="AI61" s="68"/>
      <c r="AJ61" s="44"/>
      <c r="AK61" s="44"/>
      <c r="AL61" s="65"/>
      <c r="AM61" s="65"/>
      <c r="AN61" s="65"/>
      <c r="AO61" s="65"/>
      <c r="AP61" s="70"/>
      <c r="AQ61" s="65"/>
      <c r="AR61" s="65"/>
      <c r="AS61" s="65"/>
      <c r="AT61" s="65"/>
      <c r="AU61" s="44"/>
      <c r="AV61" s="65"/>
      <c r="AW61" s="44"/>
      <c r="AX61" s="65"/>
      <c r="AY61" s="65"/>
      <c r="AZ61" s="44"/>
      <c r="BA61" s="44"/>
      <c r="BB61" s="44"/>
      <c r="BC61" s="65"/>
      <c r="BD61" s="44"/>
      <c r="BE61" s="44">
        <v>0</v>
      </c>
      <c r="BF61" s="70" t="s">
        <v>605</v>
      </c>
      <c r="BG61" s="44"/>
      <c r="BH61" s="65">
        <v>66</v>
      </c>
      <c r="BI61" s="44">
        <v>59</v>
      </c>
      <c r="BJ61" s="70" t="s">
        <v>605</v>
      </c>
      <c r="BK61" s="65">
        <v>58</v>
      </c>
      <c r="BL61" s="44">
        <v>92</v>
      </c>
      <c r="BM61" s="44">
        <v>67</v>
      </c>
      <c r="BN61" s="68" t="s">
        <v>605</v>
      </c>
      <c r="BO61" s="68">
        <v>72</v>
      </c>
      <c r="BP61" s="68">
        <v>73</v>
      </c>
      <c r="BQ61" s="68">
        <v>85</v>
      </c>
      <c r="BR61" s="68" t="s">
        <v>605</v>
      </c>
      <c r="BS61" s="44">
        <v>63</v>
      </c>
      <c r="BT61" s="44">
        <v>89</v>
      </c>
      <c r="BU61" s="44">
        <f>+BQ61</f>
        <v>85</v>
      </c>
      <c r="BV61" s="44" t="str">
        <f>+BR61</f>
        <v>-</v>
      </c>
      <c r="BW61" s="44"/>
      <c r="BX61" s="44"/>
      <c r="BY61" s="44"/>
      <c r="BZ61" s="44"/>
      <c r="CA61" s="44"/>
      <c r="CB61" s="44"/>
      <c r="CC61" s="44"/>
      <c r="CD61" s="44"/>
      <c r="CE61" s="44"/>
      <c r="CF61" s="44"/>
      <c r="CG61" s="44"/>
      <c r="CH61" s="44"/>
      <c r="CI61" s="44"/>
      <c r="CJ61" s="44"/>
      <c r="CK61" s="44">
        <v>68</v>
      </c>
      <c r="CL61" s="44">
        <v>88</v>
      </c>
      <c r="CM61" s="44">
        <v>56</v>
      </c>
      <c r="CN61" s="115">
        <v>67</v>
      </c>
      <c r="CO61" s="115">
        <v>92</v>
      </c>
      <c r="CP61" s="115">
        <v>65</v>
      </c>
      <c r="CQ61" s="115">
        <v>72</v>
      </c>
      <c r="CR61" s="115">
        <v>64</v>
      </c>
      <c r="CS61" s="115">
        <v>75</v>
      </c>
      <c r="CT61" s="115">
        <v>0</v>
      </c>
      <c r="CU61" s="115">
        <v>0</v>
      </c>
      <c r="CV61" s="115">
        <v>0</v>
      </c>
      <c r="CW61" s="115">
        <v>78</v>
      </c>
      <c r="CX61" s="115">
        <v>0</v>
      </c>
      <c r="CY61" s="115">
        <v>0</v>
      </c>
      <c r="CZ61" s="115"/>
      <c r="DA61" s="115"/>
      <c r="DB61" s="115"/>
      <c r="DC61" s="115"/>
      <c r="DD61" s="115"/>
      <c r="DE61" s="115"/>
      <c r="DF61" s="115"/>
      <c r="DG61" s="115"/>
      <c r="DH61" s="115"/>
      <c r="DI61" s="115"/>
      <c r="DJ61" s="115"/>
      <c r="DK61" s="115"/>
      <c r="DL61" s="115"/>
      <c r="DM61" s="115"/>
      <c r="DN61" s="115"/>
      <c r="DO61" s="115"/>
      <c r="DP61" s="44"/>
      <c r="DQ61" s="44"/>
      <c r="DR61" s="14"/>
      <c r="DU61" s="68"/>
      <c r="DV61" s="68"/>
      <c r="DW61" s="44"/>
      <c r="DX61" s="44"/>
      <c r="DY61" s="44"/>
      <c r="DZ61" s="68"/>
      <c r="EA61" s="68"/>
      <c r="EB61" s="68"/>
      <c r="EC61" s="68"/>
      <c r="ED61" s="68"/>
      <c r="EE61" s="68"/>
      <c r="EF61" s="68"/>
      <c r="EG61" s="44"/>
      <c r="EH61" s="44"/>
      <c r="EI61" s="44"/>
      <c r="EJ61" s="44"/>
      <c r="EK61" s="65"/>
      <c r="EN61" s="44">
        <f>SUM(BK61:BN61)</f>
        <v>217</v>
      </c>
      <c r="EO61" s="44">
        <f>SUM(BO61:BR61)</f>
        <v>230</v>
      </c>
      <c r="EP61" s="44">
        <f>SUM(BS61:BV61)</f>
        <v>237</v>
      </c>
      <c r="EQ61" s="44">
        <f t="shared" ref="EQ61:ET61" si="92">+EP61*0.9</f>
        <v>213.3</v>
      </c>
      <c r="ER61" s="44">
        <f t="shared" si="92"/>
        <v>191.97000000000003</v>
      </c>
      <c r="ES61" s="44">
        <f t="shared" si="92"/>
        <v>172.77300000000002</v>
      </c>
      <c r="ET61" s="44">
        <f t="shared" si="92"/>
        <v>155.49570000000003</v>
      </c>
      <c r="EU61" s="44">
        <f t="shared" si="11"/>
        <v>280</v>
      </c>
      <c r="EV61" s="44">
        <f t="shared" si="3"/>
        <v>211</v>
      </c>
      <c r="EW61" s="44">
        <f t="shared" si="4"/>
        <v>78</v>
      </c>
      <c r="EX61" s="44">
        <f t="shared" si="71"/>
        <v>0</v>
      </c>
      <c r="EY61" s="44">
        <f t="shared" si="6"/>
        <v>0</v>
      </c>
      <c r="FQ61" s="44"/>
      <c r="FS61" s="82">
        <f>+EV61*0.5</f>
        <v>105.5</v>
      </c>
    </row>
    <row r="62" spans="1:184" s="20" customFormat="1" collapsed="1">
      <c r="B62" s="111" t="s">
        <v>631</v>
      </c>
      <c r="C62" s="68" t="s">
        <v>605</v>
      </c>
      <c r="D62" s="68" t="s">
        <v>605</v>
      </c>
      <c r="E62" s="68" t="s">
        <v>605</v>
      </c>
      <c r="F62" s="68" t="s">
        <v>605</v>
      </c>
      <c r="G62" s="68" t="s">
        <v>605</v>
      </c>
      <c r="H62" s="68" t="s">
        <v>605</v>
      </c>
      <c r="I62" s="68" t="s">
        <v>605</v>
      </c>
      <c r="J62" s="68" t="s">
        <v>605</v>
      </c>
      <c r="K62" s="68" t="s">
        <v>605</v>
      </c>
      <c r="L62" s="68" t="s">
        <v>605</v>
      </c>
      <c r="M62" s="68" t="s">
        <v>605</v>
      </c>
      <c r="N62" s="68" t="s">
        <v>605</v>
      </c>
      <c r="O62" s="68" t="s">
        <v>605</v>
      </c>
      <c r="P62" s="68" t="s">
        <v>605</v>
      </c>
      <c r="Q62" s="68" t="s">
        <v>605</v>
      </c>
      <c r="R62" s="68" t="s">
        <v>605</v>
      </c>
      <c r="S62" s="68" t="s">
        <v>605</v>
      </c>
      <c r="T62" s="68" t="s">
        <v>605</v>
      </c>
      <c r="U62" s="68" t="s">
        <v>605</v>
      </c>
      <c r="V62" s="68" t="s">
        <v>605</v>
      </c>
      <c r="W62" s="44">
        <v>607</v>
      </c>
      <c r="X62" s="44">
        <v>807</v>
      </c>
      <c r="Y62" s="44">
        <v>824</v>
      </c>
      <c r="Z62" s="44">
        <v>812</v>
      </c>
      <c r="AA62" s="44">
        <v>585</v>
      </c>
      <c r="AB62" s="44">
        <f>239+105</f>
        <v>344</v>
      </c>
      <c r="AC62" s="44">
        <f>496+205</f>
        <v>701</v>
      </c>
      <c r="AD62" s="44">
        <f>587+223</f>
        <v>810</v>
      </c>
      <c r="AE62" s="44">
        <f>558+211</f>
        <v>769</v>
      </c>
      <c r="AF62" s="44">
        <f>504+224</f>
        <v>728</v>
      </c>
      <c r="AG62" s="44">
        <f>583+214</f>
        <v>797</v>
      </c>
      <c r="AH62" s="44">
        <f>719+289</f>
        <v>1008</v>
      </c>
      <c r="AI62" s="68">
        <f>265+146</f>
        <v>411</v>
      </c>
      <c r="AJ62" s="44">
        <f>306+95</f>
        <v>401</v>
      </c>
      <c r="AK62" s="44">
        <f>339+107</f>
        <v>446</v>
      </c>
      <c r="AL62" s="65">
        <v>472</v>
      </c>
      <c r="AM62" s="65">
        <v>491</v>
      </c>
      <c r="AN62" s="65">
        <v>471</v>
      </c>
      <c r="AO62" s="65">
        <v>537</v>
      </c>
      <c r="AP62" s="70">
        <v>540</v>
      </c>
      <c r="AQ62" s="65">
        <v>598</v>
      </c>
      <c r="AR62" s="65">
        <v>478</v>
      </c>
      <c r="AS62" s="65">
        <v>577</v>
      </c>
      <c r="AT62" s="65">
        <v>637</v>
      </c>
      <c r="AU62" s="44">
        <f>464+147</f>
        <v>611</v>
      </c>
      <c r="AV62" s="65">
        <f>415+174</f>
        <v>589</v>
      </c>
      <c r="AW62" s="44">
        <v>625</v>
      </c>
      <c r="AX62" s="65">
        <v>664</v>
      </c>
      <c r="AY62" s="65">
        <v>564</v>
      </c>
      <c r="AZ62" s="44">
        <v>548</v>
      </c>
      <c r="BA62" s="44">
        <v>602</v>
      </c>
      <c r="BB62" s="44">
        <f>467+202</f>
        <v>669</v>
      </c>
      <c r="BC62" s="65">
        <f>388+182</f>
        <v>570</v>
      </c>
      <c r="BD62" s="44">
        <v>604</v>
      </c>
      <c r="BE62" s="44">
        <v>578</v>
      </c>
      <c r="BF62" s="65">
        <v>622</v>
      </c>
      <c r="BG62" s="44">
        <v>591</v>
      </c>
      <c r="BH62" s="65">
        <v>622</v>
      </c>
      <c r="BI62" s="44">
        <v>643</v>
      </c>
      <c r="BJ62" s="65">
        <v>667</v>
      </c>
      <c r="BK62" s="65">
        <v>634</v>
      </c>
      <c r="BL62" s="44">
        <v>659</v>
      </c>
      <c r="BM62" s="44">
        <v>676</v>
      </c>
      <c r="BN62" s="44">
        <v>750</v>
      </c>
      <c r="BO62" s="44">
        <v>653</v>
      </c>
      <c r="BP62" s="44">
        <v>715</v>
      </c>
      <c r="BQ62" s="44">
        <v>752</v>
      </c>
      <c r="BR62" s="44">
        <v>798</v>
      </c>
      <c r="BS62" s="44">
        <v>624</v>
      </c>
      <c r="BT62" s="44">
        <v>762</v>
      </c>
      <c r="BU62" s="44">
        <f>+BQ62*0.7</f>
        <v>526.4</v>
      </c>
      <c r="BV62" s="44">
        <f>+BR62*0.6</f>
        <v>478.79999999999995</v>
      </c>
      <c r="BW62" s="44"/>
      <c r="BX62" s="44"/>
      <c r="BY62" s="44"/>
      <c r="BZ62" s="44"/>
      <c r="CA62" s="44"/>
      <c r="CB62" s="44"/>
      <c r="CC62" s="44"/>
      <c r="CD62" s="44"/>
      <c r="CE62" s="44"/>
      <c r="CF62" s="44"/>
      <c r="CG62" s="44"/>
      <c r="CH62" s="44"/>
      <c r="CI62" s="44"/>
      <c r="CJ62" s="44"/>
      <c r="CK62" s="44">
        <v>188</v>
      </c>
      <c r="CL62" s="44">
        <v>192</v>
      </c>
      <c r="CM62" s="44">
        <v>174</v>
      </c>
      <c r="CN62" s="115">
        <v>174</v>
      </c>
      <c r="CO62" s="115">
        <v>179</v>
      </c>
      <c r="CP62" s="115">
        <v>193</v>
      </c>
      <c r="CQ62" s="115">
        <v>156</v>
      </c>
      <c r="CR62" s="115">
        <v>139</v>
      </c>
      <c r="CS62" s="115">
        <v>0</v>
      </c>
      <c r="CT62" s="115">
        <v>0</v>
      </c>
      <c r="CU62" s="115">
        <v>0</v>
      </c>
      <c r="CV62" s="115">
        <v>0</v>
      </c>
      <c r="CW62" s="115">
        <v>0</v>
      </c>
      <c r="CX62" s="115">
        <v>0</v>
      </c>
      <c r="CY62" s="115">
        <v>0</v>
      </c>
      <c r="CZ62" s="115"/>
      <c r="DA62" s="115"/>
      <c r="DB62" s="115"/>
      <c r="DC62" s="115"/>
      <c r="DD62" s="115"/>
      <c r="DE62" s="115"/>
      <c r="DF62" s="115"/>
      <c r="DG62" s="115"/>
      <c r="DH62" s="115"/>
      <c r="DI62" s="115"/>
      <c r="DJ62" s="115"/>
      <c r="DK62" s="115"/>
      <c r="DL62" s="115"/>
      <c r="DM62" s="115"/>
      <c r="DN62" s="115"/>
      <c r="DO62" s="115"/>
      <c r="DP62" s="44"/>
      <c r="DQ62" s="44"/>
      <c r="DU62" s="68"/>
      <c r="DV62" s="68" t="s">
        <v>605</v>
      </c>
      <c r="DW62" s="68" t="s">
        <v>605</v>
      </c>
      <c r="DX62" s="68" t="s">
        <v>605</v>
      </c>
      <c r="DY62" s="68" t="s">
        <v>605</v>
      </c>
      <c r="DZ62" s="68" t="s">
        <v>605</v>
      </c>
      <c r="EA62" s="68" t="s">
        <v>605</v>
      </c>
      <c r="EB62" s="68" t="s">
        <v>605</v>
      </c>
      <c r="EC62" s="68" t="s">
        <v>605</v>
      </c>
      <c r="ED62" s="68">
        <f>SUM(W62:Z62)</f>
        <v>3050</v>
      </c>
      <c r="EE62" s="44">
        <f>SUM(AA62:AD62)</f>
        <v>2440</v>
      </c>
      <c r="EF62" s="68">
        <f>SUM(AE62:AH62)</f>
        <v>3302</v>
      </c>
      <c r="EG62" s="44">
        <v>1730</v>
      </c>
      <c r="EH62" s="44">
        <v>2039</v>
      </c>
      <c r="EI62" s="44">
        <f>SUM(AQ62:AT62)</f>
        <v>2290</v>
      </c>
      <c r="EJ62" s="68">
        <f>SUM(AU62:AX62)</f>
        <v>2489</v>
      </c>
      <c r="EK62" s="65">
        <f t="shared" si="84"/>
        <v>2383</v>
      </c>
      <c r="EL62" s="68">
        <f t="shared" ref="EL62:EL66" si="93">SUM(BC62:BF62)</f>
        <v>2374</v>
      </c>
      <c r="EM62" s="68">
        <f>SUM(BG62:BJ62)</f>
        <v>2523</v>
      </c>
      <c r="EN62" s="44">
        <f t="shared" si="87"/>
        <v>2719</v>
      </c>
      <c r="EO62" s="44">
        <f t="shared" si="88"/>
        <v>2918</v>
      </c>
      <c r="EP62" s="44">
        <f t="shared" si="89"/>
        <v>2391.1999999999998</v>
      </c>
      <c r="EQ62" s="44">
        <f>EP62*0.4</f>
        <v>956.48</v>
      </c>
      <c r="ER62" s="44">
        <f>EQ62*0.6</f>
        <v>573.88800000000003</v>
      </c>
      <c r="ES62" s="44">
        <f>ER62*0.6</f>
        <v>344.33280000000002</v>
      </c>
      <c r="ET62" s="44">
        <f>+ES62</f>
        <v>344.33280000000002</v>
      </c>
      <c r="EU62" s="44">
        <f t="shared" si="11"/>
        <v>720</v>
      </c>
      <c r="EV62" s="44">
        <f t="shared" si="3"/>
        <v>295</v>
      </c>
      <c r="EW62" s="44">
        <f t="shared" si="4"/>
        <v>0</v>
      </c>
      <c r="EX62" s="44">
        <f t="shared" si="71"/>
        <v>0</v>
      </c>
      <c r="EY62" s="44">
        <f t="shared" si="6"/>
        <v>0</v>
      </c>
      <c r="EZ62" s="44"/>
      <c r="FA62" s="44"/>
      <c r="FB62" s="44"/>
      <c r="FC62" s="44"/>
      <c r="FD62" s="44"/>
      <c r="FE62" s="44"/>
      <c r="FF62" s="44"/>
      <c r="FG62" s="44"/>
      <c r="FH62" s="44"/>
      <c r="FI62" s="44"/>
      <c r="FJ62" s="44"/>
      <c r="FK62" s="44"/>
      <c r="FL62" s="44"/>
      <c r="FM62" s="44"/>
      <c r="FN62" s="44"/>
      <c r="FO62" s="44"/>
      <c r="FP62" s="44"/>
      <c r="FQ62" s="81">
        <f>EL62*0.4</f>
        <v>949.6</v>
      </c>
      <c r="FR62" s="44">
        <f>EQ62*0.2</f>
        <v>191.29600000000002</v>
      </c>
      <c r="FS62" s="82">
        <f>EV62*0.1</f>
        <v>29.5</v>
      </c>
      <c r="FT62" s="44"/>
      <c r="FU62" s="111" t="s">
        <v>632</v>
      </c>
    </row>
    <row r="63" spans="1:184">
      <c r="B63" s="4" t="s">
        <v>678</v>
      </c>
      <c r="C63" s="62"/>
      <c r="D63" s="62"/>
      <c r="E63" s="62"/>
      <c r="F63" s="62"/>
      <c r="G63" s="62" t="s">
        <v>605</v>
      </c>
      <c r="H63" s="62" t="s">
        <v>605</v>
      </c>
      <c r="I63" s="62" t="s">
        <v>605</v>
      </c>
      <c r="J63" s="62" t="s">
        <v>605</v>
      </c>
      <c r="K63" s="62" t="s">
        <v>605</v>
      </c>
      <c r="L63" s="62" t="s">
        <v>605</v>
      </c>
      <c r="M63" s="62" t="s">
        <v>605</v>
      </c>
      <c r="N63" s="62" t="s">
        <v>605</v>
      </c>
      <c r="O63" s="62" t="s">
        <v>605</v>
      </c>
      <c r="P63" s="62" t="s">
        <v>605</v>
      </c>
      <c r="Q63" s="62" t="s">
        <v>605</v>
      </c>
      <c r="R63" s="62" t="s">
        <v>605</v>
      </c>
      <c r="S63" s="62" t="s">
        <v>605</v>
      </c>
      <c r="T63" s="62" t="s">
        <v>605</v>
      </c>
      <c r="U63" s="62" t="s">
        <v>605</v>
      </c>
      <c r="V63" s="62" t="s">
        <v>605</v>
      </c>
      <c r="W63" s="44">
        <v>220</v>
      </c>
      <c r="X63" s="44">
        <v>209</v>
      </c>
      <c r="Y63" s="44">
        <v>256</v>
      </c>
      <c r="Z63" s="44">
        <v>243</v>
      </c>
      <c r="AA63" s="44">
        <v>239</v>
      </c>
      <c r="AB63" s="44">
        <f>45+58</f>
        <v>103</v>
      </c>
      <c r="AC63" s="44">
        <f>103+151</f>
        <v>254</v>
      </c>
      <c r="AD63" s="44">
        <f>110+156</f>
        <v>266</v>
      </c>
      <c r="AE63" s="44">
        <f>99+180</f>
        <v>279</v>
      </c>
      <c r="AF63" s="44">
        <f>91+200</f>
        <v>291</v>
      </c>
      <c r="AG63" s="44">
        <f>105+199</f>
        <v>304</v>
      </c>
      <c r="AH63" s="44">
        <f>123+230</f>
        <v>353</v>
      </c>
      <c r="AI63" s="68">
        <f>105+228</f>
        <v>333</v>
      </c>
      <c r="AJ63" s="44">
        <f>102+239</f>
        <v>341</v>
      </c>
      <c r="AK63" s="44">
        <f>110+228</f>
        <v>338</v>
      </c>
      <c r="AL63" s="65">
        <v>361</v>
      </c>
      <c r="AM63" s="65">
        <v>337</v>
      </c>
      <c r="AN63" s="69">
        <v>351</v>
      </c>
      <c r="AO63" s="103">
        <v>374</v>
      </c>
      <c r="AP63" s="70">
        <v>391</v>
      </c>
      <c r="AQ63" s="65">
        <v>360</v>
      </c>
      <c r="AR63" s="65">
        <v>389</v>
      </c>
      <c r="AS63" s="65">
        <v>402</v>
      </c>
      <c r="AT63" s="65">
        <v>453</v>
      </c>
      <c r="AU63" s="44">
        <f>135+270</f>
        <v>405</v>
      </c>
      <c r="AV63" s="65">
        <f>118+318</f>
        <v>436</v>
      </c>
      <c r="AW63" s="44">
        <v>450</v>
      </c>
      <c r="AX63" s="65">
        <v>454</v>
      </c>
      <c r="AY63" s="65">
        <v>407</v>
      </c>
      <c r="AZ63" s="44">
        <v>395</v>
      </c>
      <c r="BA63" s="44">
        <v>436</v>
      </c>
      <c r="BB63" s="44">
        <v>499</v>
      </c>
      <c r="BC63" s="65">
        <f>145+277</f>
        <v>422</v>
      </c>
      <c r="BD63" s="44">
        <v>449</v>
      </c>
      <c r="BE63" s="44">
        <v>416</v>
      </c>
      <c r="BF63" s="65">
        <v>462</v>
      </c>
      <c r="BG63" s="44">
        <v>392</v>
      </c>
      <c r="BH63" s="65">
        <v>291</v>
      </c>
      <c r="BI63" s="44">
        <v>277</v>
      </c>
      <c r="BJ63" s="65">
        <v>290</v>
      </c>
      <c r="BK63" s="65">
        <v>227</v>
      </c>
      <c r="BL63" s="44">
        <v>209</v>
      </c>
      <c r="BM63" s="44">
        <v>181</v>
      </c>
      <c r="BN63" s="44">
        <v>189</v>
      </c>
      <c r="BO63" s="44">
        <v>147</v>
      </c>
      <c r="BP63" s="44">
        <v>147</v>
      </c>
      <c r="BQ63" s="44">
        <v>140</v>
      </c>
      <c r="BR63" s="44">
        <v>155</v>
      </c>
      <c r="BS63" s="44">
        <v>119</v>
      </c>
      <c r="BT63" s="44">
        <v>128</v>
      </c>
      <c r="BU63" s="44">
        <f>+BQ63</f>
        <v>140</v>
      </c>
      <c r="BV63" s="44">
        <f>+BR63</f>
        <v>155</v>
      </c>
      <c r="BW63" s="44"/>
      <c r="BX63" s="44"/>
      <c r="BY63" s="44"/>
      <c r="BZ63" s="44"/>
      <c r="CA63" s="44"/>
      <c r="CB63" s="44"/>
      <c r="CC63" s="44"/>
      <c r="CD63" s="44"/>
      <c r="CE63" s="44"/>
      <c r="CF63" s="44"/>
      <c r="CG63" s="44"/>
      <c r="CH63" s="44"/>
      <c r="CI63" s="44"/>
      <c r="CJ63" s="44"/>
      <c r="CK63" s="44">
        <v>76</v>
      </c>
      <c r="CL63" s="44">
        <v>85</v>
      </c>
      <c r="CM63" s="44">
        <v>62</v>
      </c>
      <c r="CN63" s="115">
        <v>72</v>
      </c>
      <c r="CO63" s="115">
        <v>68</v>
      </c>
      <c r="CP63" s="115">
        <v>80</v>
      </c>
      <c r="CQ63" s="115">
        <v>61</v>
      </c>
      <c r="CR63" s="115">
        <v>65</v>
      </c>
      <c r="CS63" s="115">
        <v>0</v>
      </c>
      <c r="CT63" s="115">
        <v>0</v>
      </c>
      <c r="CU63" s="115">
        <v>0</v>
      </c>
      <c r="CV63" s="115">
        <v>0</v>
      </c>
      <c r="CW63" s="115">
        <v>0</v>
      </c>
      <c r="CX63" s="115">
        <v>0</v>
      </c>
      <c r="CY63" s="115">
        <v>0</v>
      </c>
      <c r="CZ63" s="115"/>
      <c r="DA63" s="115"/>
      <c r="DB63" s="115"/>
      <c r="DC63" s="115"/>
      <c r="DD63" s="115"/>
      <c r="DE63" s="115"/>
      <c r="DF63" s="115"/>
      <c r="DG63" s="115"/>
      <c r="DH63" s="115"/>
      <c r="DI63" s="115"/>
      <c r="DJ63" s="115"/>
      <c r="DK63" s="115"/>
      <c r="DL63" s="115"/>
      <c r="DM63" s="115"/>
      <c r="DN63" s="115"/>
      <c r="DO63" s="115"/>
      <c r="DP63" s="44"/>
      <c r="DQ63" s="44"/>
      <c r="DU63" s="68"/>
      <c r="DV63" s="68" t="s">
        <v>605</v>
      </c>
      <c r="DW63" s="68" t="s">
        <v>605</v>
      </c>
      <c r="DX63" s="68" t="s">
        <v>605</v>
      </c>
      <c r="DY63" s="68" t="s">
        <v>605</v>
      </c>
      <c r="DZ63" s="68" t="s">
        <v>605</v>
      </c>
      <c r="EA63" s="68" t="s">
        <v>605</v>
      </c>
      <c r="EB63" s="68" t="s">
        <v>605</v>
      </c>
      <c r="EC63" s="68" t="s">
        <v>605</v>
      </c>
      <c r="ED63" s="44">
        <v>928</v>
      </c>
      <c r="EE63" s="44">
        <v>862</v>
      </c>
      <c r="EF63" s="44">
        <v>1227</v>
      </c>
      <c r="EG63" s="44">
        <v>1372</v>
      </c>
      <c r="EH63" s="44">
        <v>1453</v>
      </c>
      <c r="EI63" s="44">
        <f>SUM(AQ63:AT63)</f>
        <v>1604</v>
      </c>
      <c r="EJ63" s="68">
        <f>SUM(AU63:AX63)</f>
        <v>1745</v>
      </c>
      <c r="EK63" s="65">
        <f t="shared" si="84"/>
        <v>1737</v>
      </c>
      <c r="EL63" s="68">
        <f t="shared" si="93"/>
        <v>1749</v>
      </c>
      <c r="EM63" s="44">
        <f>EL63*0.5</f>
        <v>874.5</v>
      </c>
      <c r="EN63" s="44">
        <f t="shared" si="87"/>
        <v>806</v>
      </c>
      <c r="EO63" s="44">
        <f t="shared" si="88"/>
        <v>589</v>
      </c>
      <c r="EP63" s="44">
        <f t="shared" si="89"/>
        <v>542</v>
      </c>
      <c r="EQ63" s="44">
        <f t="shared" ref="EQ63:ET63" si="94">EP63*0.8</f>
        <v>433.6</v>
      </c>
      <c r="ER63" s="44">
        <f t="shared" si="94"/>
        <v>346.88000000000005</v>
      </c>
      <c r="ES63" s="44">
        <f t="shared" si="94"/>
        <v>277.50400000000008</v>
      </c>
      <c r="ET63" s="44">
        <f t="shared" si="94"/>
        <v>222.00320000000008</v>
      </c>
      <c r="EU63" s="44">
        <f t="shared" si="11"/>
        <v>282</v>
      </c>
      <c r="EV63" s="44">
        <f t="shared" si="3"/>
        <v>126</v>
      </c>
      <c r="EW63" s="44">
        <f t="shared" si="4"/>
        <v>0</v>
      </c>
      <c r="EX63" s="44">
        <f t="shared" si="71"/>
        <v>0</v>
      </c>
      <c r="EY63" s="44">
        <f t="shared" si="6"/>
        <v>0</v>
      </c>
      <c r="FQ63" s="81">
        <f>EL63*0.5</f>
        <v>874.5</v>
      </c>
      <c r="FR63" s="44">
        <f>EQ63*0.1</f>
        <v>43.360000000000007</v>
      </c>
      <c r="FS63" s="82">
        <v>0</v>
      </c>
    </row>
    <row r="64" spans="1:184" collapsed="1">
      <c r="B64" s="4" t="s">
        <v>679</v>
      </c>
      <c r="C64" s="62"/>
      <c r="D64" s="62"/>
      <c r="E64" s="62"/>
      <c r="F64" s="62"/>
      <c r="G64" s="62" t="s">
        <v>605</v>
      </c>
      <c r="H64" s="62" t="s">
        <v>605</v>
      </c>
      <c r="I64" s="62" t="s">
        <v>605</v>
      </c>
      <c r="J64" s="62" t="s">
        <v>605</v>
      </c>
      <c r="K64" s="62" t="s">
        <v>605</v>
      </c>
      <c r="L64" s="62" t="s">
        <v>605</v>
      </c>
      <c r="M64" s="62" t="s">
        <v>605</v>
      </c>
      <c r="N64" s="62" t="s">
        <v>605</v>
      </c>
      <c r="O64" s="62" t="s">
        <v>605</v>
      </c>
      <c r="P64" s="62" t="s">
        <v>605</v>
      </c>
      <c r="Q64" s="62" t="s">
        <v>605</v>
      </c>
      <c r="R64" s="62" t="s">
        <v>605</v>
      </c>
      <c r="S64" s="62" t="s">
        <v>605</v>
      </c>
      <c r="T64" s="62" t="s">
        <v>605</v>
      </c>
      <c r="U64" s="62" t="s">
        <v>605</v>
      </c>
      <c r="V64" s="62" t="s">
        <v>605</v>
      </c>
      <c r="W64" s="44">
        <v>174</v>
      </c>
      <c r="X64" s="44">
        <v>191</v>
      </c>
      <c r="Y64" s="44">
        <v>197</v>
      </c>
      <c r="Z64" s="44">
        <v>195</v>
      </c>
      <c r="AA64" s="44">
        <v>190</v>
      </c>
      <c r="AB64" s="44">
        <f>77+21</f>
        <v>98</v>
      </c>
      <c r="AC64" s="44">
        <f>160+51</f>
        <v>211</v>
      </c>
      <c r="AD64" s="44">
        <f>176+58</f>
        <v>234</v>
      </c>
      <c r="AE64" s="44">
        <f>145+61</f>
        <v>206</v>
      </c>
      <c r="AF64" s="44">
        <f>115+67</f>
        <v>182</v>
      </c>
      <c r="AG64" s="44">
        <f>166+65</f>
        <v>231</v>
      </c>
      <c r="AH64" s="44">
        <f>207+78</f>
        <v>285</v>
      </c>
      <c r="AI64" s="68">
        <f>180+72</f>
        <v>252</v>
      </c>
      <c r="AJ64" s="44">
        <f>142+80</f>
        <v>222</v>
      </c>
      <c r="AK64" s="44">
        <f>160+71</f>
        <v>231</v>
      </c>
      <c r="AL64" s="65">
        <v>283</v>
      </c>
      <c r="AM64" s="65">
        <v>260</v>
      </c>
      <c r="AN64" s="69">
        <v>255</v>
      </c>
      <c r="AO64" s="70">
        <v>295</v>
      </c>
      <c r="AP64" s="70">
        <v>290</v>
      </c>
      <c r="AQ64" s="65">
        <v>303</v>
      </c>
      <c r="AR64" s="65">
        <v>269</v>
      </c>
      <c r="AS64" s="65">
        <v>294</v>
      </c>
      <c r="AT64" s="65">
        <v>324</v>
      </c>
      <c r="AU64" s="44">
        <f>222+91</f>
        <v>313</v>
      </c>
      <c r="AV64" s="65">
        <f>183+107</f>
        <v>290</v>
      </c>
      <c r="AW64" s="44">
        <v>298</v>
      </c>
      <c r="AX64" s="65">
        <v>313</v>
      </c>
      <c r="AY64" s="65">
        <v>289</v>
      </c>
      <c r="AZ64" s="44">
        <v>273</v>
      </c>
      <c r="BA64" s="44">
        <v>283</v>
      </c>
      <c r="BB64" s="44">
        <v>309</v>
      </c>
      <c r="BC64" s="65">
        <f>176+85</f>
        <v>261</v>
      </c>
      <c r="BD64" s="44">
        <v>260</v>
      </c>
      <c r="BE64" s="44">
        <v>237</v>
      </c>
      <c r="BF64" s="65">
        <v>255</v>
      </c>
      <c r="BG64" s="44">
        <v>225</v>
      </c>
      <c r="BH64" s="65">
        <v>230</v>
      </c>
      <c r="BI64" s="44">
        <v>213</v>
      </c>
      <c r="BJ64" s="65">
        <v>215</v>
      </c>
      <c r="BK64" s="65">
        <v>195</v>
      </c>
      <c r="BL64" s="44">
        <v>205</v>
      </c>
      <c r="BM64" s="44">
        <v>176</v>
      </c>
      <c r="BN64" s="44">
        <v>185</v>
      </c>
      <c r="BO64" s="44">
        <v>151</v>
      </c>
      <c r="BP64" s="44">
        <v>155</v>
      </c>
      <c r="BQ64" s="44">
        <v>131</v>
      </c>
      <c r="BR64" s="44">
        <v>125</v>
      </c>
      <c r="BS64" s="44"/>
      <c r="BT64" s="44">
        <v>57</v>
      </c>
      <c r="BU64" s="44">
        <f>+BT64</f>
        <v>57</v>
      </c>
      <c r="BV64" s="44">
        <f>+BU64</f>
        <v>57</v>
      </c>
      <c r="BW64" s="44"/>
      <c r="BX64" s="44"/>
      <c r="BY64" s="44"/>
      <c r="BZ64" s="44"/>
      <c r="CA64" s="44"/>
      <c r="CB64" s="44"/>
      <c r="CC64" s="44"/>
      <c r="CD64" s="44"/>
      <c r="CE64" s="44"/>
      <c r="CF64" s="44"/>
      <c r="CG64" s="44"/>
      <c r="CH64" s="44"/>
      <c r="CI64" s="44"/>
      <c r="CJ64" s="44"/>
      <c r="CK64" s="44">
        <v>0</v>
      </c>
      <c r="CL64" s="44">
        <v>0</v>
      </c>
      <c r="CM64" s="44">
        <v>0</v>
      </c>
      <c r="CN64" s="115">
        <v>0</v>
      </c>
      <c r="CO64" s="115">
        <v>0</v>
      </c>
      <c r="CP64" s="115">
        <v>0</v>
      </c>
      <c r="CQ64" s="115">
        <v>0</v>
      </c>
      <c r="CR64" s="115">
        <v>0</v>
      </c>
      <c r="CS64" s="115">
        <v>0</v>
      </c>
      <c r="CT64" s="115">
        <v>0</v>
      </c>
      <c r="CU64" s="115">
        <v>0</v>
      </c>
      <c r="CV64" s="115">
        <v>0</v>
      </c>
      <c r="CW64" s="115">
        <v>0</v>
      </c>
      <c r="CX64" s="115">
        <v>0</v>
      </c>
      <c r="CY64" s="115">
        <v>0</v>
      </c>
      <c r="CZ64" s="115"/>
      <c r="DA64" s="115"/>
      <c r="DB64" s="115"/>
      <c r="DC64" s="115"/>
      <c r="DD64" s="115"/>
      <c r="DE64" s="115"/>
      <c r="DF64" s="115"/>
      <c r="DG64" s="115"/>
      <c r="DH64" s="115"/>
      <c r="DI64" s="115"/>
      <c r="DJ64" s="115"/>
      <c r="DK64" s="115"/>
      <c r="DL64" s="115"/>
      <c r="DM64" s="115"/>
      <c r="DN64" s="115"/>
      <c r="DO64" s="115"/>
      <c r="DP64" s="44"/>
      <c r="DQ64" s="44"/>
      <c r="DU64" s="68"/>
      <c r="DV64" s="68" t="s">
        <v>605</v>
      </c>
      <c r="DW64" s="68" t="s">
        <v>605</v>
      </c>
      <c r="DX64" s="68" t="s">
        <v>605</v>
      </c>
      <c r="DY64" s="68" t="s">
        <v>605</v>
      </c>
      <c r="DZ64" s="68" t="s">
        <v>605</v>
      </c>
      <c r="EA64" s="68" t="s">
        <v>605</v>
      </c>
      <c r="EB64" s="68" t="s">
        <v>605</v>
      </c>
      <c r="EC64" s="68" t="s">
        <v>605</v>
      </c>
      <c r="ED64" s="44">
        <v>757</v>
      </c>
      <c r="EE64" s="44">
        <v>544</v>
      </c>
      <c r="EF64" s="44">
        <v>904</v>
      </c>
      <c r="EG64" s="44">
        <v>988</v>
      </c>
      <c r="EH64" s="44">
        <v>1100</v>
      </c>
      <c r="EI64" s="44">
        <f>SUM(AQ64:AT64)</f>
        <v>1190</v>
      </c>
      <c r="EJ64" s="44">
        <f>SUM(AU64:AX64)</f>
        <v>1214</v>
      </c>
      <c r="EK64" s="65">
        <f t="shared" si="84"/>
        <v>1154</v>
      </c>
      <c r="EL64" s="68">
        <f t="shared" si="93"/>
        <v>1013</v>
      </c>
      <c r="EM64" s="44">
        <f>SUM(BG64:BJ64)</f>
        <v>883</v>
      </c>
      <c r="EN64" s="44">
        <f t="shared" si="87"/>
        <v>761</v>
      </c>
      <c r="EO64" s="44">
        <f t="shared" si="88"/>
        <v>562</v>
      </c>
      <c r="EP64" s="44">
        <f t="shared" si="89"/>
        <v>171</v>
      </c>
      <c r="EQ64" s="44">
        <f>EP64*0.3</f>
        <v>51.3</v>
      </c>
      <c r="ER64" s="44">
        <f>EQ64*0.3</f>
        <v>15.389999999999999</v>
      </c>
      <c r="ES64" s="44">
        <f>ER64*0.3</f>
        <v>4.6169999999999991</v>
      </c>
      <c r="ET64" s="44">
        <f>ES64*0.3</f>
        <v>1.3850999999999998</v>
      </c>
      <c r="EU64" s="44">
        <f t="shared" si="11"/>
        <v>0</v>
      </c>
      <c r="EV64" s="44">
        <f t="shared" si="3"/>
        <v>0</v>
      </c>
      <c r="EW64" s="44">
        <f t="shared" si="4"/>
        <v>0</v>
      </c>
      <c r="EX64" s="44">
        <f t="shared" si="71"/>
        <v>0</v>
      </c>
      <c r="EY64" s="44">
        <f t="shared" si="6"/>
        <v>0</v>
      </c>
      <c r="FQ64" s="81">
        <f>EL64*0.3</f>
        <v>303.89999999999998</v>
      </c>
      <c r="FR64" s="44">
        <f t="shared" ref="FR64" si="95">EQ64*0.1</f>
        <v>5.13</v>
      </c>
      <c r="FS64" s="82">
        <v>0</v>
      </c>
      <c r="FU64" s="4" t="s">
        <v>680</v>
      </c>
    </row>
    <row r="65" spans="2:177" collapsed="1">
      <c r="B65" s="14" t="s">
        <v>684</v>
      </c>
      <c r="C65" s="37">
        <v>394</v>
      </c>
      <c r="D65" s="37">
        <v>323</v>
      </c>
      <c r="E65" s="37">
        <v>395</v>
      </c>
      <c r="F65" s="44">
        <f>DY65-E65-D65-C65</f>
        <v>395</v>
      </c>
      <c r="G65" s="37">
        <f>373+79</f>
        <v>452</v>
      </c>
      <c r="H65" s="37">
        <f>305+85</f>
        <v>390</v>
      </c>
      <c r="I65" s="37">
        <f>394+86</f>
        <v>480</v>
      </c>
      <c r="J65" s="37">
        <f>379+102</f>
        <v>481</v>
      </c>
      <c r="K65" s="37">
        <f>425+92</f>
        <v>517</v>
      </c>
      <c r="L65" s="37">
        <f>353+100</f>
        <v>453</v>
      </c>
      <c r="M65" s="37">
        <f>416+104</f>
        <v>520</v>
      </c>
      <c r="N65" s="37">
        <f>405+102</f>
        <v>507</v>
      </c>
      <c r="O65" s="37">
        <f>419+95</f>
        <v>514</v>
      </c>
      <c r="P65" s="37">
        <f>383+101</f>
        <v>484</v>
      </c>
      <c r="Q65" s="37">
        <f>459+96</f>
        <v>555</v>
      </c>
      <c r="R65" s="37">
        <f>485+102</f>
        <v>587</v>
      </c>
      <c r="S65" s="37">
        <f>503+105</f>
        <v>608</v>
      </c>
      <c r="T65" s="37">
        <f>410+105</f>
        <v>515</v>
      </c>
      <c r="U65" s="37">
        <f>490+108</f>
        <v>598</v>
      </c>
      <c r="V65" s="37">
        <f>526+120</f>
        <v>646</v>
      </c>
      <c r="W65" s="44">
        <f>630+110</f>
        <v>740</v>
      </c>
      <c r="X65" s="44">
        <f>456+118</f>
        <v>574</v>
      </c>
      <c r="Y65" s="44">
        <f>524+129</f>
        <v>653</v>
      </c>
      <c r="Z65" s="44">
        <f>636+139</f>
        <v>775</v>
      </c>
      <c r="AA65" s="44">
        <f>620+138</f>
        <v>758</v>
      </c>
      <c r="AB65" s="44">
        <f>480+150</f>
        <v>630</v>
      </c>
      <c r="AC65" s="44">
        <f>676+155</f>
        <v>831</v>
      </c>
      <c r="AD65" s="44">
        <f>726+172</f>
        <v>898</v>
      </c>
      <c r="AE65" s="44">
        <f>644+166</f>
        <v>810</v>
      </c>
      <c r="AF65" s="44">
        <f>608+181</f>
        <v>789</v>
      </c>
      <c r="AG65" s="44">
        <f>637+165</f>
        <v>802</v>
      </c>
      <c r="AH65" s="44">
        <f>768+191</f>
        <v>959</v>
      </c>
      <c r="AI65" s="68">
        <f>661+184</f>
        <v>845</v>
      </c>
      <c r="AJ65" s="44">
        <f>613+183</f>
        <v>796</v>
      </c>
      <c r="AK65" s="44">
        <f>647+160</f>
        <v>807</v>
      </c>
      <c r="AL65" s="65">
        <v>808</v>
      </c>
      <c r="AM65" s="65">
        <v>779</v>
      </c>
      <c r="AN65" s="69">
        <v>706</v>
      </c>
      <c r="AO65" s="103">
        <v>459</v>
      </c>
      <c r="AP65" s="70">
        <v>166</v>
      </c>
      <c r="AQ65" s="65">
        <v>146</v>
      </c>
      <c r="AR65" s="65">
        <v>127</v>
      </c>
      <c r="AS65" s="65">
        <v>124</v>
      </c>
      <c r="AT65" s="65">
        <v>134</v>
      </c>
      <c r="AU65" s="44">
        <f>26+96</f>
        <v>122</v>
      </c>
      <c r="AV65" s="65">
        <f>42+109</f>
        <v>151</v>
      </c>
      <c r="AW65" s="44">
        <v>135</v>
      </c>
      <c r="AX65" s="65">
        <v>131</v>
      </c>
      <c r="AY65" s="65">
        <v>115</v>
      </c>
      <c r="AZ65" s="44">
        <v>125</v>
      </c>
      <c r="BA65" s="44">
        <v>128</v>
      </c>
      <c r="BB65" s="44">
        <v>148</v>
      </c>
      <c r="BC65" s="65">
        <f>17+103</f>
        <v>120</v>
      </c>
      <c r="BD65" s="44">
        <v>144</v>
      </c>
      <c r="BE65" s="44">
        <v>126</v>
      </c>
      <c r="BF65" s="65">
        <v>142</v>
      </c>
      <c r="BG65" s="44">
        <v>135</v>
      </c>
      <c r="BH65" s="65">
        <v>146</v>
      </c>
      <c r="BI65" s="44">
        <v>139</v>
      </c>
      <c r="BJ65" s="65">
        <v>153</v>
      </c>
      <c r="BK65" s="65">
        <v>130</v>
      </c>
      <c r="BL65" s="44">
        <v>139</v>
      </c>
      <c r="BM65" s="44">
        <v>129</v>
      </c>
      <c r="BN65" s="44">
        <v>143</v>
      </c>
      <c r="BO65" s="44">
        <v>116</v>
      </c>
      <c r="BP65" s="44">
        <v>109</v>
      </c>
      <c r="BQ65" s="44">
        <v>116</v>
      </c>
      <c r="BR65" s="44">
        <v>128</v>
      </c>
      <c r="BS65" s="44">
        <v>101</v>
      </c>
      <c r="BT65" s="44">
        <v>104</v>
      </c>
      <c r="BU65" s="44">
        <f t="shared" ref="BU65:BV67" si="96">+BQ65</f>
        <v>116</v>
      </c>
      <c r="BV65" s="44">
        <f t="shared" si="96"/>
        <v>128</v>
      </c>
      <c r="BW65" s="44"/>
      <c r="BX65" s="44"/>
      <c r="BY65" s="44"/>
      <c r="BZ65" s="44"/>
      <c r="CA65" s="44"/>
      <c r="CB65" s="44"/>
      <c r="CC65" s="44"/>
      <c r="CD65" s="44"/>
      <c r="CE65" s="44"/>
      <c r="CF65" s="44"/>
      <c r="CG65" s="44"/>
      <c r="CH65" s="44"/>
      <c r="CI65" s="44"/>
      <c r="CJ65" s="44"/>
      <c r="CK65" s="44">
        <v>72</v>
      </c>
      <c r="CL65" s="44">
        <v>75</v>
      </c>
      <c r="CM65" s="44">
        <v>69</v>
      </c>
      <c r="CN65" s="115">
        <v>73</v>
      </c>
      <c r="CO65" s="115">
        <v>74</v>
      </c>
      <c r="CP65" s="115">
        <v>78</v>
      </c>
      <c r="CQ65" s="115">
        <v>78</v>
      </c>
      <c r="CR65" s="115">
        <v>79</v>
      </c>
      <c r="CS65" s="115">
        <v>0</v>
      </c>
      <c r="CT65" s="115">
        <v>0</v>
      </c>
      <c r="CU65" s="115">
        <v>0</v>
      </c>
      <c r="CV65" s="115">
        <v>0</v>
      </c>
      <c r="CW65" s="115">
        <v>0</v>
      </c>
      <c r="CX65" s="115">
        <v>0</v>
      </c>
      <c r="CY65" s="115">
        <v>0</v>
      </c>
      <c r="CZ65" s="115"/>
      <c r="DA65" s="115"/>
      <c r="DB65" s="115"/>
      <c r="DC65" s="115"/>
      <c r="DD65" s="115"/>
      <c r="DE65" s="115"/>
      <c r="DF65" s="115"/>
      <c r="DG65" s="115"/>
      <c r="DH65" s="115"/>
      <c r="DI65" s="115"/>
      <c r="DJ65" s="115"/>
      <c r="DK65" s="115"/>
      <c r="DL65" s="115"/>
      <c r="DM65" s="115"/>
      <c r="DN65" s="115"/>
      <c r="DO65" s="115"/>
      <c r="DP65" s="44"/>
      <c r="DQ65" s="44"/>
      <c r="DU65" s="68"/>
      <c r="DV65" s="68">
        <v>718</v>
      </c>
      <c r="DW65" s="44">
        <v>1037</v>
      </c>
      <c r="DX65" s="44">
        <v>1337</v>
      </c>
      <c r="DY65" s="44">
        <f>1220+287</f>
        <v>1507</v>
      </c>
      <c r="DZ65" s="44">
        <v>1803</v>
      </c>
      <c r="EA65" s="44">
        <v>1997</v>
      </c>
      <c r="EB65" s="44">
        <v>2140</v>
      </c>
      <c r="EC65" s="44">
        <v>2365</v>
      </c>
      <c r="ED65" s="44">
        <v>2742</v>
      </c>
      <c r="EE65" s="44">
        <v>3117</v>
      </c>
      <c r="EF65" s="44">
        <v>3361</v>
      </c>
      <c r="EG65" s="44">
        <v>3256</v>
      </c>
      <c r="EH65" s="44">
        <v>2110</v>
      </c>
      <c r="EI65" s="44">
        <f>SUM(AQ65:AT65)</f>
        <v>531</v>
      </c>
      <c r="EJ65" s="44">
        <f>SUM(AU65:AX65)</f>
        <v>539</v>
      </c>
      <c r="EK65" s="65">
        <f t="shared" si="84"/>
        <v>516</v>
      </c>
      <c r="EL65" s="44">
        <f t="shared" si="93"/>
        <v>532</v>
      </c>
      <c r="EM65" s="44">
        <f>SUM(BG65:BJ65)</f>
        <v>573</v>
      </c>
      <c r="EN65" s="44">
        <f t="shared" si="87"/>
        <v>541</v>
      </c>
      <c r="EO65" s="44">
        <f t="shared" si="88"/>
        <v>469</v>
      </c>
      <c r="EP65" s="44">
        <f t="shared" si="89"/>
        <v>449</v>
      </c>
      <c r="EQ65" s="44">
        <f t="shared" ref="EQ65:ET65" si="97">EP65*0.9</f>
        <v>404.1</v>
      </c>
      <c r="ER65" s="44">
        <f t="shared" si="97"/>
        <v>363.69000000000005</v>
      </c>
      <c r="ES65" s="44">
        <f t="shared" si="97"/>
        <v>327.32100000000008</v>
      </c>
      <c r="ET65" s="44">
        <f t="shared" si="97"/>
        <v>294.58890000000008</v>
      </c>
      <c r="EU65" s="44">
        <f t="shared" si="11"/>
        <v>294</v>
      </c>
      <c r="EV65" s="44">
        <f t="shared" si="3"/>
        <v>157</v>
      </c>
      <c r="EW65" s="44">
        <f t="shared" si="4"/>
        <v>0</v>
      </c>
      <c r="EX65" s="44">
        <f t="shared" si="71"/>
        <v>0</v>
      </c>
      <c r="EY65" s="44">
        <f t="shared" si="6"/>
        <v>0</v>
      </c>
      <c r="FQ65" s="81">
        <f>EL65*0.2</f>
        <v>106.4</v>
      </c>
      <c r="FR65" s="44">
        <f>EQ65*0.1</f>
        <v>40.410000000000004</v>
      </c>
      <c r="FS65" s="82">
        <f>EV65*0.1</f>
        <v>15.700000000000001</v>
      </c>
      <c r="FU65" s="14" t="s">
        <v>685</v>
      </c>
    </row>
    <row r="66" spans="2:177">
      <c r="B66" s="14" t="s">
        <v>686</v>
      </c>
      <c r="C66" s="62"/>
      <c r="D66" s="62"/>
      <c r="E66" s="62"/>
      <c r="F66" s="62"/>
      <c r="G66" s="62" t="s">
        <v>605</v>
      </c>
      <c r="H66" s="62" t="s">
        <v>605</v>
      </c>
      <c r="I66" s="62" t="s">
        <v>605</v>
      </c>
      <c r="J66" s="62" t="s">
        <v>605</v>
      </c>
      <c r="K66" s="62" t="s">
        <v>605</v>
      </c>
      <c r="L66" s="62" t="s">
        <v>605</v>
      </c>
      <c r="M66" s="62" t="s">
        <v>605</v>
      </c>
      <c r="N66" s="62" t="s">
        <v>605</v>
      </c>
      <c r="O66" s="62" t="s">
        <v>605</v>
      </c>
      <c r="P66" s="62" t="s">
        <v>605</v>
      </c>
      <c r="Q66" s="62" t="s">
        <v>605</v>
      </c>
      <c r="R66" s="62" t="s">
        <v>605</v>
      </c>
      <c r="S66" s="62" t="s">
        <v>605</v>
      </c>
      <c r="T66" s="62" t="s">
        <v>605</v>
      </c>
      <c r="U66" s="62" t="s">
        <v>605</v>
      </c>
      <c r="V66" s="62" t="s">
        <v>605</v>
      </c>
      <c r="W66" s="68" t="s">
        <v>605</v>
      </c>
      <c r="X66" s="68" t="s">
        <v>605</v>
      </c>
      <c r="Y66" s="68" t="s">
        <v>605</v>
      </c>
      <c r="Z66" s="68" t="s">
        <v>605</v>
      </c>
      <c r="AA66" s="68" t="s">
        <v>605</v>
      </c>
      <c r="AB66" s="68" t="s">
        <v>605</v>
      </c>
      <c r="AC66" s="68" t="s">
        <v>605</v>
      </c>
      <c r="AD66" s="68" t="s">
        <v>605</v>
      </c>
      <c r="AE66" s="68" t="s">
        <v>605</v>
      </c>
      <c r="AF66" s="68" t="s">
        <v>605</v>
      </c>
      <c r="AG66" s="68" t="s">
        <v>605</v>
      </c>
      <c r="AH66" s="68" t="s">
        <v>605</v>
      </c>
      <c r="AI66" s="68" t="s">
        <v>605</v>
      </c>
      <c r="AJ66" s="68" t="s">
        <v>605</v>
      </c>
      <c r="AK66" s="68" t="s">
        <v>605</v>
      </c>
      <c r="AL66" s="70" t="s">
        <v>605</v>
      </c>
      <c r="AM66" s="70" t="s">
        <v>605</v>
      </c>
      <c r="AN66" s="103" t="s">
        <v>605</v>
      </c>
      <c r="AO66" s="103" t="s">
        <v>605</v>
      </c>
      <c r="AP66" s="70" t="s">
        <v>605</v>
      </c>
      <c r="AQ66" s="75" t="s">
        <v>687</v>
      </c>
      <c r="AR66" s="75" t="s">
        <v>688</v>
      </c>
      <c r="AS66" s="75" t="s">
        <v>689</v>
      </c>
      <c r="AT66" s="75" t="s">
        <v>690</v>
      </c>
      <c r="AU66" s="73" t="s">
        <v>691</v>
      </c>
      <c r="AV66" s="75" t="s">
        <v>692</v>
      </c>
      <c r="AW66" s="73" t="s">
        <v>693</v>
      </c>
      <c r="AX66" s="75" t="s">
        <v>694</v>
      </c>
      <c r="AY66" s="75" t="s">
        <v>695</v>
      </c>
      <c r="AZ66" s="73" t="s">
        <v>696</v>
      </c>
      <c r="BA66" s="73" t="s">
        <v>697</v>
      </c>
      <c r="BB66" s="44">
        <v>184</v>
      </c>
      <c r="BC66" s="65">
        <f>178+86</f>
        <v>264</v>
      </c>
      <c r="BD66" s="44">
        <v>230</v>
      </c>
      <c r="BE66" s="44">
        <v>255</v>
      </c>
      <c r="BF66" s="65">
        <v>203</v>
      </c>
      <c r="BG66" s="44">
        <v>179</v>
      </c>
      <c r="BH66" s="65">
        <v>162</v>
      </c>
      <c r="BI66" s="44">
        <v>149</v>
      </c>
      <c r="BJ66" s="65">
        <v>146</v>
      </c>
      <c r="BK66" s="65">
        <v>128</v>
      </c>
      <c r="BL66" s="68">
        <v>141</v>
      </c>
      <c r="BM66" s="68">
        <v>109</v>
      </c>
      <c r="BN66" s="68">
        <v>106</v>
      </c>
      <c r="BO66" s="68">
        <v>87</v>
      </c>
      <c r="BP66" s="68">
        <v>102</v>
      </c>
      <c r="BQ66" s="68">
        <v>104</v>
      </c>
      <c r="BR66" s="68">
        <v>102</v>
      </c>
      <c r="BS66" s="44">
        <v>74</v>
      </c>
      <c r="BT66" s="44">
        <v>75</v>
      </c>
      <c r="BU66" s="44">
        <f t="shared" si="96"/>
        <v>104</v>
      </c>
      <c r="BV66" s="44">
        <f t="shared" si="96"/>
        <v>102</v>
      </c>
      <c r="BW66" s="44"/>
      <c r="BX66" s="44"/>
      <c r="BY66" s="44"/>
      <c r="BZ66" s="44"/>
      <c r="CA66" s="44"/>
      <c r="CB66" s="44"/>
      <c r="CC66" s="44"/>
      <c r="CD66" s="44"/>
      <c r="CE66" s="44"/>
      <c r="CF66" s="44"/>
      <c r="CG66" s="44"/>
      <c r="CH66" s="44"/>
      <c r="CI66" s="44"/>
      <c r="CJ66" s="44"/>
      <c r="CK66" s="44">
        <v>56</v>
      </c>
      <c r="CL66" s="44">
        <v>54</v>
      </c>
      <c r="CM66" s="44">
        <v>0</v>
      </c>
      <c r="CN66" s="115">
        <v>0</v>
      </c>
      <c r="CO66" s="115">
        <v>49</v>
      </c>
      <c r="CP66" s="115">
        <v>47</v>
      </c>
      <c r="CQ66" s="115">
        <v>0</v>
      </c>
      <c r="CR66" s="115">
        <v>0</v>
      </c>
      <c r="CS66" s="115">
        <v>0</v>
      </c>
      <c r="CT66" s="115">
        <v>0</v>
      </c>
      <c r="CU66" s="115">
        <v>0</v>
      </c>
      <c r="CV66" s="115">
        <v>0</v>
      </c>
      <c r="CW66" s="115">
        <v>0</v>
      </c>
      <c r="CX66" s="115">
        <v>0</v>
      </c>
      <c r="CY66" s="115">
        <v>0</v>
      </c>
      <c r="CZ66" s="115"/>
      <c r="DA66" s="115"/>
      <c r="DB66" s="115"/>
      <c r="DC66" s="115"/>
      <c r="DD66" s="115"/>
      <c r="DE66" s="115"/>
      <c r="DF66" s="115"/>
      <c r="DG66" s="115"/>
      <c r="DH66" s="115"/>
      <c r="DI66" s="115"/>
      <c r="DJ66" s="115"/>
      <c r="DK66" s="115"/>
      <c r="DL66" s="115"/>
      <c r="DM66" s="115"/>
      <c r="DN66" s="115"/>
      <c r="DO66" s="115"/>
      <c r="DP66" s="44"/>
      <c r="DQ66" s="44"/>
      <c r="DU66" s="68"/>
      <c r="DV66" s="68" t="s">
        <v>605</v>
      </c>
      <c r="DW66" s="68" t="s">
        <v>605</v>
      </c>
      <c r="DX66" s="68" t="s">
        <v>605</v>
      </c>
      <c r="DY66" s="68" t="s">
        <v>605</v>
      </c>
      <c r="DZ66" s="68" t="s">
        <v>605</v>
      </c>
      <c r="EA66" s="68" t="s">
        <v>605</v>
      </c>
      <c r="EB66" s="68" t="s">
        <v>605</v>
      </c>
      <c r="EC66" s="68" t="s">
        <v>605</v>
      </c>
      <c r="ED66" s="68" t="s">
        <v>605</v>
      </c>
      <c r="EE66" s="68" t="s">
        <v>605</v>
      </c>
      <c r="EF66" s="68" t="s">
        <v>605</v>
      </c>
      <c r="EG66" s="68" t="s">
        <v>605</v>
      </c>
      <c r="EH66" s="73" t="s">
        <v>698</v>
      </c>
      <c r="EI66" s="73" t="s">
        <v>699</v>
      </c>
      <c r="EJ66" s="73" t="s">
        <v>700</v>
      </c>
      <c r="EK66" s="75">
        <f t="shared" si="84"/>
        <v>184</v>
      </c>
      <c r="EL66" s="68">
        <f t="shared" si="93"/>
        <v>952</v>
      </c>
      <c r="EM66" s="44">
        <f>SUM(BG66:BJ66)</f>
        <v>636</v>
      </c>
      <c r="EN66" s="44">
        <f t="shared" si="87"/>
        <v>484</v>
      </c>
      <c r="EO66" s="44">
        <f t="shared" si="88"/>
        <v>395</v>
      </c>
      <c r="EP66" s="44">
        <f t="shared" si="89"/>
        <v>355</v>
      </c>
      <c r="EQ66" s="44">
        <f t="shared" ref="EQ66:ET66" si="98">EP66*0.7</f>
        <v>248.49999999999997</v>
      </c>
      <c r="ER66" s="44">
        <f t="shared" si="98"/>
        <v>173.94999999999996</v>
      </c>
      <c r="ES66" s="44">
        <f t="shared" si="98"/>
        <v>121.76499999999996</v>
      </c>
      <c r="ET66" s="44">
        <f t="shared" si="98"/>
        <v>85.235499999999959</v>
      </c>
      <c r="EU66" s="44">
        <f t="shared" si="11"/>
        <v>96</v>
      </c>
      <c r="EV66" s="44">
        <f t="shared" si="3"/>
        <v>0</v>
      </c>
      <c r="EW66" s="44">
        <f t="shared" si="4"/>
        <v>0</v>
      </c>
      <c r="EX66" s="44">
        <f t="shared" si="71"/>
        <v>0</v>
      </c>
      <c r="EY66" s="44">
        <f t="shared" si="6"/>
        <v>0</v>
      </c>
      <c r="FQ66" s="81">
        <f>EL66*0.6</f>
        <v>571.19999999999993</v>
      </c>
      <c r="FR66" s="44">
        <f>EQ66*0.1</f>
        <v>24.849999999999998</v>
      </c>
      <c r="FS66" s="82">
        <v>0</v>
      </c>
    </row>
    <row r="67" spans="2:177">
      <c r="B67" s="4" t="s">
        <v>703</v>
      </c>
      <c r="C67" s="62"/>
      <c r="D67" s="62"/>
      <c r="E67" s="62"/>
      <c r="F67" s="62"/>
      <c r="G67" s="62" t="s">
        <v>605</v>
      </c>
      <c r="H67" s="62" t="s">
        <v>605</v>
      </c>
      <c r="I67" s="62" t="s">
        <v>605</v>
      </c>
      <c r="J67" s="62" t="s">
        <v>605</v>
      </c>
      <c r="K67" s="62" t="s">
        <v>605</v>
      </c>
      <c r="L67" s="62" t="s">
        <v>605</v>
      </c>
      <c r="M67" s="62" t="s">
        <v>605</v>
      </c>
      <c r="N67" s="62" t="s">
        <v>605</v>
      </c>
      <c r="O67" s="62" t="s">
        <v>605</v>
      </c>
      <c r="P67" s="62" t="s">
        <v>605</v>
      </c>
      <c r="Q67" s="62" t="s">
        <v>605</v>
      </c>
      <c r="R67" s="62" t="s">
        <v>605</v>
      </c>
      <c r="S67" s="62" t="s">
        <v>605</v>
      </c>
      <c r="T67" s="62" t="s">
        <v>605</v>
      </c>
      <c r="U67" s="62" t="s">
        <v>605</v>
      </c>
      <c r="V67" s="62" t="s">
        <v>605</v>
      </c>
      <c r="W67" s="62">
        <v>0</v>
      </c>
      <c r="X67" s="62">
        <v>4</v>
      </c>
      <c r="Y67" s="62">
        <v>0</v>
      </c>
      <c r="Z67" s="62">
        <v>0</v>
      </c>
      <c r="AA67" s="37">
        <f>25+7</f>
        <v>32</v>
      </c>
      <c r="AB67" s="37">
        <f>0+9</f>
        <v>9</v>
      </c>
      <c r="AC67" s="37">
        <f>4+11</f>
        <v>15</v>
      </c>
      <c r="AD67" s="37">
        <f>14+14</f>
        <v>28</v>
      </c>
      <c r="AE67" s="44">
        <f>16+14</f>
        <v>30</v>
      </c>
      <c r="AF67" s="44">
        <f>21+17</f>
        <v>38</v>
      </c>
      <c r="AG67" s="44">
        <f>29+18</f>
        <v>47</v>
      </c>
      <c r="AH67" s="44">
        <f>33+21</f>
        <v>54</v>
      </c>
      <c r="AI67" s="68">
        <f>32+21</f>
        <v>53</v>
      </c>
      <c r="AJ67" s="44">
        <f>28+22</f>
        <v>50</v>
      </c>
      <c r="AK67" s="37">
        <f>44+23</f>
        <v>67</v>
      </c>
      <c r="AL67" s="65">
        <v>63</v>
      </c>
      <c r="AM67" s="65">
        <v>66</v>
      </c>
      <c r="AN67" s="69">
        <v>67</v>
      </c>
      <c r="AO67" s="69">
        <v>72</v>
      </c>
      <c r="AP67" s="103">
        <v>81</v>
      </c>
      <c r="AQ67" s="65">
        <v>83</v>
      </c>
      <c r="AR67" s="65">
        <v>66</v>
      </c>
      <c r="AS67" s="65">
        <v>81</v>
      </c>
      <c r="AT67" s="65">
        <v>85</v>
      </c>
      <c r="AU67" s="44">
        <f>49+28</f>
        <v>77</v>
      </c>
      <c r="AV67" s="65">
        <v>80</v>
      </c>
      <c r="AW67" s="44">
        <v>83</v>
      </c>
      <c r="AX67" s="65">
        <v>81</v>
      </c>
      <c r="AY67" s="65">
        <v>79</v>
      </c>
      <c r="AZ67" s="44">
        <v>75</v>
      </c>
      <c r="BA67" s="44">
        <v>81</v>
      </c>
      <c r="BB67" s="44"/>
      <c r="BC67" s="65"/>
      <c r="BD67" s="44"/>
      <c r="BE67" s="44">
        <v>75</v>
      </c>
      <c r="BF67" s="65">
        <v>84</v>
      </c>
      <c r="BG67" s="44"/>
      <c r="BH67" s="65">
        <v>84</v>
      </c>
      <c r="BI67" s="44">
        <v>86</v>
      </c>
      <c r="BJ67" s="65">
        <v>91</v>
      </c>
      <c r="BK67" s="65">
        <v>85</v>
      </c>
      <c r="BL67" s="44">
        <v>89</v>
      </c>
      <c r="BM67" s="44">
        <v>92</v>
      </c>
      <c r="BN67" s="44">
        <v>102</v>
      </c>
      <c r="BO67" s="44">
        <v>86</v>
      </c>
      <c r="BP67" s="44">
        <v>94</v>
      </c>
      <c r="BQ67" s="44">
        <v>83</v>
      </c>
      <c r="BR67" s="44">
        <v>96</v>
      </c>
      <c r="BS67" s="44">
        <v>87</v>
      </c>
      <c r="BT67" s="44">
        <v>98</v>
      </c>
      <c r="BU67" s="44">
        <f t="shared" si="96"/>
        <v>83</v>
      </c>
      <c r="BV67" s="44">
        <f t="shared" si="96"/>
        <v>96</v>
      </c>
      <c r="BW67" s="44"/>
      <c r="BX67" s="44"/>
      <c r="BY67" s="44"/>
      <c r="BZ67" s="44"/>
      <c r="CA67" s="44"/>
      <c r="CB67" s="44"/>
      <c r="CC67" s="44"/>
      <c r="CD67" s="44"/>
      <c r="CE67" s="44"/>
      <c r="CF67" s="44"/>
      <c r="CG67" s="44"/>
      <c r="CH67" s="44"/>
      <c r="CI67" s="44"/>
      <c r="CJ67" s="44"/>
      <c r="CK67" s="44">
        <v>0</v>
      </c>
      <c r="CL67" s="44">
        <v>0</v>
      </c>
      <c r="CM67" s="44">
        <v>0</v>
      </c>
      <c r="CN67" s="115">
        <v>0</v>
      </c>
      <c r="CO67" s="115">
        <v>0</v>
      </c>
      <c r="CP67" s="115">
        <v>0</v>
      </c>
      <c r="CQ67" s="115">
        <v>0</v>
      </c>
      <c r="CR67" s="115">
        <v>0</v>
      </c>
      <c r="CS67" s="115">
        <v>0</v>
      </c>
      <c r="CT67" s="115">
        <v>0</v>
      </c>
      <c r="CU67" s="115">
        <v>0</v>
      </c>
      <c r="CV67" s="115">
        <v>0</v>
      </c>
      <c r="CW67" s="115">
        <v>0</v>
      </c>
      <c r="CX67" s="115">
        <v>0</v>
      </c>
      <c r="CY67" s="115">
        <v>0</v>
      </c>
      <c r="CZ67" s="115"/>
      <c r="DA67" s="115"/>
      <c r="DB67" s="115"/>
      <c r="DC67" s="115"/>
      <c r="DD67" s="115"/>
      <c r="DE67" s="115"/>
      <c r="DF67" s="115"/>
      <c r="DG67" s="115"/>
      <c r="DH67" s="115"/>
      <c r="DI67" s="115"/>
      <c r="DJ67" s="115"/>
      <c r="DK67" s="115"/>
      <c r="DL67" s="115"/>
      <c r="DM67" s="115"/>
      <c r="DN67" s="115"/>
      <c r="DO67" s="115"/>
      <c r="DP67" s="44"/>
      <c r="DQ67" s="44"/>
      <c r="DU67" s="68"/>
      <c r="DV67" s="68" t="s">
        <v>605</v>
      </c>
      <c r="DW67" s="68" t="s">
        <v>605</v>
      </c>
      <c r="DX67" s="68" t="s">
        <v>605</v>
      </c>
      <c r="DY67" s="68" t="s">
        <v>605</v>
      </c>
      <c r="DZ67" s="68" t="s">
        <v>605</v>
      </c>
      <c r="EA67" s="68" t="s">
        <v>605</v>
      </c>
      <c r="EB67" s="68" t="s">
        <v>605</v>
      </c>
      <c r="EC67" s="68" t="s">
        <v>605</v>
      </c>
      <c r="ED67" s="68">
        <f>SUM(W67:Z67)</f>
        <v>4</v>
      </c>
      <c r="EE67" s="68">
        <f>SUM(AA67:AD67)</f>
        <v>84</v>
      </c>
      <c r="EF67" s="68">
        <f>SUM(AE67:AH67)</f>
        <v>169</v>
      </c>
      <c r="EG67" s="44">
        <v>233</v>
      </c>
      <c r="EH67" s="44">
        <v>286</v>
      </c>
      <c r="EI67" s="44">
        <f>SUM(AQ67:AT67)</f>
        <v>315</v>
      </c>
      <c r="EJ67" s="44">
        <f>SUM(AU67:AX67)</f>
        <v>321</v>
      </c>
      <c r="EK67" s="65">
        <f t="shared" si="84"/>
        <v>235</v>
      </c>
      <c r="EN67" s="44">
        <f t="shared" si="87"/>
        <v>368</v>
      </c>
      <c r="EO67" s="44">
        <f t="shared" si="88"/>
        <v>359</v>
      </c>
      <c r="EP67" s="44">
        <f t="shared" si="89"/>
        <v>364</v>
      </c>
      <c r="EQ67" s="44">
        <f t="shared" ref="EQ67:ET67" si="99">+EP67*0.9</f>
        <v>327.60000000000002</v>
      </c>
      <c r="ER67" s="44">
        <f t="shared" si="99"/>
        <v>294.84000000000003</v>
      </c>
      <c r="ES67" s="44">
        <f t="shared" si="99"/>
        <v>265.35600000000005</v>
      </c>
      <c r="ET67" s="44">
        <f t="shared" si="99"/>
        <v>238.82040000000006</v>
      </c>
      <c r="EU67" s="44">
        <f t="shared" si="11"/>
        <v>0</v>
      </c>
      <c r="EV67" s="44">
        <f t="shared" si="3"/>
        <v>0</v>
      </c>
      <c r="EW67" s="44">
        <f t="shared" si="4"/>
        <v>0</v>
      </c>
      <c r="EX67" s="44">
        <f t="shared" si="71"/>
        <v>0</v>
      </c>
      <c r="EY67" s="44">
        <f t="shared" si="6"/>
        <v>0</v>
      </c>
      <c r="FS67" s="82">
        <f>+EV67*0.5</f>
        <v>0</v>
      </c>
    </row>
    <row r="68" spans="2:177" s="23" customFormat="1">
      <c r="B68" s="111" t="s">
        <v>633</v>
      </c>
      <c r="C68" s="44">
        <v>49</v>
      </c>
      <c r="D68" s="44">
        <v>151</v>
      </c>
      <c r="E68" s="44">
        <v>257</v>
      </c>
      <c r="F68" s="44">
        <v>408</v>
      </c>
      <c r="G68" s="44">
        <f>289+86</f>
        <v>375</v>
      </c>
      <c r="H68" s="44">
        <f>407+129</f>
        <v>536</v>
      </c>
      <c r="I68" s="44">
        <f>427+151</f>
        <v>578</v>
      </c>
      <c r="J68" s="44">
        <f>521+198</f>
        <v>719</v>
      </c>
      <c r="K68" s="68">
        <f>533+234</f>
        <v>767</v>
      </c>
      <c r="L68" s="68">
        <f>642+258</f>
        <v>900</v>
      </c>
      <c r="M68" s="68">
        <f>730+265</f>
        <v>995</v>
      </c>
      <c r="N68" s="68">
        <f>809+325</f>
        <v>1134</v>
      </c>
      <c r="O68" s="68">
        <f>797+322</f>
        <v>1119</v>
      </c>
      <c r="P68" s="68">
        <f>852+410</f>
        <v>1262</v>
      </c>
      <c r="Q68" s="68">
        <f>843+373</f>
        <v>1216</v>
      </c>
      <c r="R68" s="68">
        <f>1044+390</f>
        <v>1434</v>
      </c>
      <c r="S68" s="68">
        <f>1039+428</f>
        <v>1467</v>
      </c>
      <c r="T68" s="68">
        <f>977+462</f>
        <v>1439</v>
      </c>
      <c r="U68" s="68">
        <f>1132+528</f>
        <v>1660</v>
      </c>
      <c r="V68" s="68">
        <f>1275+608</f>
        <v>1883</v>
      </c>
      <c r="W68" s="68">
        <f>1299+553</f>
        <v>1852</v>
      </c>
      <c r="X68" s="68">
        <f>1151+632</f>
        <v>1783</v>
      </c>
      <c r="Y68" s="68">
        <f>1350+670</f>
        <v>2020</v>
      </c>
      <c r="Z68" s="68">
        <f>1536+781</f>
        <v>2317</v>
      </c>
      <c r="AA68" s="68">
        <f>1380+719</f>
        <v>2099</v>
      </c>
      <c r="AB68" s="68">
        <f>1186+829</f>
        <v>2015</v>
      </c>
      <c r="AC68" s="68">
        <f>1576+892</f>
        <v>2468</v>
      </c>
      <c r="AD68" s="68">
        <f>1684+964</f>
        <v>2648</v>
      </c>
      <c r="AE68" s="68">
        <f>1573+924</f>
        <v>2497</v>
      </c>
      <c r="AF68" s="68">
        <f>1313+1050</f>
        <v>2363</v>
      </c>
      <c r="AG68" s="68">
        <f>1725+1013</f>
        <v>2738</v>
      </c>
      <c r="AH68" s="68">
        <f>2023+1241</f>
        <v>3264</v>
      </c>
      <c r="AI68" s="68">
        <f>1913+1162</f>
        <v>3075</v>
      </c>
      <c r="AJ68" s="68">
        <f>1680+1178</f>
        <v>2858</v>
      </c>
      <c r="AK68" s="68">
        <f>1739+1158</f>
        <v>2897</v>
      </c>
      <c r="AL68" s="70">
        <v>3357</v>
      </c>
      <c r="AM68" s="70">
        <v>3107</v>
      </c>
      <c r="AN68" s="70">
        <v>3123</v>
      </c>
      <c r="AO68" s="70">
        <v>3321</v>
      </c>
      <c r="AP68" s="70">
        <f>EH68-AO68-AN68-AM68</f>
        <v>3335</v>
      </c>
      <c r="AQ68" s="70">
        <f>2137+1221</f>
        <v>3358</v>
      </c>
      <c r="AR68" s="70">
        <v>2719</v>
      </c>
      <c r="AS68" s="70">
        <f>1810+1360</f>
        <v>3170</v>
      </c>
      <c r="AT68" s="70">
        <v>3428</v>
      </c>
      <c r="AU68" s="68">
        <f>1751+1386</f>
        <v>3137</v>
      </c>
      <c r="AV68" s="70">
        <f>1396+1580</f>
        <v>2976</v>
      </c>
      <c r="AW68" s="68">
        <v>3142</v>
      </c>
      <c r="AX68" s="70">
        <v>3146</v>
      </c>
      <c r="AY68" s="70">
        <f>1452+1269</f>
        <v>2721</v>
      </c>
      <c r="AZ68" s="68">
        <v>2685</v>
      </c>
      <c r="BA68" s="68">
        <v>2853</v>
      </c>
      <c r="BB68" s="68">
        <f>1522+1653</f>
        <v>3175</v>
      </c>
      <c r="BC68" s="70">
        <f>1310+1447</f>
        <v>2757</v>
      </c>
      <c r="BD68" s="68">
        <v>2813</v>
      </c>
      <c r="BE68" s="68">
        <v>2534</v>
      </c>
      <c r="BF68" s="70">
        <v>2629</v>
      </c>
      <c r="BG68" s="68">
        <v>2385</v>
      </c>
      <c r="BH68" s="70">
        <v>2591</v>
      </c>
      <c r="BI68" s="68">
        <v>2602</v>
      </c>
      <c r="BJ68" s="70">
        <v>1999</v>
      </c>
      <c r="BK68" s="70">
        <v>1395</v>
      </c>
      <c r="BL68" s="68">
        <v>1220</v>
      </c>
      <c r="BM68" s="68">
        <v>749</v>
      </c>
      <c r="BN68" s="68">
        <v>584</v>
      </c>
      <c r="BO68" s="68">
        <v>626</v>
      </c>
      <c r="BP68" s="68">
        <v>545</v>
      </c>
      <c r="BQ68" s="68">
        <v>533</v>
      </c>
      <c r="BR68" s="68">
        <v>611</v>
      </c>
      <c r="BS68" s="68">
        <v>457</v>
      </c>
      <c r="BT68" s="68">
        <v>543</v>
      </c>
      <c r="BU68" s="68">
        <f t="shared" ref="BU68:BV68" si="100">+BQ68*0.75</f>
        <v>399.75</v>
      </c>
      <c r="BV68" s="68">
        <f t="shared" si="100"/>
        <v>458.25</v>
      </c>
      <c r="BW68" s="68"/>
      <c r="BX68" s="68"/>
      <c r="BY68" s="68"/>
      <c r="BZ68" s="68"/>
      <c r="CA68" s="68"/>
      <c r="CB68" s="68"/>
      <c r="CC68" s="68"/>
      <c r="CD68" s="68"/>
      <c r="CE68" s="68"/>
      <c r="CF68" s="68"/>
      <c r="CG68" s="68"/>
      <c r="CH68" s="68"/>
      <c r="CI68" s="68"/>
      <c r="CJ68" s="68"/>
      <c r="CK68" s="68">
        <v>507</v>
      </c>
      <c r="CL68" s="68">
        <v>524</v>
      </c>
      <c r="CM68" s="68">
        <v>622</v>
      </c>
      <c r="CN68" s="122">
        <v>107</v>
      </c>
      <c r="CO68" s="122">
        <v>476</v>
      </c>
      <c r="CP68" s="122">
        <v>468</v>
      </c>
      <c r="CQ68" s="122">
        <v>405</v>
      </c>
      <c r="CR68" s="122">
        <v>431</v>
      </c>
      <c r="CS68" s="122">
        <v>0</v>
      </c>
      <c r="CT68" s="122">
        <v>0</v>
      </c>
      <c r="CU68" s="122">
        <v>0</v>
      </c>
      <c r="CV68" s="122">
        <v>0</v>
      </c>
      <c r="CW68" s="122">
        <v>0</v>
      </c>
      <c r="CX68" s="122">
        <v>0</v>
      </c>
      <c r="CY68" s="122">
        <v>0</v>
      </c>
      <c r="CZ68" s="122"/>
      <c r="DA68" s="122"/>
      <c r="DB68" s="122"/>
      <c r="DC68" s="122"/>
      <c r="DD68" s="122"/>
      <c r="DE68" s="122"/>
      <c r="DF68" s="122"/>
      <c r="DG68" s="122"/>
      <c r="DH68" s="122"/>
      <c r="DI68" s="122"/>
      <c r="DJ68" s="122"/>
      <c r="DK68" s="122"/>
      <c r="DL68" s="122"/>
      <c r="DM68" s="122"/>
      <c r="DN68" s="122"/>
      <c r="DO68" s="122"/>
      <c r="DP68" s="68"/>
      <c r="DQ68" s="68"/>
      <c r="DU68" s="68"/>
      <c r="DV68" s="68" t="s">
        <v>605</v>
      </c>
      <c r="DW68" s="68" t="s">
        <v>605</v>
      </c>
      <c r="DX68" s="68" t="s">
        <v>605</v>
      </c>
      <c r="DY68" s="68">
        <v>865</v>
      </c>
      <c r="DZ68" s="68">
        <f>SUM(G68:J68)</f>
        <v>2208</v>
      </c>
      <c r="EA68" s="68">
        <f>SUM(K68:N68)</f>
        <v>3796</v>
      </c>
      <c r="EB68" s="68">
        <f>SUM(O68:R68)</f>
        <v>5031</v>
      </c>
      <c r="EC68" s="68">
        <f>SUM(S68:V68)</f>
        <v>6449</v>
      </c>
      <c r="ED68" s="68">
        <f>SUM(W68:Z68)</f>
        <v>7972</v>
      </c>
      <c r="EE68" s="68">
        <f>SUM(AA68:AD68)</f>
        <v>9230</v>
      </c>
      <c r="EF68" s="68">
        <f>SUM(AE68:AH68)</f>
        <v>10862</v>
      </c>
      <c r="EG68" s="68">
        <v>12187</v>
      </c>
      <c r="EH68" s="68">
        <v>12886</v>
      </c>
      <c r="EI68" s="68">
        <f>SUM(AQ68:AT68)</f>
        <v>12675</v>
      </c>
      <c r="EJ68" s="68">
        <f>SUM(AU68:AX68)</f>
        <v>12401</v>
      </c>
      <c r="EK68" s="70">
        <f t="shared" si="84"/>
        <v>11434</v>
      </c>
      <c r="EL68" s="68">
        <f t="shared" ref="EL68:EL72" si="101">SUM(BC68:BF68)</f>
        <v>10733</v>
      </c>
      <c r="EM68" s="68">
        <f>SUM(BG68:BJ68)</f>
        <v>9577</v>
      </c>
      <c r="EN68" s="68">
        <f t="shared" si="87"/>
        <v>3948</v>
      </c>
      <c r="EO68" s="44">
        <f t="shared" si="88"/>
        <v>2315</v>
      </c>
      <c r="EP68" s="44">
        <f t="shared" si="89"/>
        <v>1858</v>
      </c>
      <c r="EQ68" s="68">
        <f t="shared" ref="EQ68:ET68" si="102">EP68*0.8</f>
        <v>1486.4</v>
      </c>
      <c r="ER68" s="68">
        <f t="shared" si="102"/>
        <v>1189.1200000000001</v>
      </c>
      <c r="ES68" s="68">
        <f t="shared" si="102"/>
        <v>951.29600000000016</v>
      </c>
      <c r="ET68" s="68">
        <f t="shared" si="102"/>
        <v>761.0368000000002</v>
      </c>
      <c r="EU68" s="44">
        <f t="shared" si="11"/>
        <v>1673</v>
      </c>
      <c r="EV68" s="44">
        <f t="shared" si="3"/>
        <v>836</v>
      </c>
      <c r="EW68" s="44">
        <f t="shared" si="4"/>
        <v>0</v>
      </c>
      <c r="EX68" s="44">
        <f t="shared" si="71"/>
        <v>0</v>
      </c>
      <c r="EY68" s="44">
        <f t="shared" si="6"/>
        <v>0</v>
      </c>
      <c r="EZ68" s="68"/>
      <c r="FA68" s="68"/>
      <c r="FB68" s="68"/>
      <c r="FC68" s="68"/>
      <c r="FD68" s="68"/>
      <c r="FE68" s="68"/>
      <c r="FF68" s="68"/>
      <c r="FG68" s="68"/>
      <c r="FH68" s="68"/>
      <c r="FI68" s="68"/>
      <c r="FJ68" s="68"/>
      <c r="FK68" s="68"/>
      <c r="FL68" s="68"/>
      <c r="FM68" s="68"/>
      <c r="FN68" s="68"/>
      <c r="FO68" s="68"/>
      <c r="FP68" s="68"/>
      <c r="FQ68" s="83">
        <f>EL68*0.8</f>
        <v>8586.4</v>
      </c>
      <c r="FR68" s="68">
        <f>EQ68*0.3</f>
        <v>445.92</v>
      </c>
      <c r="FS68" s="84">
        <f>EV68*0.2</f>
        <v>167.20000000000002</v>
      </c>
      <c r="FT68" s="68"/>
      <c r="FU68" s="111" t="s">
        <v>634</v>
      </c>
    </row>
    <row r="69" spans="2:177" s="20" customFormat="1" collapsed="1">
      <c r="B69" s="20" t="s">
        <v>635</v>
      </c>
      <c r="C69" s="44" t="s">
        <v>605</v>
      </c>
      <c r="D69" s="44" t="s">
        <v>605</v>
      </c>
      <c r="E69" s="44" t="s">
        <v>605</v>
      </c>
      <c r="F69" s="44" t="s">
        <v>605</v>
      </c>
      <c r="G69" s="44">
        <v>0</v>
      </c>
      <c r="H69" s="44">
        <f>401+1</f>
        <v>402</v>
      </c>
      <c r="I69" s="44">
        <f>112+26</f>
        <v>138</v>
      </c>
      <c r="J69" s="44">
        <f>128+105</f>
        <v>233</v>
      </c>
      <c r="K69" s="44">
        <f>146+44</f>
        <v>190</v>
      </c>
      <c r="L69" s="44">
        <f>194+111</f>
        <v>305</v>
      </c>
      <c r="M69" s="44">
        <f>158+87</f>
        <v>245</v>
      </c>
      <c r="N69" s="44">
        <f>161+116</f>
        <v>277</v>
      </c>
      <c r="O69" s="44">
        <f>276+52</f>
        <v>328</v>
      </c>
      <c r="P69" s="44">
        <f>125+179</f>
        <v>304</v>
      </c>
      <c r="Q69" s="44">
        <f>199+133</f>
        <v>332</v>
      </c>
      <c r="R69" s="44">
        <f>234+146</f>
        <v>380</v>
      </c>
      <c r="S69" s="44">
        <f>238+139</f>
        <v>377</v>
      </c>
      <c r="T69" s="44">
        <f>198+153</f>
        <v>351</v>
      </c>
      <c r="U69" s="44">
        <f>222+153</f>
        <v>375</v>
      </c>
      <c r="V69" s="44">
        <f>251+164</f>
        <v>415</v>
      </c>
      <c r="W69" s="44">
        <f>263+159</f>
        <v>422</v>
      </c>
      <c r="X69" s="44">
        <f>213+172</f>
        <v>385</v>
      </c>
      <c r="Y69" s="44">
        <f>256+181</f>
        <v>437</v>
      </c>
      <c r="Z69" s="44">
        <f>285+206</f>
        <v>491</v>
      </c>
      <c r="AA69" s="44">
        <f>293+182</f>
        <v>475</v>
      </c>
      <c r="AB69" s="44">
        <f>227+192</f>
        <v>419</v>
      </c>
      <c r="AC69" s="44">
        <f>282+194</f>
        <v>476</v>
      </c>
      <c r="AD69" s="44">
        <f>301+208</f>
        <v>509</v>
      </c>
      <c r="AE69" s="44">
        <f>220+196</f>
        <v>416</v>
      </c>
      <c r="AF69" s="44">
        <f>201+188</f>
        <v>389</v>
      </c>
      <c r="AG69" s="44">
        <f>217+186</f>
        <v>403</v>
      </c>
      <c r="AH69" s="44">
        <f>248+221</f>
        <v>469</v>
      </c>
      <c r="AI69" s="68">
        <f>230+208</f>
        <v>438</v>
      </c>
      <c r="AJ69" s="44">
        <f>174+217</f>
        <v>391</v>
      </c>
      <c r="AK69" s="44">
        <f>186+200</f>
        <v>386</v>
      </c>
      <c r="AL69" s="65">
        <v>430</v>
      </c>
      <c r="AM69" s="65">
        <v>390</v>
      </c>
      <c r="AN69" s="65">
        <v>394</v>
      </c>
      <c r="AO69" s="65">
        <v>423</v>
      </c>
      <c r="AP69" s="70">
        <v>450</v>
      </c>
      <c r="AQ69" s="65">
        <v>434</v>
      </c>
      <c r="AR69" s="65">
        <v>382</v>
      </c>
      <c r="AS69" s="65">
        <v>450</v>
      </c>
      <c r="AT69" s="65">
        <v>498</v>
      </c>
      <c r="AU69" s="44">
        <f>223+237</f>
        <v>460</v>
      </c>
      <c r="AV69" s="65">
        <f>199+264</f>
        <v>463</v>
      </c>
      <c r="AW69" s="44">
        <v>509</v>
      </c>
      <c r="AX69" s="65">
        <v>502</v>
      </c>
      <c r="AY69" s="65">
        <v>454</v>
      </c>
      <c r="AZ69" s="44">
        <v>423</v>
      </c>
      <c r="BA69" s="44">
        <v>466</v>
      </c>
      <c r="BB69" s="44">
        <v>549</v>
      </c>
      <c r="BC69" s="65">
        <f>253+226</f>
        <v>479</v>
      </c>
      <c r="BD69" s="44">
        <v>491</v>
      </c>
      <c r="BE69" s="44">
        <v>459</v>
      </c>
      <c r="BF69" s="65">
        <v>499</v>
      </c>
      <c r="BG69" s="44">
        <v>470</v>
      </c>
      <c r="BH69" s="65">
        <v>495</v>
      </c>
      <c r="BI69" s="44">
        <v>493</v>
      </c>
      <c r="BJ69" s="65">
        <v>523</v>
      </c>
      <c r="BK69" s="65">
        <v>496</v>
      </c>
      <c r="BL69" s="44">
        <v>485</v>
      </c>
      <c r="BM69" s="44">
        <v>517</v>
      </c>
      <c r="BN69" s="44">
        <v>553</v>
      </c>
      <c r="BO69" s="44">
        <v>461</v>
      </c>
      <c r="BP69" s="44">
        <v>484</v>
      </c>
      <c r="BQ69" s="44">
        <v>460</v>
      </c>
      <c r="BR69" s="44">
        <v>476</v>
      </c>
      <c r="BS69" s="44">
        <v>374</v>
      </c>
      <c r="BT69" s="44">
        <v>427</v>
      </c>
      <c r="BU69" s="44">
        <f t="shared" ref="BU69:BV69" si="103">+BQ69</f>
        <v>460</v>
      </c>
      <c r="BV69" s="44">
        <f t="shared" si="103"/>
        <v>476</v>
      </c>
      <c r="BW69" s="44"/>
      <c r="BX69" s="44"/>
      <c r="BY69" s="44"/>
      <c r="BZ69" s="44"/>
      <c r="CA69" s="44"/>
      <c r="CB69" s="44"/>
      <c r="CC69" s="44"/>
      <c r="CD69" s="44"/>
      <c r="CE69" s="44"/>
      <c r="CF69" s="44"/>
      <c r="CG69" s="44"/>
      <c r="CH69" s="44"/>
      <c r="CI69" s="44"/>
      <c r="CJ69" s="44"/>
      <c r="CK69" s="44">
        <v>137</v>
      </c>
      <c r="CL69" s="44">
        <v>127</v>
      </c>
      <c r="CM69" s="44">
        <v>145</v>
      </c>
      <c r="CN69" s="115">
        <v>114</v>
      </c>
      <c r="CO69" s="115">
        <v>120</v>
      </c>
      <c r="CP69" s="115">
        <v>119</v>
      </c>
      <c r="CQ69" s="115">
        <v>127</v>
      </c>
      <c r="CR69" s="115">
        <v>94</v>
      </c>
      <c r="CS69" s="115">
        <v>0</v>
      </c>
      <c r="CT69" s="115">
        <v>0</v>
      </c>
      <c r="CU69" s="115">
        <v>0</v>
      </c>
      <c r="CV69" s="115">
        <v>0</v>
      </c>
      <c r="CW69" s="115">
        <v>0</v>
      </c>
      <c r="CX69" s="115">
        <v>0</v>
      </c>
      <c r="CY69" s="115">
        <v>0</v>
      </c>
      <c r="CZ69" s="115"/>
      <c r="DA69" s="115"/>
      <c r="DB69" s="115"/>
      <c r="DC69" s="115"/>
      <c r="DD69" s="115"/>
      <c r="DE69" s="115"/>
      <c r="DF69" s="115"/>
      <c r="DG69" s="115"/>
      <c r="DH69" s="115"/>
      <c r="DI69" s="115"/>
      <c r="DJ69" s="115"/>
      <c r="DK69" s="115"/>
      <c r="DL69" s="115"/>
      <c r="DM69" s="115"/>
      <c r="DN69" s="115"/>
      <c r="DO69" s="115"/>
      <c r="DP69" s="44"/>
      <c r="DQ69" s="44"/>
      <c r="DU69" s="68"/>
      <c r="DV69" s="68" t="s">
        <v>605</v>
      </c>
      <c r="DW69" s="68" t="s">
        <v>605</v>
      </c>
      <c r="DX69" s="68" t="s">
        <v>605</v>
      </c>
      <c r="DY69" s="68" t="s">
        <v>605</v>
      </c>
      <c r="DZ69" s="44">
        <v>788</v>
      </c>
      <c r="EA69" s="44">
        <v>1016</v>
      </c>
      <c r="EB69" s="44">
        <v>1344</v>
      </c>
      <c r="EC69" s="44">
        <v>1518</v>
      </c>
      <c r="ED69" s="44">
        <f>[3]Viagra!C10+[3]Viagra!C11</f>
        <v>1735</v>
      </c>
      <c r="EE69" s="44">
        <f>[3]Viagra!D10+[3]Viagra!D11</f>
        <v>1879</v>
      </c>
      <c r="EF69" s="44">
        <v>1678</v>
      </c>
      <c r="EG69" s="44">
        <v>1645</v>
      </c>
      <c r="EH69" s="44">
        <v>1657</v>
      </c>
      <c r="EI69" s="44">
        <f>SUM(AQ69:AT69)</f>
        <v>1764</v>
      </c>
      <c r="EJ69" s="68">
        <f>SUM(AU69:AX69)</f>
        <v>1934</v>
      </c>
      <c r="EK69" s="65">
        <f t="shared" si="84"/>
        <v>1892</v>
      </c>
      <c r="EL69" s="68">
        <f t="shared" si="101"/>
        <v>1928</v>
      </c>
      <c r="EM69" s="68">
        <f t="shared" ref="EM69" si="104">SUM(BG69:BJ69)</f>
        <v>1981</v>
      </c>
      <c r="EN69" s="44">
        <f t="shared" si="87"/>
        <v>2051</v>
      </c>
      <c r="EO69" s="44">
        <f t="shared" si="88"/>
        <v>1881</v>
      </c>
      <c r="EP69" s="44">
        <f t="shared" si="89"/>
        <v>1737</v>
      </c>
      <c r="EQ69" s="44">
        <f t="shared" ref="EQ69:ET69" si="105">EP69*0.9</f>
        <v>1563.3</v>
      </c>
      <c r="ER69" s="44">
        <f t="shared" si="105"/>
        <v>1406.97</v>
      </c>
      <c r="ES69" s="44">
        <f t="shared" si="105"/>
        <v>1266.2730000000001</v>
      </c>
      <c r="ET69" s="44">
        <f t="shared" si="105"/>
        <v>1139.6457000000003</v>
      </c>
      <c r="EU69" s="44">
        <f t="shared" si="11"/>
        <v>498</v>
      </c>
      <c r="EV69" s="44">
        <f t="shared" si="3"/>
        <v>221</v>
      </c>
      <c r="EW69" s="44">
        <f t="shared" si="4"/>
        <v>0</v>
      </c>
      <c r="EX69" s="44">
        <f t="shared" si="71"/>
        <v>0</v>
      </c>
      <c r="EY69" s="44">
        <f t="shared" si="6"/>
        <v>0</v>
      </c>
      <c r="EZ69" s="44"/>
      <c r="FA69" s="44"/>
      <c r="FB69" s="44"/>
      <c r="FC69" s="44"/>
      <c r="FD69" s="44"/>
      <c r="FE69" s="44"/>
      <c r="FF69" s="44"/>
      <c r="FG69" s="44"/>
      <c r="FH69" s="44"/>
      <c r="FI69" s="44"/>
      <c r="FJ69" s="44"/>
      <c r="FK69" s="44"/>
      <c r="FL69" s="44"/>
      <c r="FM69" s="44"/>
      <c r="FN69" s="44"/>
      <c r="FO69" s="44"/>
      <c r="FP69" s="44"/>
      <c r="FQ69" s="81">
        <f>EL69*0.3</f>
        <v>578.4</v>
      </c>
      <c r="FR69" s="44">
        <f>EQ69*0.2</f>
        <v>312.66000000000003</v>
      </c>
      <c r="FS69" s="82">
        <f>EV69*0.1</f>
        <v>22.1</v>
      </c>
      <c r="FT69" s="44"/>
      <c r="FU69" s="111" t="s">
        <v>636</v>
      </c>
    </row>
    <row r="70" spans="2:177" s="20" customFormat="1" collapsed="1">
      <c r="B70" s="111" t="s">
        <v>637</v>
      </c>
      <c r="C70" s="44">
        <v>498</v>
      </c>
      <c r="D70" s="44">
        <v>521</v>
      </c>
      <c r="E70" s="44">
        <v>574</v>
      </c>
      <c r="F70" s="44">
        <f>DY70-E70-D70-C70</f>
        <v>624</v>
      </c>
      <c r="G70" s="44">
        <f>254+305</f>
        <v>559</v>
      </c>
      <c r="H70" s="44">
        <f>274+336</f>
        <v>610</v>
      </c>
      <c r="I70" s="44">
        <f>335+327</f>
        <v>662</v>
      </c>
      <c r="J70" s="44">
        <f>317+393</f>
        <v>710</v>
      </c>
      <c r="K70" s="44">
        <f>307+387</f>
        <v>694</v>
      </c>
      <c r="L70" s="44">
        <f>306+407</f>
        <v>713</v>
      </c>
      <c r="M70" s="44">
        <f>358+420</f>
        <v>778</v>
      </c>
      <c r="N70" s="44">
        <f>364+443</f>
        <v>807</v>
      </c>
      <c r="O70" s="44">
        <f>346+436</f>
        <v>782</v>
      </c>
      <c r="P70" s="44">
        <f>337+468</f>
        <v>805</v>
      </c>
      <c r="Q70" s="44">
        <f>404+443</f>
        <v>847</v>
      </c>
      <c r="R70" s="44">
        <f>439+489</f>
        <v>928</v>
      </c>
      <c r="S70" s="44">
        <f>391+469</f>
        <v>860</v>
      </c>
      <c r="T70" s="44">
        <f>391+488</f>
        <v>879</v>
      </c>
      <c r="U70" s="44">
        <f>426+455</f>
        <v>881</v>
      </c>
      <c r="V70" s="44">
        <f>459+503</f>
        <v>962</v>
      </c>
      <c r="W70" s="44">
        <f>448+483</f>
        <v>931</v>
      </c>
      <c r="X70" s="44">
        <f>380+506</f>
        <v>886</v>
      </c>
      <c r="Y70" s="68">
        <f>440+523</f>
        <v>963</v>
      </c>
      <c r="Z70" s="44">
        <f>507+559</f>
        <v>1066</v>
      </c>
      <c r="AA70" s="44">
        <f>436+547</f>
        <v>983</v>
      </c>
      <c r="AB70" s="44">
        <f>424+579</f>
        <v>1003</v>
      </c>
      <c r="AC70" s="44">
        <f>489+615</f>
        <v>1104</v>
      </c>
      <c r="AD70" s="44">
        <f>585+660</f>
        <v>1245</v>
      </c>
      <c r="AE70" s="44">
        <f>489+652</f>
        <v>1141</v>
      </c>
      <c r="AF70" s="44">
        <f>412+620</f>
        <v>1032</v>
      </c>
      <c r="AG70" s="44">
        <f>471+565</f>
        <v>1036</v>
      </c>
      <c r="AH70" s="44">
        <f>619+634</f>
        <v>1253</v>
      </c>
      <c r="AI70" s="68">
        <f>540+635</f>
        <v>1175</v>
      </c>
      <c r="AJ70" s="44">
        <f>523+633</f>
        <v>1156</v>
      </c>
      <c r="AK70" s="44">
        <f>546+585</f>
        <v>1131</v>
      </c>
      <c r="AL70" s="65">
        <v>1244</v>
      </c>
      <c r="AM70" s="65">
        <v>1183</v>
      </c>
      <c r="AN70" s="65">
        <v>1158</v>
      </c>
      <c r="AO70" s="65">
        <v>1208</v>
      </c>
      <c r="AP70" s="70">
        <v>1317</v>
      </c>
      <c r="AQ70" s="65">
        <v>1069</v>
      </c>
      <c r="AR70" s="65">
        <v>642</v>
      </c>
      <c r="AS70" s="65">
        <f>48+592</f>
        <v>640</v>
      </c>
      <c r="AT70" s="65">
        <v>650</v>
      </c>
      <c r="AU70" s="44">
        <f>-5+518</f>
        <v>513</v>
      </c>
      <c r="AV70" s="65">
        <f>41+586</f>
        <v>627</v>
      </c>
      <c r="AW70" s="44">
        <v>562</v>
      </c>
      <c r="AX70" s="65">
        <v>542</v>
      </c>
      <c r="AY70" s="65">
        <v>481</v>
      </c>
      <c r="AZ70" s="44">
        <v>518</v>
      </c>
      <c r="BA70" s="44">
        <v>488</v>
      </c>
      <c r="BB70" s="44">
        <f>15+471</f>
        <v>486</v>
      </c>
      <c r="BC70" s="65">
        <f>13+355</f>
        <v>368</v>
      </c>
      <c r="BD70" s="44">
        <v>422</v>
      </c>
      <c r="BE70" s="44">
        <v>330</v>
      </c>
      <c r="BF70" s="65">
        <v>386</v>
      </c>
      <c r="BG70" s="44">
        <v>356</v>
      </c>
      <c r="BH70" s="65">
        <v>375</v>
      </c>
      <c r="BI70" s="44">
        <v>350</v>
      </c>
      <c r="BJ70" s="65">
        <v>364</v>
      </c>
      <c r="BK70" s="65">
        <v>334</v>
      </c>
      <c r="BL70" s="44">
        <v>348</v>
      </c>
      <c r="BM70" s="44">
        <v>319</v>
      </c>
      <c r="BN70" s="44">
        <v>348</v>
      </c>
      <c r="BO70" s="44">
        <v>301</v>
      </c>
      <c r="BP70" s="44">
        <v>313</v>
      </c>
      <c r="BQ70" s="44">
        <v>303</v>
      </c>
      <c r="BR70" s="44">
        <v>312</v>
      </c>
      <c r="BS70" s="68">
        <v>278</v>
      </c>
      <c r="BT70" s="68">
        <v>282</v>
      </c>
      <c r="BU70" s="68">
        <f t="shared" ref="BU70:BV70" si="106">+BQ70*0.9</f>
        <v>272.7</v>
      </c>
      <c r="BV70" s="68">
        <f t="shared" si="106"/>
        <v>280.8</v>
      </c>
      <c r="BW70" s="68"/>
      <c r="BX70" s="68"/>
      <c r="BY70" s="68"/>
      <c r="BZ70" s="68"/>
      <c r="CA70" s="68"/>
      <c r="CB70" s="68"/>
      <c r="CC70" s="68"/>
      <c r="CD70" s="68"/>
      <c r="CE70" s="68"/>
      <c r="CF70" s="68"/>
      <c r="CG70" s="68"/>
      <c r="CH70" s="68"/>
      <c r="CI70" s="68"/>
      <c r="CJ70" s="68"/>
      <c r="CK70" s="68">
        <v>248</v>
      </c>
      <c r="CL70" s="68">
        <v>251</v>
      </c>
      <c r="CM70" s="68">
        <v>300</v>
      </c>
      <c r="CN70" s="122">
        <v>216</v>
      </c>
      <c r="CO70" s="122">
        <v>219</v>
      </c>
      <c r="CP70" s="122">
        <v>215</v>
      </c>
      <c r="CQ70" s="122">
        <v>197</v>
      </c>
      <c r="CR70" s="122">
        <v>222</v>
      </c>
      <c r="CS70" s="122">
        <v>0</v>
      </c>
      <c r="CT70" s="122">
        <v>0</v>
      </c>
      <c r="CU70" s="122">
        <v>0</v>
      </c>
      <c r="CV70" s="122">
        <v>0</v>
      </c>
      <c r="CW70" s="122">
        <v>0</v>
      </c>
      <c r="CX70" s="122">
        <v>0</v>
      </c>
      <c r="CY70" s="122">
        <v>0</v>
      </c>
      <c r="CZ70" s="122"/>
      <c r="DA70" s="122"/>
      <c r="DB70" s="122"/>
      <c r="DC70" s="122"/>
      <c r="DD70" s="122"/>
      <c r="DE70" s="122"/>
      <c r="DF70" s="122"/>
      <c r="DG70" s="122"/>
      <c r="DH70" s="122"/>
      <c r="DI70" s="122"/>
      <c r="DJ70" s="122"/>
      <c r="DK70" s="122"/>
      <c r="DL70" s="122"/>
      <c r="DM70" s="122"/>
      <c r="DN70" s="122"/>
      <c r="DO70" s="122"/>
      <c r="DP70" s="68"/>
      <c r="DQ70" s="68"/>
      <c r="DS70" s="20">
        <f>DT70/2.44</f>
        <v>77.688287883661786</v>
      </c>
      <c r="DT70" s="20">
        <f>DU70/2.19</f>
        <v>189.55942243613475</v>
      </c>
      <c r="DU70" s="68">
        <f>DV70/1.85</f>
        <v>415.1351351351351</v>
      </c>
      <c r="DV70" s="68">
        <v>768</v>
      </c>
      <c r="DW70" s="44">
        <v>1265</v>
      </c>
      <c r="DX70" s="44">
        <v>1795</v>
      </c>
      <c r="DY70" s="44">
        <v>2217</v>
      </c>
      <c r="DZ70" s="68">
        <f>SUM(G70:J70)</f>
        <v>2541</v>
      </c>
      <c r="EA70" s="68">
        <f>SUM(K70:N70)</f>
        <v>2992</v>
      </c>
      <c r="EB70" s="68">
        <f>SUM(O70:R70)</f>
        <v>3362</v>
      </c>
      <c r="EC70" s="68">
        <f>SUM(S70:V70)</f>
        <v>3582</v>
      </c>
      <c r="ED70" s="68">
        <f>SUM(W70:Z70)</f>
        <v>3846</v>
      </c>
      <c r="EE70" s="68">
        <f>SUM(AA70:AD70)</f>
        <v>4335</v>
      </c>
      <c r="EF70" s="68">
        <f>SUM(AE70:AH70)</f>
        <v>4462</v>
      </c>
      <c r="EG70" s="44">
        <v>4706</v>
      </c>
      <c r="EH70" s="44">
        <f>SUM(AM70:AP70)</f>
        <v>4866</v>
      </c>
      <c r="EI70" s="44">
        <f>SUM(AQ70:AT70)</f>
        <v>3001</v>
      </c>
      <c r="EJ70" s="68">
        <f>SUM(AU70:AX70)</f>
        <v>2244</v>
      </c>
      <c r="EK70" s="65">
        <f t="shared" si="84"/>
        <v>1973</v>
      </c>
      <c r="EL70" s="68">
        <f t="shared" si="101"/>
        <v>1506</v>
      </c>
      <c r="EM70" s="44">
        <f>SUM(BG70:BJ70)</f>
        <v>1445</v>
      </c>
      <c r="EN70" s="44">
        <f t="shared" si="87"/>
        <v>1349</v>
      </c>
      <c r="EO70" s="44">
        <f t="shared" si="88"/>
        <v>1229</v>
      </c>
      <c r="EP70" s="44">
        <f t="shared" si="89"/>
        <v>1113.5</v>
      </c>
      <c r="EQ70" s="44">
        <f t="shared" ref="EQ70:ET70" si="107">EP70*0.8</f>
        <v>890.80000000000007</v>
      </c>
      <c r="ER70" s="44">
        <f t="shared" si="107"/>
        <v>712.6400000000001</v>
      </c>
      <c r="ES70" s="44">
        <f t="shared" si="107"/>
        <v>570.11200000000008</v>
      </c>
      <c r="ET70" s="44">
        <f t="shared" si="107"/>
        <v>456.08960000000008</v>
      </c>
      <c r="EU70" s="44">
        <f t="shared" si="11"/>
        <v>950</v>
      </c>
      <c r="EV70" s="44">
        <f t="shared" si="3"/>
        <v>419</v>
      </c>
      <c r="EW70" s="44">
        <f t="shared" si="4"/>
        <v>0</v>
      </c>
      <c r="EX70" s="44">
        <f t="shared" si="71"/>
        <v>0</v>
      </c>
      <c r="EY70" s="44">
        <f t="shared" si="6"/>
        <v>0</v>
      </c>
      <c r="EZ70" s="44"/>
      <c r="FA70" s="44"/>
      <c r="FB70" s="44"/>
      <c r="FC70" s="44"/>
      <c r="FD70" s="44"/>
      <c r="FE70" s="44"/>
      <c r="FF70" s="44"/>
      <c r="FG70" s="44"/>
      <c r="FH70" s="44"/>
      <c r="FI70" s="44"/>
      <c r="FJ70" s="44"/>
      <c r="FK70" s="44"/>
      <c r="FL70" s="44"/>
      <c r="FM70" s="44"/>
      <c r="FN70" s="44"/>
      <c r="FO70" s="44"/>
      <c r="FP70" s="44"/>
      <c r="FQ70" s="81">
        <f>EL70*0.2</f>
        <v>301.2</v>
      </c>
      <c r="FR70" s="44">
        <f>EQ70*0.1</f>
        <v>89.080000000000013</v>
      </c>
      <c r="FS70" s="82">
        <f>EV70*0.05</f>
        <v>20.950000000000003</v>
      </c>
      <c r="FT70" s="44"/>
    </row>
    <row r="71" spans="2:177" s="20" customFormat="1">
      <c r="B71" s="111" t="s">
        <v>1584</v>
      </c>
      <c r="C71" s="44"/>
      <c r="D71" s="44"/>
      <c r="E71" s="44"/>
      <c r="F71" s="44"/>
      <c r="G71" s="44"/>
      <c r="H71" s="44"/>
      <c r="I71" s="44"/>
      <c r="J71" s="44"/>
      <c r="K71" s="44"/>
      <c r="L71" s="44"/>
      <c r="M71" s="44"/>
      <c r="N71" s="44"/>
      <c r="O71" s="44"/>
      <c r="P71" s="44"/>
      <c r="Q71" s="44"/>
      <c r="R71" s="44"/>
      <c r="S71" s="44"/>
      <c r="T71" s="44"/>
      <c r="U71" s="44"/>
      <c r="V71" s="44"/>
      <c r="W71" s="44"/>
      <c r="X71" s="44"/>
      <c r="Y71" s="68"/>
      <c r="Z71" s="44"/>
      <c r="AA71" s="44"/>
      <c r="AB71" s="44"/>
      <c r="AC71" s="44"/>
      <c r="AD71" s="44"/>
      <c r="AE71" s="44"/>
      <c r="AF71" s="44"/>
      <c r="AG71" s="44"/>
      <c r="AH71" s="44"/>
      <c r="AI71" s="68"/>
      <c r="AJ71" s="44"/>
      <c r="AK71" s="44"/>
      <c r="AL71" s="65"/>
      <c r="AM71" s="65"/>
      <c r="AN71" s="65"/>
      <c r="AO71" s="65"/>
      <c r="AP71" s="70"/>
      <c r="AQ71" s="65"/>
      <c r="AR71" s="65"/>
      <c r="AS71" s="65"/>
      <c r="AT71" s="65"/>
      <c r="AU71" s="44"/>
      <c r="AV71" s="65"/>
      <c r="AW71" s="44"/>
      <c r="AX71" s="65"/>
      <c r="AY71" s="65"/>
      <c r="AZ71" s="44"/>
      <c r="BA71" s="44"/>
      <c r="BB71" s="44"/>
      <c r="BC71" s="65"/>
      <c r="BD71" s="44"/>
      <c r="BE71" s="44"/>
      <c r="BF71" s="65"/>
      <c r="BG71" s="44"/>
      <c r="BH71" s="65"/>
      <c r="BI71" s="44"/>
      <c r="BJ71" s="65"/>
      <c r="BK71" s="65"/>
      <c r="BL71" s="44"/>
      <c r="BM71" s="44"/>
      <c r="BN71" s="44"/>
      <c r="BO71" s="44"/>
      <c r="BP71" s="44"/>
      <c r="BQ71" s="44"/>
      <c r="BR71" s="44"/>
      <c r="BS71" s="68"/>
      <c r="BT71" s="68"/>
      <c r="BU71" s="68"/>
      <c r="BV71" s="68"/>
      <c r="BW71" s="68"/>
      <c r="BX71" s="68"/>
      <c r="BY71" s="68"/>
      <c r="BZ71" s="68"/>
      <c r="CA71" s="68"/>
      <c r="CB71" s="68"/>
      <c r="CC71" s="68"/>
      <c r="CD71" s="68"/>
      <c r="CE71" s="68"/>
      <c r="CF71" s="68"/>
      <c r="CG71" s="68"/>
      <c r="CH71" s="68"/>
      <c r="CI71" s="68"/>
      <c r="CJ71" s="68"/>
      <c r="CK71" s="68">
        <v>40</v>
      </c>
      <c r="CL71" s="68"/>
      <c r="CM71" s="68"/>
      <c r="CN71" s="122"/>
      <c r="CO71" s="122">
        <v>43</v>
      </c>
      <c r="CP71" s="122"/>
      <c r="CQ71" s="122"/>
      <c r="CR71" s="122"/>
      <c r="CS71" s="122"/>
      <c r="CT71" s="122"/>
      <c r="CU71" s="122"/>
      <c r="CV71" s="122"/>
      <c r="CW71" s="122"/>
      <c r="CX71" s="122"/>
      <c r="CY71" s="122"/>
      <c r="CZ71" s="122"/>
      <c r="DA71" s="122"/>
      <c r="DB71" s="122"/>
      <c r="DC71" s="122"/>
      <c r="DD71" s="122"/>
      <c r="DE71" s="122"/>
      <c r="DF71" s="122"/>
      <c r="DG71" s="122"/>
      <c r="DH71" s="122"/>
      <c r="DI71" s="122"/>
      <c r="DJ71" s="122"/>
      <c r="DK71" s="122"/>
      <c r="DL71" s="122"/>
      <c r="DM71" s="122"/>
      <c r="DN71" s="122"/>
      <c r="DO71" s="122"/>
      <c r="DP71" s="68"/>
      <c r="DQ71" s="68"/>
      <c r="DU71" s="68"/>
      <c r="DV71" s="68"/>
      <c r="DW71" s="44"/>
      <c r="DX71" s="44"/>
      <c r="DY71" s="44"/>
      <c r="DZ71" s="68"/>
      <c r="EA71" s="68"/>
      <c r="EB71" s="68"/>
      <c r="EC71" s="68"/>
      <c r="ED71" s="68"/>
      <c r="EE71" s="68"/>
      <c r="EF71" s="68"/>
      <c r="EG71" s="44"/>
      <c r="EH71" s="44"/>
      <c r="EI71" s="44"/>
      <c r="EJ71" s="68"/>
      <c r="EK71" s="65"/>
      <c r="EL71" s="68"/>
      <c r="EM71" s="44"/>
      <c r="EN71" s="44"/>
      <c r="EO71" s="44"/>
      <c r="EP71" s="44"/>
      <c r="EQ71" s="44"/>
      <c r="ER71" s="44"/>
      <c r="ES71" s="44"/>
      <c r="ET71" s="44"/>
      <c r="EU71" s="44">
        <f t="shared" si="11"/>
        <v>43</v>
      </c>
      <c r="EV71" s="44">
        <f t="shared" si="3"/>
        <v>0</v>
      </c>
      <c r="EW71" s="44"/>
      <c r="EX71" s="44"/>
      <c r="EY71" s="44">
        <f t="shared" si="6"/>
        <v>0</v>
      </c>
      <c r="EZ71" s="44"/>
      <c r="FA71" s="44"/>
      <c r="FB71" s="44"/>
      <c r="FC71" s="44"/>
      <c r="FD71" s="44"/>
      <c r="FE71" s="44"/>
      <c r="FF71" s="44"/>
      <c r="FG71" s="44"/>
      <c r="FH71" s="44"/>
      <c r="FI71" s="44"/>
      <c r="FJ71" s="44"/>
      <c r="FK71" s="44"/>
      <c r="FL71" s="44"/>
      <c r="FM71" s="44"/>
      <c r="FN71" s="44"/>
      <c r="FO71" s="44"/>
      <c r="FP71" s="44"/>
      <c r="FQ71" s="81"/>
      <c r="FR71" s="44"/>
      <c r="FS71" s="82"/>
      <c r="FT71" s="44"/>
    </row>
    <row r="72" spans="2:177" collapsed="1">
      <c r="B72" s="4" t="s">
        <v>707</v>
      </c>
      <c r="C72" s="62"/>
      <c r="D72" s="62"/>
      <c r="E72" s="62"/>
      <c r="F72" s="62"/>
      <c r="G72" s="62" t="s">
        <v>605</v>
      </c>
      <c r="H72" s="62" t="s">
        <v>605</v>
      </c>
      <c r="I72" s="62" t="s">
        <v>605</v>
      </c>
      <c r="J72" s="62" t="s">
        <v>605</v>
      </c>
      <c r="K72" s="62" t="s">
        <v>605</v>
      </c>
      <c r="L72" s="62" t="s">
        <v>605</v>
      </c>
      <c r="M72" s="62" t="s">
        <v>605</v>
      </c>
      <c r="N72" s="62" t="s">
        <v>605</v>
      </c>
      <c r="O72" s="62" t="s">
        <v>605</v>
      </c>
      <c r="P72" s="62" t="s">
        <v>605</v>
      </c>
      <c r="Q72" s="62" t="s">
        <v>605</v>
      </c>
      <c r="R72" s="62" t="s">
        <v>605</v>
      </c>
      <c r="S72" s="62" t="s">
        <v>605</v>
      </c>
      <c r="T72" s="62" t="s">
        <v>605</v>
      </c>
      <c r="U72" s="62" t="s">
        <v>605</v>
      </c>
      <c r="V72" s="62" t="s">
        <v>605</v>
      </c>
      <c r="W72" s="62" t="s">
        <v>605</v>
      </c>
      <c r="X72" s="62" t="s">
        <v>605</v>
      </c>
      <c r="Y72" s="62" t="s">
        <v>605</v>
      </c>
      <c r="Z72" s="62" t="s">
        <v>605</v>
      </c>
      <c r="AA72" s="62" t="s">
        <v>605</v>
      </c>
      <c r="AE72" s="44"/>
      <c r="AF72" s="44"/>
      <c r="AG72" s="44"/>
      <c r="AH72" s="44"/>
      <c r="AI72" s="62"/>
      <c r="AK72" s="62" t="s">
        <v>605</v>
      </c>
      <c r="AL72" s="103" t="s">
        <v>605</v>
      </c>
      <c r="AM72" s="103" t="s">
        <v>605</v>
      </c>
      <c r="AN72" s="103" t="s">
        <v>605</v>
      </c>
      <c r="AO72" s="103" t="s">
        <v>605</v>
      </c>
      <c r="AP72" s="103" t="s">
        <v>605</v>
      </c>
      <c r="AQ72" s="70" t="s">
        <v>605</v>
      </c>
      <c r="AR72" s="70" t="s">
        <v>605</v>
      </c>
      <c r="AS72" s="70" t="s">
        <v>605</v>
      </c>
      <c r="AT72" s="70" t="s">
        <v>605</v>
      </c>
      <c r="AU72" s="68" t="s">
        <v>605</v>
      </c>
      <c r="AV72" s="65">
        <f>45+28</f>
        <v>73</v>
      </c>
      <c r="AW72" s="44">
        <v>95</v>
      </c>
      <c r="AX72" s="70">
        <v>95</v>
      </c>
      <c r="AY72" s="75" t="s">
        <v>708</v>
      </c>
      <c r="AZ72" s="44">
        <v>94</v>
      </c>
      <c r="BA72" s="44">
        <v>111</v>
      </c>
      <c r="BB72" s="44">
        <v>131</v>
      </c>
      <c r="BC72" s="65">
        <f>69+45</f>
        <v>114</v>
      </c>
      <c r="BD72" s="44">
        <v>122</v>
      </c>
      <c r="BE72" s="44">
        <v>116</v>
      </c>
      <c r="BF72" s="65">
        <v>129</v>
      </c>
      <c r="BG72" s="44">
        <v>123</v>
      </c>
      <c r="BH72" s="65">
        <v>130</v>
      </c>
      <c r="BI72" s="44">
        <v>140</v>
      </c>
      <c r="BJ72" s="65">
        <v>142</v>
      </c>
      <c r="BK72" s="65">
        <v>136</v>
      </c>
      <c r="BL72" s="44">
        <v>143</v>
      </c>
      <c r="BM72" s="44">
        <v>135</v>
      </c>
      <c r="BN72" s="44">
        <v>120</v>
      </c>
      <c r="BO72" s="44">
        <v>72</v>
      </c>
      <c r="BP72" s="44">
        <v>78</v>
      </c>
      <c r="BQ72" s="44">
        <v>75</v>
      </c>
      <c r="BR72" s="44">
        <v>82</v>
      </c>
      <c r="BS72" s="44">
        <v>76</v>
      </c>
      <c r="BT72" s="44">
        <v>68</v>
      </c>
      <c r="BU72" s="44">
        <f t="shared" si="60"/>
        <v>75</v>
      </c>
      <c r="BV72" s="44">
        <f t="shared" si="60"/>
        <v>82</v>
      </c>
      <c r="BW72" s="44"/>
      <c r="BX72" s="44"/>
      <c r="BY72" s="44"/>
      <c r="BZ72" s="44"/>
      <c r="CA72" s="44"/>
      <c r="CB72" s="44"/>
      <c r="CC72" s="44"/>
      <c r="CD72" s="44"/>
      <c r="CE72" s="44"/>
      <c r="CF72" s="44"/>
      <c r="CG72" s="44"/>
      <c r="CH72" s="44"/>
      <c r="CI72" s="44"/>
      <c r="CJ72" s="44"/>
      <c r="CK72" s="44">
        <v>53</v>
      </c>
      <c r="CL72" s="44"/>
      <c r="CM72" s="44"/>
      <c r="CN72" s="115"/>
      <c r="CO72" s="115">
        <v>24</v>
      </c>
      <c r="CP72" s="115"/>
      <c r="CQ72" s="115"/>
      <c r="CR72" s="115"/>
      <c r="CS72" s="115"/>
      <c r="CT72" s="115"/>
      <c r="CU72" s="115"/>
      <c r="CV72" s="115"/>
      <c r="CW72" s="115"/>
      <c r="CX72" s="115"/>
      <c r="CY72" s="115"/>
      <c r="CZ72" s="115"/>
      <c r="DA72" s="115"/>
      <c r="DB72" s="115"/>
      <c r="DC72" s="115"/>
      <c r="DD72" s="115"/>
      <c r="DE72" s="115"/>
      <c r="DF72" s="115"/>
      <c r="DG72" s="115"/>
      <c r="DH72" s="115"/>
      <c r="DI72" s="115"/>
      <c r="DJ72" s="115"/>
      <c r="DK72" s="115"/>
      <c r="DL72" s="115"/>
      <c r="DM72" s="115"/>
      <c r="DN72" s="115"/>
      <c r="DO72" s="115"/>
      <c r="DP72" s="44"/>
      <c r="DQ72" s="44"/>
      <c r="DU72" s="68"/>
      <c r="DV72" s="68" t="s">
        <v>605</v>
      </c>
      <c r="DW72" s="68" t="s">
        <v>605</v>
      </c>
      <c r="DX72" s="68" t="s">
        <v>605</v>
      </c>
      <c r="DY72" s="68" t="s">
        <v>605</v>
      </c>
      <c r="DZ72" s="68" t="s">
        <v>605</v>
      </c>
      <c r="EA72" s="68" t="s">
        <v>605</v>
      </c>
      <c r="EB72" s="68" t="s">
        <v>605</v>
      </c>
      <c r="EC72" s="68" t="s">
        <v>605</v>
      </c>
      <c r="ED72" s="68" t="s">
        <v>605</v>
      </c>
      <c r="EE72" s="68" t="s">
        <v>605</v>
      </c>
      <c r="EF72" s="68" t="s">
        <v>605</v>
      </c>
      <c r="EG72" s="68" t="s">
        <v>605</v>
      </c>
      <c r="EH72" s="68" t="s">
        <v>605</v>
      </c>
      <c r="EI72" s="68" t="s">
        <v>605</v>
      </c>
      <c r="EJ72" s="68" t="s">
        <v>605</v>
      </c>
      <c r="EK72" s="65">
        <f>SUM(AY72:BB72)</f>
        <v>336</v>
      </c>
      <c r="EL72" s="44">
        <f t="shared" si="101"/>
        <v>481</v>
      </c>
      <c r="EM72" s="44">
        <f>SUM(BG72:BJ72)</f>
        <v>535</v>
      </c>
      <c r="EN72" s="44">
        <f t="shared" si="87"/>
        <v>534</v>
      </c>
      <c r="EO72" s="44">
        <f t="shared" si="88"/>
        <v>307</v>
      </c>
      <c r="EP72" s="44">
        <f t="shared" si="61"/>
        <v>301</v>
      </c>
      <c r="EQ72" s="44">
        <f t="shared" ref="EQ72:ET72" si="108">EP72*0.5</f>
        <v>150.5</v>
      </c>
      <c r="ER72" s="44">
        <f t="shared" si="108"/>
        <v>75.25</v>
      </c>
      <c r="ES72" s="44">
        <f t="shared" si="108"/>
        <v>37.625</v>
      </c>
      <c r="ET72" s="44">
        <f t="shared" si="108"/>
        <v>18.8125</v>
      </c>
      <c r="EU72" s="44">
        <f t="shared" si="11"/>
        <v>24</v>
      </c>
      <c r="EV72" s="44">
        <f t="shared" si="3"/>
        <v>0</v>
      </c>
      <c r="EW72" s="44">
        <f t="shared" si="4"/>
        <v>0</v>
      </c>
      <c r="EX72" s="44">
        <f t="shared" si="71"/>
        <v>0</v>
      </c>
      <c r="EY72" s="44">
        <f t="shared" si="6"/>
        <v>0</v>
      </c>
      <c r="FQ72" s="81">
        <f>EL72*0.2</f>
        <v>96.2</v>
      </c>
      <c r="FR72" s="44">
        <f>EQ72*0.1</f>
        <v>15.05</v>
      </c>
      <c r="FS72" s="82">
        <v>0</v>
      </c>
    </row>
    <row r="73" spans="2:177" collapsed="1">
      <c r="B73" s="4" t="s">
        <v>711</v>
      </c>
      <c r="C73" s="37">
        <v>154</v>
      </c>
      <c r="D73" s="37">
        <v>148</v>
      </c>
      <c r="E73" s="37">
        <v>160</v>
      </c>
      <c r="F73" s="44">
        <f t="shared" ref="F73" si="109">DY73-E73-D73-C73</f>
        <v>164</v>
      </c>
      <c r="G73" s="37">
        <f>82+85</f>
        <v>167</v>
      </c>
      <c r="H73" s="37">
        <f>67+90</f>
        <v>157</v>
      </c>
      <c r="I73" s="37">
        <f>85+87</f>
        <v>172</v>
      </c>
      <c r="J73" s="37">
        <f>81+102</f>
        <v>183</v>
      </c>
      <c r="K73" s="37">
        <f>93+98</f>
        <v>191</v>
      </c>
      <c r="L73" s="37">
        <f>77+108</f>
        <v>185</v>
      </c>
      <c r="M73" s="37">
        <f>90+105</f>
        <v>195</v>
      </c>
      <c r="N73" s="37">
        <f>92+121</f>
        <v>213</v>
      </c>
      <c r="O73" s="37">
        <f>88+114</f>
        <v>202</v>
      </c>
      <c r="P73" s="37">
        <f>72+125</f>
        <v>197</v>
      </c>
      <c r="Q73" s="37">
        <f>92+118</f>
        <v>210</v>
      </c>
      <c r="R73" s="37">
        <f>57+129</f>
        <v>186</v>
      </c>
      <c r="S73" s="37">
        <f>20+123</f>
        <v>143</v>
      </c>
      <c r="T73" s="37">
        <f>8+124</f>
        <v>132</v>
      </c>
      <c r="U73" s="37">
        <f>8+119</f>
        <v>127</v>
      </c>
      <c r="V73" s="37">
        <f>14+135</f>
        <v>149</v>
      </c>
      <c r="W73" s="44">
        <f>11+120</f>
        <v>131</v>
      </c>
      <c r="X73" s="44">
        <f>2+130</f>
        <v>132</v>
      </c>
      <c r="Y73" s="44">
        <f>3+129</f>
        <v>132</v>
      </c>
      <c r="Z73" s="44">
        <f>6+130</f>
        <v>136</v>
      </c>
      <c r="AA73" s="44">
        <f>5+130</f>
        <v>135</v>
      </c>
      <c r="AB73" s="44">
        <f>4+137</f>
        <v>141</v>
      </c>
      <c r="AC73" s="44">
        <f>5+147</f>
        <v>152</v>
      </c>
      <c r="AD73" s="44">
        <f>5+162</f>
        <v>167</v>
      </c>
      <c r="AE73" s="44">
        <f>3+145</f>
        <v>148</v>
      </c>
      <c r="AF73" s="44">
        <f>1+160</f>
        <v>161</v>
      </c>
      <c r="AG73" s="44">
        <f>1+149</f>
        <v>150</v>
      </c>
      <c r="AH73" s="44">
        <f>1+167</f>
        <v>168</v>
      </c>
      <c r="AI73" s="68">
        <f>1+152</f>
        <v>153</v>
      </c>
      <c r="AJ73" s="37">
        <f>1+154</f>
        <v>155</v>
      </c>
      <c r="AK73" s="44">
        <f>2+130</f>
        <v>132</v>
      </c>
      <c r="AL73" s="65">
        <v>146</v>
      </c>
      <c r="AM73" s="65">
        <v>126</v>
      </c>
      <c r="AN73" s="65">
        <v>139</v>
      </c>
      <c r="AO73" s="65">
        <v>133</v>
      </c>
      <c r="AP73" s="70">
        <v>140</v>
      </c>
      <c r="AQ73" s="65">
        <v>134</v>
      </c>
      <c r="AR73" s="65">
        <v>125</v>
      </c>
      <c r="AS73" s="65">
        <f>1+118</f>
        <v>119</v>
      </c>
      <c r="AT73" s="65">
        <v>128</v>
      </c>
      <c r="AU73" s="44">
        <f>2+119</f>
        <v>121</v>
      </c>
      <c r="AV73" s="65">
        <f>1+131</f>
        <v>132</v>
      </c>
      <c r="AW73" s="44">
        <v>125</v>
      </c>
      <c r="AX73" s="65">
        <v>121</v>
      </c>
      <c r="AY73" s="65">
        <v>107</v>
      </c>
      <c r="AZ73" s="44">
        <v>114</v>
      </c>
      <c r="BA73" s="44">
        <v>109</v>
      </c>
      <c r="BB73" s="44">
        <v>127</v>
      </c>
      <c r="BC73" s="65">
        <f>8+99</f>
        <v>107</v>
      </c>
      <c r="BD73" s="44">
        <v>110</v>
      </c>
      <c r="BE73" s="44">
        <v>95</v>
      </c>
      <c r="BF73" s="65">
        <v>101</v>
      </c>
      <c r="BG73" s="44">
        <v>96</v>
      </c>
      <c r="BH73" s="65">
        <v>101</v>
      </c>
      <c r="BI73" s="44">
        <v>92</v>
      </c>
      <c r="BJ73" s="65">
        <v>91</v>
      </c>
      <c r="BK73" s="65">
        <v>84</v>
      </c>
      <c r="BL73" s="44">
        <v>91</v>
      </c>
      <c r="BM73" s="44">
        <v>79</v>
      </c>
      <c r="BN73" s="44">
        <v>84</v>
      </c>
      <c r="BO73" s="44">
        <v>76</v>
      </c>
      <c r="BP73" s="44">
        <v>75</v>
      </c>
      <c r="BQ73" s="44">
        <v>70</v>
      </c>
      <c r="BR73" s="44">
        <v>75</v>
      </c>
      <c r="BS73" s="44">
        <v>66</v>
      </c>
      <c r="BT73" s="44">
        <v>68</v>
      </c>
      <c r="BU73" s="44">
        <f t="shared" ref="BU73:BU83" si="110">+BQ73</f>
        <v>70</v>
      </c>
      <c r="BV73" s="44">
        <f t="shared" ref="BV73:BV83" si="111">+BR73</f>
        <v>75</v>
      </c>
      <c r="BW73" s="44"/>
      <c r="BX73" s="44"/>
      <c r="BY73" s="44"/>
      <c r="BZ73" s="44"/>
      <c r="CA73" s="44"/>
      <c r="CB73" s="44"/>
      <c r="CC73" s="44"/>
      <c r="CD73" s="44"/>
      <c r="CE73" s="44"/>
      <c r="CF73" s="44"/>
      <c r="CG73" s="44"/>
      <c r="CH73" s="44"/>
      <c r="CI73" s="44"/>
      <c r="CJ73" s="44"/>
      <c r="CK73" s="44"/>
      <c r="CL73" s="44"/>
      <c r="CM73" s="44"/>
      <c r="CN73" s="115"/>
      <c r="CO73" s="115"/>
      <c r="CP73" s="115"/>
      <c r="CQ73" s="115"/>
      <c r="CR73" s="115"/>
      <c r="CS73" s="115"/>
      <c r="CT73" s="115"/>
      <c r="CU73" s="115"/>
      <c r="CV73" s="115"/>
      <c r="CW73" s="115"/>
      <c r="CX73" s="115"/>
      <c r="CY73" s="115"/>
      <c r="CZ73" s="115"/>
      <c r="DA73" s="115"/>
      <c r="DB73" s="115"/>
      <c r="DC73" s="115"/>
      <c r="DD73" s="115"/>
      <c r="DE73" s="115"/>
      <c r="DF73" s="115"/>
      <c r="DG73" s="115"/>
      <c r="DH73" s="115"/>
      <c r="DI73" s="115"/>
      <c r="DJ73" s="115"/>
      <c r="DK73" s="115"/>
      <c r="DL73" s="115"/>
      <c r="DM73" s="115"/>
      <c r="DN73" s="115"/>
      <c r="DO73" s="115"/>
      <c r="DP73" s="44"/>
      <c r="DQ73" s="44"/>
      <c r="DU73" s="68"/>
      <c r="DV73" s="68">
        <v>313</v>
      </c>
      <c r="DW73" s="44">
        <v>413</v>
      </c>
      <c r="DX73" s="44">
        <v>533</v>
      </c>
      <c r="DY73" s="44">
        <f>278+348</f>
        <v>626</v>
      </c>
      <c r="DZ73" s="68">
        <f>SUM(G73:J73)</f>
        <v>679</v>
      </c>
      <c r="EA73" s="68">
        <f>SUM(K73:N73)</f>
        <v>784</v>
      </c>
      <c r="EB73" s="68">
        <f>SUM(O73:R73)</f>
        <v>795</v>
      </c>
      <c r="EC73" s="68">
        <f>SUM(S73:V73)</f>
        <v>551</v>
      </c>
      <c r="ED73" s="68">
        <f>SUM(W73:Z73)</f>
        <v>531</v>
      </c>
      <c r="EE73" s="68">
        <f>SUM(AA73:AD73)</f>
        <v>595</v>
      </c>
      <c r="EF73" s="68">
        <f>SUM(AE73:AH73)</f>
        <v>627</v>
      </c>
      <c r="EG73" s="44">
        <v>586</v>
      </c>
      <c r="EH73" s="44">
        <v>538</v>
      </c>
      <c r="EI73" s="44">
        <f t="shared" ref="EI73:EI75" si="112">SUM(AQ73:AT73)</f>
        <v>506</v>
      </c>
      <c r="EJ73" s="44">
        <f t="shared" ref="EJ73:EJ75" si="113">SUM(AU73:AX73)</f>
        <v>499</v>
      </c>
      <c r="EK73" s="65">
        <f t="shared" ref="EK73:EK75" si="114">SUM(AY73:BB73)</f>
        <v>457</v>
      </c>
      <c r="EL73" s="44">
        <f t="shared" ref="EL73:EL75" si="115">SUM(BC73:BF73)</f>
        <v>413</v>
      </c>
      <c r="EM73" s="44">
        <f t="shared" si="53"/>
        <v>380</v>
      </c>
      <c r="EN73" s="44">
        <f t="shared" si="54"/>
        <v>338</v>
      </c>
      <c r="EO73" s="44">
        <f t="shared" si="55"/>
        <v>296</v>
      </c>
      <c r="EP73" s="44">
        <f t="shared" si="42"/>
        <v>279</v>
      </c>
      <c r="EQ73" s="44">
        <f t="shared" ref="EQ73:ET73" si="116">EP73*0.85</f>
        <v>237.15</v>
      </c>
      <c r="ER73" s="44">
        <f t="shared" si="116"/>
        <v>201.57749999999999</v>
      </c>
      <c r="ES73" s="44">
        <f t="shared" si="116"/>
        <v>171.34087499999998</v>
      </c>
      <c r="ET73" s="44">
        <f t="shared" si="116"/>
        <v>145.63974374999998</v>
      </c>
      <c r="EU73" s="44">
        <f t="shared" si="11"/>
        <v>0</v>
      </c>
      <c r="EV73" s="44">
        <f t="shared" si="3"/>
        <v>0</v>
      </c>
      <c r="EW73" s="44">
        <f t="shared" si="4"/>
        <v>0</v>
      </c>
      <c r="EX73" s="44">
        <f t="shared" si="71"/>
        <v>0</v>
      </c>
      <c r="EY73" s="44">
        <f t="shared" si="6"/>
        <v>0</v>
      </c>
      <c r="FQ73" s="81">
        <f>EL73*0.2</f>
        <v>82.600000000000009</v>
      </c>
      <c r="FR73" s="44">
        <f>EQ73*0.1</f>
        <v>23.715000000000003</v>
      </c>
      <c r="FS73" s="82">
        <f>EV73*0.1</f>
        <v>0</v>
      </c>
      <c r="FU73" s="14" t="s">
        <v>712</v>
      </c>
    </row>
    <row r="74" spans="2:177">
      <c r="B74" s="14" t="s">
        <v>196</v>
      </c>
      <c r="C74" s="68"/>
      <c r="D74" s="68"/>
      <c r="E74" s="68"/>
      <c r="F74" s="68"/>
      <c r="G74" s="68"/>
      <c r="H74" s="68"/>
      <c r="I74" s="68"/>
      <c r="J74" s="68"/>
      <c r="K74" s="68"/>
      <c r="L74" s="68"/>
      <c r="M74" s="68"/>
      <c r="N74" s="68"/>
      <c r="O74" s="68"/>
      <c r="P74" s="68"/>
      <c r="Q74" s="68"/>
      <c r="R74" s="68"/>
      <c r="S74" s="68"/>
      <c r="T74" s="68"/>
      <c r="U74" s="68"/>
      <c r="V74" s="68"/>
      <c r="W74" s="68"/>
      <c r="X74" s="68"/>
      <c r="Y74" s="68"/>
      <c r="Z74" s="62"/>
      <c r="AA74" s="68"/>
      <c r="AB74" s="68"/>
      <c r="AC74" s="68"/>
      <c r="AD74" s="62"/>
      <c r="AI74" s="68"/>
      <c r="AJ74" s="68"/>
      <c r="AK74" s="68"/>
      <c r="AL74" s="70"/>
      <c r="AM74" s="69"/>
      <c r="AN74" s="69"/>
      <c r="AO74" s="69"/>
      <c r="AP74" s="103"/>
      <c r="AQ74" s="65"/>
      <c r="AR74" s="65"/>
      <c r="AS74" s="65"/>
      <c r="AT74" s="65"/>
      <c r="AU74" s="44"/>
      <c r="AV74" s="65"/>
      <c r="AW74" s="44"/>
      <c r="AX74" s="65"/>
      <c r="AY74" s="65"/>
      <c r="AZ74" s="44"/>
      <c r="BA74" s="44"/>
      <c r="BB74" s="44"/>
      <c r="BC74" s="65">
        <v>91</v>
      </c>
      <c r="BD74" s="44">
        <v>97</v>
      </c>
      <c r="BE74" s="44">
        <v>104</v>
      </c>
      <c r="BF74" s="65">
        <v>96</v>
      </c>
      <c r="BG74" s="44">
        <v>89</v>
      </c>
      <c r="BH74" s="65">
        <v>100</v>
      </c>
      <c r="BI74" s="44">
        <v>96</v>
      </c>
      <c r="BJ74" s="65">
        <v>87</v>
      </c>
      <c r="BK74" s="65">
        <v>82</v>
      </c>
      <c r="BL74" s="44">
        <v>85</v>
      </c>
      <c r="BM74" s="44">
        <v>92</v>
      </c>
      <c r="BN74" s="44">
        <v>87</v>
      </c>
      <c r="BO74" s="44">
        <v>84</v>
      </c>
      <c r="BP74" s="44">
        <v>86</v>
      </c>
      <c r="BQ74" s="44">
        <v>91</v>
      </c>
      <c r="BR74" s="44">
        <v>89</v>
      </c>
      <c r="BS74" s="44">
        <v>88</v>
      </c>
      <c r="BT74" s="44">
        <v>87</v>
      </c>
      <c r="BU74" s="44">
        <f t="shared" si="110"/>
        <v>91</v>
      </c>
      <c r="BV74" s="44">
        <f t="shared" si="111"/>
        <v>89</v>
      </c>
      <c r="BW74" s="44"/>
      <c r="BX74" s="44"/>
      <c r="BY74" s="44"/>
      <c r="BZ74" s="44"/>
      <c r="CA74" s="44"/>
      <c r="CB74" s="44"/>
      <c r="CC74" s="44"/>
      <c r="CD74" s="44"/>
      <c r="CE74" s="44"/>
      <c r="CF74" s="44"/>
      <c r="CG74" s="44"/>
      <c r="CH74" s="44"/>
      <c r="CI74" s="44"/>
      <c r="CJ74" s="44"/>
      <c r="CK74" s="44"/>
      <c r="CL74" s="44"/>
      <c r="CM74" s="44"/>
      <c r="CN74" s="115"/>
      <c r="CO74" s="115"/>
      <c r="CP74" s="115"/>
      <c r="CQ74" s="115"/>
      <c r="CR74" s="115"/>
      <c r="CS74" s="115"/>
      <c r="CT74" s="115"/>
      <c r="CU74" s="115"/>
      <c r="CV74" s="115"/>
      <c r="CW74" s="115"/>
      <c r="CX74" s="115"/>
      <c r="CY74" s="115"/>
      <c r="CZ74" s="115"/>
      <c r="DA74" s="115"/>
      <c r="DB74" s="115"/>
      <c r="DC74" s="115"/>
      <c r="DD74" s="115"/>
      <c r="DE74" s="115"/>
      <c r="DF74" s="115"/>
      <c r="DG74" s="115"/>
      <c r="DH74" s="115"/>
      <c r="DI74" s="115"/>
      <c r="DJ74" s="115"/>
      <c r="DK74" s="115"/>
      <c r="DL74" s="115"/>
      <c r="DM74" s="115"/>
      <c r="DN74" s="115"/>
      <c r="DO74" s="115"/>
      <c r="DP74" s="44"/>
      <c r="DQ74" s="44"/>
      <c r="DU74" s="68"/>
      <c r="DV74" s="68"/>
      <c r="DW74" s="68"/>
      <c r="DX74" s="68"/>
      <c r="DY74" s="68"/>
      <c r="DZ74" s="68"/>
      <c r="EA74" s="68"/>
      <c r="EB74" s="68"/>
      <c r="EC74" s="68"/>
      <c r="ED74" s="68"/>
      <c r="EF74" s="44"/>
      <c r="EG74" s="44"/>
      <c r="EH74" s="44"/>
      <c r="EI74" s="44"/>
      <c r="EJ74" s="44"/>
      <c r="EK74" s="65"/>
      <c r="EL74" s="44">
        <f t="shared" si="115"/>
        <v>388</v>
      </c>
      <c r="EM74" s="44">
        <f t="shared" ref="EM74:EM75" si="117">SUM(BG74:BJ74)</f>
        <v>372</v>
      </c>
      <c r="EN74" s="44">
        <f t="shared" si="54"/>
        <v>346</v>
      </c>
      <c r="EO74" s="44">
        <f t="shared" si="55"/>
        <v>350</v>
      </c>
      <c r="EP74" s="44">
        <f t="shared" si="42"/>
        <v>355</v>
      </c>
      <c r="EQ74" s="44">
        <f t="shared" ref="EQ74:ET74" si="118">+EP74</f>
        <v>355</v>
      </c>
      <c r="ER74" s="44">
        <f t="shared" si="118"/>
        <v>355</v>
      </c>
      <c r="ES74" s="44">
        <f t="shared" si="118"/>
        <v>355</v>
      </c>
      <c r="ET74" s="44">
        <f t="shared" si="118"/>
        <v>355</v>
      </c>
      <c r="EU74" s="44">
        <f t="shared" si="11"/>
        <v>0</v>
      </c>
      <c r="EV74" s="44">
        <f t="shared" si="3"/>
        <v>0</v>
      </c>
      <c r="EW74" s="44">
        <f t="shared" si="4"/>
        <v>0</v>
      </c>
      <c r="EX74" s="44">
        <f t="shared" si="71"/>
        <v>0</v>
      </c>
      <c r="EY74" s="44">
        <f t="shared" si="6"/>
        <v>0</v>
      </c>
      <c r="FS74" s="82">
        <f>+EV74*0.8</f>
        <v>0</v>
      </c>
      <c r="FU74" s="14"/>
    </row>
    <row r="75" spans="2:177" collapsed="1">
      <c r="B75" s="4" t="s">
        <v>716</v>
      </c>
      <c r="G75" s="37">
        <v>6</v>
      </c>
      <c r="H75" s="37">
        <v>11</v>
      </c>
      <c r="I75" s="37">
        <v>15</v>
      </c>
      <c r="J75" s="37">
        <v>21</v>
      </c>
      <c r="K75" s="37">
        <v>19</v>
      </c>
      <c r="L75" s="37">
        <v>22</v>
      </c>
      <c r="M75" s="37">
        <v>23</v>
      </c>
      <c r="N75" s="37">
        <v>28</v>
      </c>
      <c r="O75" s="37">
        <v>25</v>
      </c>
      <c r="P75" s="37">
        <v>30</v>
      </c>
      <c r="Q75" s="37">
        <v>30</v>
      </c>
      <c r="R75" s="37">
        <v>34</v>
      </c>
      <c r="S75" s="37">
        <v>34</v>
      </c>
      <c r="T75" s="37">
        <v>36</v>
      </c>
      <c r="U75" s="37">
        <v>30</v>
      </c>
      <c r="V75" s="37">
        <v>47</v>
      </c>
      <c r="W75" s="37">
        <v>45</v>
      </c>
      <c r="X75" s="37">
        <v>50</v>
      </c>
      <c r="Y75" s="37">
        <v>53</v>
      </c>
      <c r="Z75" s="37">
        <v>56</v>
      </c>
      <c r="AA75" s="44">
        <v>55</v>
      </c>
      <c r="AB75" s="44">
        <v>58</v>
      </c>
      <c r="AC75" s="44">
        <v>67</v>
      </c>
      <c r="AD75" s="44">
        <v>74</v>
      </c>
      <c r="AE75" s="44">
        <v>71</v>
      </c>
      <c r="AF75" s="44">
        <v>74</v>
      </c>
      <c r="AG75" s="44">
        <v>77</v>
      </c>
      <c r="AH75" s="44">
        <v>87</v>
      </c>
      <c r="AI75" s="68">
        <v>85</v>
      </c>
      <c r="AJ75" s="44">
        <v>86</v>
      </c>
      <c r="AK75" s="37">
        <v>85</v>
      </c>
      <c r="AL75" s="65">
        <v>90</v>
      </c>
      <c r="AM75" s="65">
        <v>82</v>
      </c>
      <c r="AN75" s="69">
        <v>88</v>
      </c>
      <c r="AO75" s="69">
        <v>90</v>
      </c>
      <c r="AP75" s="103">
        <v>98</v>
      </c>
      <c r="AQ75" s="65">
        <v>85</v>
      </c>
      <c r="AR75" s="65">
        <v>100</v>
      </c>
      <c r="AS75" s="65">
        <v>100</v>
      </c>
      <c r="AT75" s="65">
        <v>116</v>
      </c>
      <c r="AU75" s="44">
        <v>104</v>
      </c>
      <c r="AV75" s="65">
        <v>121</v>
      </c>
      <c r="AW75" s="44">
        <v>131</v>
      </c>
      <c r="AX75" s="65">
        <v>126</v>
      </c>
      <c r="AY75" s="65">
        <v>95</v>
      </c>
      <c r="AZ75" s="44">
        <v>108</v>
      </c>
      <c r="BA75" s="44">
        <v>108</v>
      </c>
      <c r="BB75" s="44">
        <v>121</v>
      </c>
      <c r="BC75" s="65">
        <f>0+107</f>
        <v>107</v>
      </c>
      <c r="BD75" s="44">
        <v>103</v>
      </c>
      <c r="BE75" s="44">
        <v>100</v>
      </c>
      <c r="BF75" s="65">
        <v>107</v>
      </c>
      <c r="BG75" s="44">
        <v>99</v>
      </c>
      <c r="BH75" s="65">
        <v>106</v>
      </c>
      <c r="BI75" s="44">
        <v>117</v>
      </c>
      <c r="BJ75" s="65">
        <v>115</v>
      </c>
      <c r="BK75" s="65">
        <v>94</v>
      </c>
      <c r="BL75" s="44">
        <v>84</v>
      </c>
      <c r="BM75" s="44">
        <v>71</v>
      </c>
      <c r="BN75" s="44">
        <v>77</v>
      </c>
      <c r="BO75" s="44">
        <v>62</v>
      </c>
      <c r="BP75" s="44">
        <v>59</v>
      </c>
      <c r="BQ75" s="44">
        <v>52</v>
      </c>
      <c r="BR75" s="44">
        <v>62</v>
      </c>
      <c r="BS75" s="44" t="s">
        <v>605</v>
      </c>
      <c r="BT75" s="44" t="s">
        <v>605</v>
      </c>
      <c r="BU75" s="44" t="s">
        <v>605</v>
      </c>
      <c r="BV75" s="44" t="s">
        <v>605</v>
      </c>
      <c r="BW75" s="44"/>
      <c r="BX75" s="44"/>
      <c r="BY75" s="44"/>
      <c r="BZ75" s="44"/>
      <c r="CA75" s="44"/>
      <c r="CB75" s="44"/>
      <c r="CC75" s="44"/>
      <c r="CD75" s="44"/>
      <c r="CE75" s="44"/>
      <c r="CF75" s="44"/>
      <c r="CG75" s="44"/>
      <c r="CH75" s="44"/>
      <c r="CI75" s="44"/>
      <c r="CJ75" s="44"/>
      <c r="CK75" s="44"/>
      <c r="CL75" s="44"/>
      <c r="CM75" s="44"/>
      <c r="CN75" s="115"/>
      <c r="CO75" s="115"/>
      <c r="CP75" s="115"/>
      <c r="CQ75" s="115"/>
      <c r="CR75" s="115"/>
      <c r="CS75" s="115"/>
      <c r="CT75" s="115"/>
      <c r="CU75" s="115"/>
      <c r="CV75" s="115"/>
      <c r="CW75" s="115"/>
      <c r="CX75" s="115"/>
      <c r="CY75" s="115"/>
      <c r="CZ75" s="115"/>
      <c r="DA75" s="115"/>
      <c r="DB75" s="115"/>
      <c r="DC75" s="115"/>
      <c r="DD75" s="115"/>
      <c r="DE75" s="115"/>
      <c r="DF75" s="115"/>
      <c r="DG75" s="115"/>
      <c r="DH75" s="115"/>
      <c r="DI75" s="115"/>
      <c r="DJ75" s="115"/>
      <c r="DK75" s="115"/>
      <c r="DL75" s="115"/>
      <c r="DM75" s="115"/>
      <c r="DN75" s="115"/>
      <c r="DO75" s="115"/>
      <c r="DP75" s="44"/>
      <c r="DQ75" s="44"/>
      <c r="DR75" s="44"/>
      <c r="DS75" s="44"/>
      <c r="DT75" s="44"/>
      <c r="DU75" s="68"/>
      <c r="DV75" s="68" t="s">
        <v>605</v>
      </c>
      <c r="DW75" s="68" t="s">
        <v>605</v>
      </c>
      <c r="DX75" s="68" t="s">
        <v>605</v>
      </c>
      <c r="DY75" s="68" t="s">
        <v>605</v>
      </c>
      <c r="DZ75" s="68">
        <f>SUM(G75:J75)</f>
        <v>53</v>
      </c>
      <c r="EA75" s="68">
        <f>SUM(K75:N75)</f>
        <v>92</v>
      </c>
      <c r="EB75" s="68">
        <f>SUM(O75:R75)</f>
        <v>119</v>
      </c>
      <c r="EC75" s="68">
        <f>SUM(S75:V75)</f>
        <v>147</v>
      </c>
      <c r="ED75" s="68">
        <f>SUM(W75:Z75)</f>
        <v>204</v>
      </c>
      <c r="EE75" s="68">
        <f>SUM(AA75:AD75)</f>
        <v>254</v>
      </c>
      <c r="EF75" s="68">
        <f>SUM(AE75:AH75)</f>
        <v>309</v>
      </c>
      <c r="EG75" s="44">
        <v>346</v>
      </c>
      <c r="EH75" s="44">
        <v>358</v>
      </c>
      <c r="EI75" s="44">
        <f t="shared" si="112"/>
        <v>401</v>
      </c>
      <c r="EJ75" s="44">
        <f t="shared" si="113"/>
        <v>482</v>
      </c>
      <c r="EK75" s="65">
        <f t="shared" si="114"/>
        <v>432</v>
      </c>
      <c r="EL75" s="44">
        <f t="shared" si="115"/>
        <v>417</v>
      </c>
      <c r="EM75" s="44">
        <f t="shared" si="117"/>
        <v>437</v>
      </c>
      <c r="EN75" s="44">
        <f t="shared" si="54"/>
        <v>326</v>
      </c>
      <c r="EO75" s="44">
        <f t="shared" si="55"/>
        <v>235</v>
      </c>
      <c r="EP75" s="44">
        <f t="shared" si="42"/>
        <v>0</v>
      </c>
      <c r="EQ75" s="44">
        <f t="shared" ref="EQ75:ET75" si="119">EP75*0.65</f>
        <v>0</v>
      </c>
      <c r="ER75" s="44">
        <f t="shared" si="119"/>
        <v>0</v>
      </c>
      <c r="ES75" s="44">
        <f t="shared" si="119"/>
        <v>0</v>
      </c>
      <c r="ET75" s="44">
        <f t="shared" si="119"/>
        <v>0</v>
      </c>
      <c r="EU75" s="44">
        <f t="shared" si="11"/>
        <v>0</v>
      </c>
      <c r="EV75" s="44">
        <f t="shared" si="3"/>
        <v>0</v>
      </c>
      <c r="EW75" s="44">
        <f t="shared" si="4"/>
        <v>0</v>
      </c>
      <c r="EX75" s="44">
        <f t="shared" si="71"/>
        <v>0</v>
      </c>
      <c r="EY75" s="44">
        <f t="shared" si="6"/>
        <v>0</v>
      </c>
      <c r="FQ75" s="81">
        <f t="shared" ref="FQ75" si="120">EL75*0.2</f>
        <v>83.4</v>
      </c>
      <c r="FR75" s="44">
        <f t="shared" ref="FR75" si="121">EQ75*0.1</f>
        <v>0</v>
      </c>
      <c r="FS75" s="82">
        <v>0</v>
      </c>
    </row>
    <row r="76" spans="2:177">
      <c r="B76" s="4" t="s">
        <v>717</v>
      </c>
      <c r="C76" s="62"/>
      <c r="D76" s="62"/>
      <c r="E76" s="62"/>
      <c r="F76" s="62"/>
      <c r="G76" s="62" t="s">
        <v>605</v>
      </c>
      <c r="H76" s="62" t="s">
        <v>605</v>
      </c>
      <c r="I76" s="62" t="s">
        <v>605</v>
      </c>
      <c r="J76" s="62" t="s">
        <v>605</v>
      </c>
      <c r="K76" s="62" t="s">
        <v>605</v>
      </c>
      <c r="L76" s="62" t="s">
        <v>605</v>
      </c>
      <c r="M76" s="62" t="s">
        <v>605</v>
      </c>
      <c r="N76" s="62" t="s">
        <v>605</v>
      </c>
      <c r="O76" s="62" t="s">
        <v>605</v>
      </c>
      <c r="P76" s="62" t="s">
        <v>605</v>
      </c>
      <c r="Q76" s="62" t="s">
        <v>605</v>
      </c>
      <c r="R76" s="62" t="s">
        <v>605</v>
      </c>
      <c r="S76" s="37">
        <v>65</v>
      </c>
      <c r="T76" s="44">
        <f>21+1</f>
        <v>22</v>
      </c>
      <c r="U76" s="44">
        <f>22+1</f>
        <v>23</v>
      </c>
      <c r="V76" s="44">
        <f>38+1</f>
        <v>39</v>
      </c>
      <c r="W76" s="44">
        <f>36+2</f>
        <v>38</v>
      </c>
      <c r="X76" s="44">
        <f>45+3</f>
        <v>48</v>
      </c>
      <c r="Y76" s="44">
        <f>54+3</f>
        <v>57</v>
      </c>
      <c r="Z76" s="44">
        <f>74+5</f>
        <v>79</v>
      </c>
      <c r="AA76" s="44">
        <f>69+9</f>
        <v>78</v>
      </c>
      <c r="AB76" s="44">
        <f>62+12</f>
        <v>74</v>
      </c>
      <c r="AC76" s="44">
        <f>82+14</f>
        <v>96</v>
      </c>
      <c r="AD76" s="44">
        <f>89+16</f>
        <v>105</v>
      </c>
      <c r="AE76" s="44">
        <f>72+16</f>
        <v>88</v>
      </c>
      <c r="AF76" s="44">
        <f>91+19</f>
        <v>110</v>
      </c>
      <c r="AG76" s="44">
        <f>104+21</f>
        <v>125</v>
      </c>
      <c r="AH76" s="44">
        <v>143</v>
      </c>
      <c r="AI76" s="68">
        <f>112+26</f>
        <v>138</v>
      </c>
      <c r="AJ76" s="44">
        <f>119+26</f>
        <v>145</v>
      </c>
      <c r="AK76" s="44">
        <f>121+27</f>
        <v>148</v>
      </c>
      <c r="AL76" s="65">
        <v>159</v>
      </c>
      <c r="AM76" s="65">
        <v>182</v>
      </c>
      <c r="AN76" s="65">
        <v>165</v>
      </c>
      <c r="AO76" s="65">
        <v>201</v>
      </c>
      <c r="AP76" s="103">
        <v>210</v>
      </c>
      <c r="AQ76" s="65">
        <v>216</v>
      </c>
      <c r="AR76" s="65">
        <v>178</v>
      </c>
      <c r="AS76" s="65">
        <v>228</v>
      </c>
      <c r="AT76" s="65">
        <v>232</v>
      </c>
      <c r="AU76" s="44">
        <f>200+41</f>
        <v>241</v>
      </c>
      <c r="AV76" s="65">
        <f>184+48</f>
        <v>232</v>
      </c>
      <c r="AW76" s="44">
        <v>258</v>
      </c>
      <c r="AX76" s="65">
        <v>276</v>
      </c>
      <c r="AY76" s="65">
        <v>230</v>
      </c>
      <c r="AZ76" s="44">
        <v>231</v>
      </c>
      <c r="BA76" s="44">
        <v>252</v>
      </c>
      <c r="BB76" s="44">
        <v>289</v>
      </c>
      <c r="BC76" s="65">
        <f>213+41</f>
        <v>254</v>
      </c>
      <c r="BD76" s="44">
        <v>247</v>
      </c>
      <c r="BE76" s="44">
        <v>262</v>
      </c>
      <c r="BF76" s="65">
        <v>264</v>
      </c>
      <c r="BG76" s="44">
        <v>232</v>
      </c>
      <c r="BH76" s="65">
        <v>258</v>
      </c>
      <c r="BI76" s="44">
        <v>263</v>
      </c>
      <c r="BJ76" s="65">
        <v>269</v>
      </c>
      <c r="BK76" s="65">
        <v>181</v>
      </c>
      <c r="BL76" s="44">
        <v>84</v>
      </c>
      <c r="BM76" s="44">
        <v>57</v>
      </c>
      <c r="BN76" s="44">
        <v>31</v>
      </c>
      <c r="BO76" s="68" t="s">
        <v>605</v>
      </c>
      <c r="BP76" s="68" t="s">
        <v>605</v>
      </c>
      <c r="BQ76" s="68" t="s">
        <v>605</v>
      </c>
      <c r="BR76" s="44">
        <v>77</v>
      </c>
      <c r="BS76" s="44" t="s">
        <v>605</v>
      </c>
      <c r="BT76" s="44" t="s">
        <v>605</v>
      </c>
      <c r="BU76" s="44" t="s">
        <v>605</v>
      </c>
      <c r="BV76" s="44" t="s">
        <v>605</v>
      </c>
      <c r="BW76" s="44"/>
      <c r="BX76" s="44"/>
      <c r="BY76" s="44"/>
      <c r="BZ76" s="44"/>
      <c r="CA76" s="44"/>
      <c r="CB76" s="44"/>
      <c r="CC76" s="44"/>
      <c r="CD76" s="44"/>
      <c r="CE76" s="44"/>
      <c r="CF76" s="44"/>
      <c r="CG76" s="44"/>
      <c r="CH76" s="44"/>
      <c r="CI76" s="44"/>
      <c r="CJ76" s="44"/>
      <c r="CK76" s="44"/>
      <c r="CL76" s="44"/>
      <c r="CM76" s="44"/>
      <c r="CN76" s="115"/>
      <c r="CO76" s="115"/>
      <c r="CP76" s="115"/>
      <c r="CQ76" s="115"/>
      <c r="CR76" s="115"/>
      <c r="CS76" s="115"/>
      <c r="CT76" s="115"/>
      <c r="CU76" s="115"/>
      <c r="CV76" s="115"/>
      <c r="CW76" s="115"/>
      <c r="CX76" s="115"/>
      <c r="CY76" s="115"/>
      <c r="CZ76" s="115"/>
      <c r="DA76" s="115"/>
      <c r="DB76" s="115"/>
      <c r="DC76" s="115"/>
      <c r="DD76" s="115"/>
      <c r="DE76" s="115"/>
      <c r="DF76" s="115"/>
      <c r="DG76" s="115"/>
      <c r="DH76" s="115"/>
      <c r="DI76" s="115"/>
      <c r="DJ76" s="115"/>
      <c r="DK76" s="115"/>
      <c r="DL76" s="115"/>
      <c r="DM76" s="115"/>
      <c r="DN76" s="115"/>
      <c r="DO76" s="115"/>
      <c r="DP76" s="44"/>
      <c r="DQ76" s="44"/>
      <c r="DU76" s="68"/>
      <c r="DV76" s="68" t="s">
        <v>605</v>
      </c>
      <c r="DW76" s="68" t="s">
        <v>605</v>
      </c>
      <c r="DX76" s="68" t="s">
        <v>605</v>
      </c>
      <c r="DY76" s="68" t="s">
        <v>605</v>
      </c>
      <c r="DZ76" s="68" t="s">
        <v>605</v>
      </c>
      <c r="EA76" s="68" t="s">
        <v>605</v>
      </c>
      <c r="EB76" s="68" t="s">
        <v>605</v>
      </c>
      <c r="EC76" s="68">
        <f>SUM(S76:V76)</f>
        <v>149</v>
      </c>
      <c r="ED76" s="68">
        <f>SUM(W76:Z76)</f>
        <v>222</v>
      </c>
      <c r="EE76" s="68">
        <f>SUM(AA76:AD76)</f>
        <v>353</v>
      </c>
      <c r="EF76" s="68">
        <f>SUM(AE76:AH76)</f>
        <v>466</v>
      </c>
      <c r="EG76" s="44">
        <v>589</v>
      </c>
      <c r="EH76" s="44">
        <v>758</v>
      </c>
      <c r="EI76" s="44">
        <f>SUM(AQ76:AT76)</f>
        <v>854</v>
      </c>
      <c r="EJ76" s="44">
        <f>SUM(AU76:AX76)</f>
        <v>1007</v>
      </c>
      <c r="EK76" s="65">
        <f>SUM(AY76:BB76)</f>
        <v>1002</v>
      </c>
      <c r="EL76" s="68">
        <f>SUM(BC76:BF76)</f>
        <v>1027</v>
      </c>
      <c r="EM76" s="44">
        <f>SUM(BG76:BJ76)</f>
        <v>1022</v>
      </c>
      <c r="EN76" s="44">
        <f>SUM(BK76:BN76)</f>
        <v>353</v>
      </c>
      <c r="EO76" s="44">
        <f>SUM(BO76:BR76)</f>
        <v>77</v>
      </c>
      <c r="EP76" s="44">
        <f t="shared" si="42"/>
        <v>0</v>
      </c>
      <c r="EQ76" s="44">
        <f t="shared" ref="EQ76:ET76" si="122">EP76*0.2</f>
        <v>0</v>
      </c>
      <c r="ER76" s="44">
        <f t="shared" si="122"/>
        <v>0</v>
      </c>
      <c r="ES76" s="44">
        <f t="shared" si="122"/>
        <v>0</v>
      </c>
      <c r="ET76" s="44">
        <f t="shared" si="122"/>
        <v>0</v>
      </c>
      <c r="EU76" s="44">
        <f t="shared" si="11"/>
        <v>0</v>
      </c>
      <c r="EV76" s="44">
        <f t="shared" si="3"/>
        <v>0</v>
      </c>
      <c r="EW76" s="44">
        <f t="shared" si="4"/>
        <v>0</v>
      </c>
      <c r="EX76" s="44">
        <f t="shared" si="71"/>
        <v>0</v>
      </c>
      <c r="EY76" s="44">
        <f t="shared" si="6"/>
        <v>0</v>
      </c>
      <c r="FQ76" s="81">
        <f>EL76*0.5</f>
        <v>513.5</v>
      </c>
      <c r="FR76" s="44">
        <f>EQ76*0.1</f>
        <v>0</v>
      </c>
      <c r="FS76" s="82">
        <v>0</v>
      </c>
      <c r="FU76" s="14" t="s">
        <v>718</v>
      </c>
    </row>
    <row r="77" spans="2:177" collapsed="1">
      <c r="B77" s="4" t="s">
        <v>719</v>
      </c>
      <c r="C77" s="62"/>
      <c r="D77" s="62"/>
      <c r="E77" s="62"/>
      <c r="F77" s="62"/>
      <c r="G77" s="62" t="s">
        <v>605</v>
      </c>
      <c r="H77" s="62" t="s">
        <v>605</v>
      </c>
      <c r="I77" s="62" t="s">
        <v>605</v>
      </c>
      <c r="J77" s="62" t="s">
        <v>605</v>
      </c>
      <c r="K77" s="62" t="s">
        <v>605</v>
      </c>
      <c r="L77" s="62" t="s">
        <v>605</v>
      </c>
      <c r="M77" s="62" t="s">
        <v>605</v>
      </c>
      <c r="N77" s="62" t="s">
        <v>605</v>
      </c>
      <c r="O77" s="62" t="s">
        <v>605</v>
      </c>
      <c r="P77" s="62" t="s">
        <v>605</v>
      </c>
      <c r="Q77" s="62" t="s">
        <v>605</v>
      </c>
      <c r="R77" s="62" t="s">
        <v>605</v>
      </c>
      <c r="S77" s="62" t="s">
        <v>605</v>
      </c>
      <c r="T77" s="62" t="s">
        <v>605</v>
      </c>
      <c r="U77" s="62" t="s">
        <v>605</v>
      </c>
      <c r="V77" s="62" t="s">
        <v>605</v>
      </c>
      <c r="W77" s="62" t="s">
        <v>605</v>
      </c>
      <c r="X77" s="62" t="s">
        <v>605</v>
      </c>
      <c r="Y77" s="62" t="s">
        <v>605</v>
      </c>
      <c r="Z77" s="62" t="s">
        <v>605</v>
      </c>
      <c r="AA77" s="62" t="s">
        <v>605</v>
      </c>
      <c r="AB77" s="62" t="s">
        <v>605</v>
      </c>
      <c r="AC77" s="62" t="s">
        <v>605</v>
      </c>
      <c r="AD77" s="62" t="s">
        <v>605</v>
      </c>
      <c r="AE77" s="44">
        <v>28</v>
      </c>
      <c r="AF77" s="44">
        <v>2</v>
      </c>
      <c r="AG77" s="44">
        <v>5</v>
      </c>
      <c r="AH77" s="44">
        <v>15</v>
      </c>
      <c r="AI77" s="68">
        <f>30+1</f>
        <v>31</v>
      </c>
      <c r="AJ77" s="44">
        <v>41</v>
      </c>
      <c r="AK77" s="44">
        <v>48</v>
      </c>
      <c r="AL77" s="65">
        <v>65</v>
      </c>
      <c r="AM77" s="65">
        <v>77</v>
      </c>
      <c r="AN77" s="65">
        <v>80</v>
      </c>
      <c r="AO77" s="65">
        <v>98</v>
      </c>
      <c r="AP77" s="70">
        <v>115</v>
      </c>
      <c r="AQ77" s="65">
        <v>146</v>
      </c>
      <c r="AR77" s="65">
        <v>119</v>
      </c>
      <c r="AS77" s="65">
        <f>128+21</f>
        <v>149</v>
      </c>
      <c r="AT77" s="65">
        <v>154</v>
      </c>
      <c r="AU77" s="44">
        <f>120+27</f>
        <v>147</v>
      </c>
      <c r="AV77" s="65">
        <f>116+30</f>
        <v>146</v>
      </c>
      <c r="AW77" s="44">
        <v>148</v>
      </c>
      <c r="AX77" s="65">
        <v>148</v>
      </c>
      <c r="AY77" s="65">
        <v>134</v>
      </c>
      <c r="AZ77" s="44">
        <v>128</v>
      </c>
      <c r="BA77" s="44">
        <v>130</v>
      </c>
      <c r="BB77" s="44">
        <v>156</v>
      </c>
      <c r="BC77" s="65">
        <f>86+49</f>
        <v>135</v>
      </c>
      <c r="BD77" s="44">
        <v>126</v>
      </c>
      <c r="BE77" s="44">
        <v>127</v>
      </c>
      <c r="BF77" s="65">
        <v>139</v>
      </c>
      <c r="BG77" s="44">
        <v>142</v>
      </c>
      <c r="BH77" s="65">
        <v>143</v>
      </c>
      <c r="BI77" s="44">
        <v>150</v>
      </c>
      <c r="BJ77" s="65">
        <v>103</v>
      </c>
      <c r="BK77" s="65">
        <v>65</v>
      </c>
      <c r="BL77" s="44">
        <v>58</v>
      </c>
      <c r="BM77" s="44">
        <v>68</v>
      </c>
      <c r="BN77" s="44">
        <v>67</v>
      </c>
      <c r="BO77" s="44">
        <v>56</v>
      </c>
      <c r="BP77" s="44">
        <v>56</v>
      </c>
      <c r="BQ77" s="44">
        <v>52</v>
      </c>
      <c r="BR77" s="44">
        <v>59</v>
      </c>
      <c r="BS77" s="44">
        <v>50</v>
      </c>
      <c r="BT77" s="44" t="s">
        <v>605</v>
      </c>
      <c r="BU77" s="44" t="s">
        <v>605</v>
      </c>
      <c r="BV77" s="44" t="s">
        <v>605</v>
      </c>
      <c r="BW77" s="44"/>
      <c r="BX77" s="44"/>
      <c r="BY77" s="44"/>
      <c r="BZ77" s="44"/>
      <c r="CA77" s="44"/>
      <c r="CB77" s="44"/>
      <c r="CC77" s="44"/>
      <c r="CD77" s="44"/>
      <c r="CE77" s="44"/>
      <c r="CF77" s="44"/>
      <c r="CG77" s="44"/>
      <c r="CH77" s="44"/>
      <c r="CI77" s="44"/>
      <c r="CJ77" s="44"/>
      <c r="CK77" s="44"/>
      <c r="CL77" s="44"/>
      <c r="CM77" s="44"/>
      <c r="CN77" s="115"/>
      <c r="CO77" s="115"/>
      <c r="CP77" s="115"/>
      <c r="CQ77" s="115"/>
      <c r="CR77" s="115"/>
      <c r="CS77" s="115"/>
      <c r="CT77" s="115"/>
      <c r="CU77" s="115"/>
      <c r="CV77" s="115"/>
      <c r="CW77" s="115"/>
      <c r="CX77" s="115"/>
      <c r="CY77" s="115"/>
      <c r="CZ77" s="115"/>
      <c r="DA77" s="115"/>
      <c r="DB77" s="115"/>
      <c r="DC77" s="115"/>
      <c r="DD77" s="115"/>
      <c r="DE77" s="115"/>
      <c r="DF77" s="115"/>
      <c r="DG77" s="115"/>
      <c r="DH77" s="115"/>
      <c r="DI77" s="115"/>
      <c r="DJ77" s="115"/>
      <c r="DK77" s="115"/>
      <c r="DL77" s="115"/>
      <c r="DM77" s="115"/>
      <c r="DN77" s="115"/>
      <c r="DO77" s="115"/>
      <c r="DP77" s="44"/>
      <c r="DQ77" s="44"/>
      <c r="DU77" s="68"/>
      <c r="DV77" s="68" t="s">
        <v>605</v>
      </c>
      <c r="DW77" s="68" t="s">
        <v>605</v>
      </c>
      <c r="DX77" s="68" t="s">
        <v>605</v>
      </c>
      <c r="DY77" s="68" t="s">
        <v>605</v>
      </c>
      <c r="DZ77" s="68" t="s">
        <v>605</v>
      </c>
      <c r="EA77" s="68" t="s">
        <v>605</v>
      </c>
      <c r="EB77" s="68" t="s">
        <v>605</v>
      </c>
      <c r="EC77" s="68" t="s">
        <v>605</v>
      </c>
      <c r="ED77" s="68" t="s">
        <v>605</v>
      </c>
      <c r="EE77" s="68" t="s">
        <v>605</v>
      </c>
      <c r="EF77" s="44">
        <f>SUM(AE77:AH77)</f>
        <v>50</v>
      </c>
      <c r="EG77" s="44">
        <v>185</v>
      </c>
      <c r="EH77" s="44">
        <v>370</v>
      </c>
      <c r="EI77" s="44">
        <f>SUM(AQ77:AT77)</f>
        <v>568</v>
      </c>
      <c r="EJ77" s="44">
        <f>SUM(AU77:AX77)</f>
        <v>589</v>
      </c>
      <c r="EK77" s="65">
        <f>SUM(AY77:BB77)</f>
        <v>548</v>
      </c>
      <c r="EL77" s="44">
        <f>SUM(BC77:BF77)</f>
        <v>527</v>
      </c>
      <c r="EM77" s="44">
        <f>SUM(BG77:BJ77)</f>
        <v>538</v>
      </c>
      <c r="EN77" s="44">
        <f>SUM(BK77:BN77)</f>
        <v>258</v>
      </c>
      <c r="EO77" s="44">
        <f>SUM(BO77:BR77)</f>
        <v>223</v>
      </c>
      <c r="EP77" s="44">
        <f t="shared" si="42"/>
        <v>50</v>
      </c>
      <c r="EQ77" s="44">
        <f t="shared" ref="EQ77:ET77" si="123">+EP77*0.9</f>
        <v>45</v>
      </c>
      <c r="ER77" s="44">
        <f t="shared" si="123"/>
        <v>40.5</v>
      </c>
      <c r="ES77" s="44">
        <f t="shared" si="123"/>
        <v>36.450000000000003</v>
      </c>
      <c r="ET77" s="44">
        <f t="shared" si="123"/>
        <v>32.805000000000007</v>
      </c>
      <c r="EU77" s="44">
        <f t="shared" si="11"/>
        <v>0</v>
      </c>
      <c r="EV77" s="44">
        <f t="shared" si="3"/>
        <v>0</v>
      </c>
      <c r="EW77" s="44">
        <f t="shared" si="4"/>
        <v>0</v>
      </c>
      <c r="EX77" s="44">
        <f t="shared" si="71"/>
        <v>0</v>
      </c>
      <c r="EY77" s="44">
        <f t="shared" si="6"/>
        <v>0</v>
      </c>
      <c r="FQ77" s="81">
        <f>EL77*0.2</f>
        <v>105.4</v>
      </c>
      <c r="FR77" s="44">
        <f>EQ77*0.1</f>
        <v>4.5</v>
      </c>
      <c r="FS77" s="82">
        <f t="shared" ref="FS77:FS83" si="124">+EV77*0.5</f>
        <v>0</v>
      </c>
      <c r="FU77" s="14"/>
    </row>
    <row r="78" spans="2:177">
      <c r="B78" s="14" t="s">
        <v>720</v>
      </c>
      <c r="W78" s="44"/>
      <c r="X78" s="44"/>
      <c r="Y78" s="44"/>
      <c r="Z78" s="44"/>
      <c r="AA78" s="44"/>
      <c r="AB78" s="44"/>
      <c r="AC78" s="44"/>
      <c r="AD78" s="44"/>
      <c r="AE78" s="44"/>
      <c r="AF78" s="44"/>
      <c r="AG78" s="44"/>
      <c r="AH78" s="44"/>
      <c r="AI78" s="68"/>
      <c r="AJ78" s="44"/>
      <c r="AK78" s="44"/>
      <c r="AL78" s="65"/>
      <c r="AM78" s="65"/>
      <c r="AN78" s="65"/>
      <c r="AO78" s="65"/>
      <c r="AP78" s="70"/>
      <c r="AQ78" s="65"/>
      <c r="AR78" s="65"/>
      <c r="AS78" s="65"/>
      <c r="AT78" s="65"/>
      <c r="AU78" s="44"/>
      <c r="AV78" s="65"/>
      <c r="AW78" s="44"/>
      <c r="AX78" s="65"/>
      <c r="AY78" s="65"/>
      <c r="AZ78" s="44"/>
      <c r="BA78" s="44"/>
      <c r="BB78" s="44"/>
      <c r="BC78" s="65"/>
      <c r="BD78" s="44"/>
      <c r="BE78" s="44">
        <v>61</v>
      </c>
      <c r="BF78" s="65">
        <v>65</v>
      </c>
      <c r="BG78" s="44"/>
      <c r="BH78" s="65">
        <v>62</v>
      </c>
      <c r="BI78" s="44">
        <v>61</v>
      </c>
      <c r="BJ78" s="65">
        <v>60</v>
      </c>
      <c r="BK78" s="65">
        <v>56</v>
      </c>
      <c r="BL78" s="44">
        <v>53</v>
      </c>
      <c r="BM78" s="44">
        <v>50</v>
      </c>
      <c r="BN78" s="68" t="s">
        <v>605</v>
      </c>
      <c r="BO78" s="68" t="s">
        <v>605</v>
      </c>
      <c r="BP78" s="68" t="s">
        <v>605</v>
      </c>
      <c r="BQ78" s="68" t="s">
        <v>605</v>
      </c>
      <c r="BR78" s="68" t="s">
        <v>605</v>
      </c>
      <c r="BS78" s="44" t="s">
        <v>605</v>
      </c>
      <c r="BT78" s="44" t="s">
        <v>605</v>
      </c>
      <c r="BU78" s="44" t="str">
        <f t="shared" si="110"/>
        <v>-</v>
      </c>
      <c r="BV78" s="44" t="s">
        <v>605</v>
      </c>
      <c r="BW78" s="44"/>
      <c r="BX78" s="44"/>
      <c r="BY78" s="44"/>
      <c r="BZ78" s="44"/>
      <c r="CA78" s="44"/>
      <c r="CB78" s="44"/>
      <c r="CC78" s="44"/>
      <c r="CD78" s="44"/>
      <c r="CE78" s="44"/>
      <c r="CF78" s="44"/>
      <c r="CG78" s="44"/>
      <c r="CH78" s="44"/>
      <c r="CI78" s="44"/>
      <c r="CJ78" s="44"/>
      <c r="CK78" s="44"/>
      <c r="CL78" s="44"/>
      <c r="CM78" s="44"/>
      <c r="CN78" s="115"/>
      <c r="CO78" s="115"/>
      <c r="CP78" s="115"/>
      <c r="CQ78" s="115"/>
      <c r="CR78" s="115"/>
      <c r="CS78" s="115"/>
      <c r="CT78" s="115"/>
      <c r="CU78" s="115"/>
      <c r="CV78" s="115"/>
      <c r="CW78" s="115"/>
      <c r="CX78" s="115"/>
      <c r="CY78" s="115"/>
      <c r="CZ78" s="115"/>
      <c r="DA78" s="115"/>
      <c r="DB78" s="115"/>
      <c r="DC78" s="115"/>
      <c r="DD78" s="115"/>
      <c r="DE78" s="115"/>
      <c r="DF78" s="115"/>
      <c r="DG78" s="115"/>
      <c r="DH78" s="115"/>
      <c r="DI78" s="115"/>
      <c r="DJ78" s="115"/>
      <c r="DK78" s="115"/>
      <c r="DL78" s="115"/>
      <c r="DM78" s="115"/>
      <c r="DN78" s="115"/>
      <c r="DO78" s="115"/>
      <c r="DP78" s="44"/>
      <c r="DQ78" s="44"/>
      <c r="DU78" s="68"/>
      <c r="DV78" s="68"/>
      <c r="DW78" s="44"/>
      <c r="DX78" s="44"/>
      <c r="DY78" s="44"/>
      <c r="DZ78" s="68"/>
      <c r="EA78" s="68"/>
      <c r="EB78" s="68"/>
      <c r="EC78" s="68"/>
      <c r="ED78" s="68"/>
      <c r="EE78" s="68"/>
      <c r="EF78" s="68"/>
      <c r="EG78" s="44"/>
      <c r="EH78" s="44"/>
      <c r="EI78" s="44"/>
      <c r="EJ78" s="44"/>
      <c r="EK78" s="65"/>
      <c r="EN78" s="44">
        <f t="shared" ref="EN78:EN83" si="125">SUM(BK78:BN78)</f>
        <v>159</v>
      </c>
      <c r="EO78" s="44">
        <f t="shared" ref="EO78:EO83" si="126">SUM(BO78:BR78)</f>
        <v>0</v>
      </c>
      <c r="EP78" s="44">
        <f t="shared" si="42"/>
        <v>0</v>
      </c>
      <c r="EQ78" s="44">
        <f t="shared" ref="EQ78:ET78" si="127">+EP78*0.9</f>
        <v>0</v>
      </c>
      <c r="ER78" s="44">
        <f t="shared" si="127"/>
        <v>0</v>
      </c>
      <c r="ES78" s="44">
        <f t="shared" si="127"/>
        <v>0</v>
      </c>
      <c r="ET78" s="44">
        <f t="shared" si="127"/>
        <v>0</v>
      </c>
      <c r="EU78" s="44">
        <f t="shared" si="11"/>
        <v>0</v>
      </c>
      <c r="EV78" s="44">
        <f t="shared" si="3"/>
        <v>0</v>
      </c>
      <c r="EW78" s="44">
        <f t="shared" si="4"/>
        <v>0</v>
      </c>
      <c r="EX78" s="44">
        <f t="shared" si="71"/>
        <v>0</v>
      </c>
      <c r="EY78" s="44">
        <f t="shared" si="6"/>
        <v>0</v>
      </c>
      <c r="FQ78" s="44"/>
      <c r="FS78" s="82">
        <f t="shared" si="124"/>
        <v>0</v>
      </c>
    </row>
    <row r="79" spans="2:177" collapsed="1">
      <c r="B79" s="4" t="s">
        <v>722</v>
      </c>
      <c r="G79" s="37">
        <f>81+15</f>
        <v>96</v>
      </c>
      <c r="H79" s="37">
        <f>105+17</f>
        <v>122</v>
      </c>
      <c r="I79" s="37">
        <f>113+19</f>
        <v>132</v>
      </c>
      <c r="J79" s="37">
        <f>143+21</f>
        <v>164</v>
      </c>
      <c r="K79" s="37">
        <f>152+24</f>
        <v>176</v>
      </c>
      <c r="L79" s="37">
        <f>178+28</f>
        <v>206</v>
      </c>
      <c r="M79" s="37">
        <f>207+30</f>
        <v>237</v>
      </c>
      <c r="N79" s="37">
        <f>259+35</f>
        <v>294</v>
      </c>
      <c r="O79" s="37">
        <f>264+36</f>
        <v>300</v>
      </c>
      <c r="P79" s="37">
        <f>286+42</f>
        <v>328</v>
      </c>
      <c r="Q79" s="37">
        <f>295+40</f>
        <v>335</v>
      </c>
      <c r="R79" s="37">
        <f>330+41</f>
        <v>371</v>
      </c>
      <c r="S79" s="37">
        <f>331+48</f>
        <v>379</v>
      </c>
      <c r="T79" s="44">
        <f>374+58</f>
        <v>432</v>
      </c>
      <c r="U79" s="44">
        <f>379+63</f>
        <v>442</v>
      </c>
      <c r="V79" s="44">
        <f>427+71</f>
        <v>498</v>
      </c>
      <c r="W79" s="44">
        <f>499+69</f>
        <v>568</v>
      </c>
      <c r="X79" s="44">
        <f>381+77</f>
        <v>458</v>
      </c>
      <c r="Y79" s="44">
        <f>480+87</f>
        <v>567</v>
      </c>
      <c r="Z79" s="44">
        <f>575+101</f>
        <v>676</v>
      </c>
      <c r="AA79" s="44">
        <f>522+102</f>
        <v>624</v>
      </c>
      <c r="AB79" s="44">
        <f>473+119</f>
        <v>592</v>
      </c>
      <c r="AC79" s="44">
        <f>567+131</f>
        <v>698</v>
      </c>
      <c r="AD79" s="44">
        <f>642+146</f>
        <v>788</v>
      </c>
      <c r="AE79" s="44">
        <f>570+126</f>
        <v>696</v>
      </c>
      <c r="AF79" s="44">
        <f>644+138</f>
        <v>782</v>
      </c>
      <c r="AG79" s="44">
        <f>632+132</f>
        <v>764</v>
      </c>
      <c r="AH79" s="44">
        <f>352+129</f>
        <v>481</v>
      </c>
      <c r="AI79" s="68">
        <f>56+126</f>
        <v>182</v>
      </c>
      <c r="AJ79" s="44">
        <f>35+126</f>
        <v>161</v>
      </c>
      <c r="AK79" s="44">
        <f>41+114</f>
        <v>155</v>
      </c>
      <c r="AL79" s="65">
        <v>141</v>
      </c>
      <c r="AM79" s="65">
        <v>127</v>
      </c>
      <c r="AN79" s="69">
        <v>123</v>
      </c>
      <c r="AO79" s="70">
        <v>126</v>
      </c>
      <c r="AP79" s="70">
        <v>120</v>
      </c>
      <c r="AQ79" s="65">
        <v>110</v>
      </c>
      <c r="AR79" s="65">
        <v>105</v>
      </c>
      <c r="AS79" s="65">
        <v>106</v>
      </c>
      <c r="AT79" s="65">
        <v>110</v>
      </c>
      <c r="AU79" s="44">
        <f>13+76</f>
        <v>89</v>
      </c>
      <c r="AV79" s="65">
        <v>104</v>
      </c>
      <c r="AW79" s="44">
        <v>102</v>
      </c>
      <c r="AX79" s="65">
        <v>92</v>
      </c>
      <c r="AY79" s="65">
        <v>78</v>
      </c>
      <c r="AZ79" s="44">
        <v>82</v>
      </c>
      <c r="BA79" s="44">
        <v>82</v>
      </c>
      <c r="BB79" s="44"/>
      <c r="BC79" s="65"/>
      <c r="BD79" s="44"/>
      <c r="BE79" s="44">
        <v>80</v>
      </c>
      <c r="BF79" s="65">
        <v>84</v>
      </c>
      <c r="BG79" s="44"/>
      <c r="BH79" s="65">
        <v>84</v>
      </c>
      <c r="BI79" s="44">
        <v>67</v>
      </c>
      <c r="BJ79" s="65">
        <v>67</v>
      </c>
      <c r="BK79" s="65">
        <v>58</v>
      </c>
      <c r="BL79" s="44">
        <v>62</v>
      </c>
      <c r="BM79" s="44">
        <v>52</v>
      </c>
      <c r="BN79" s="44">
        <v>63</v>
      </c>
      <c r="BO79" s="44">
        <v>52</v>
      </c>
      <c r="BP79" s="44">
        <v>56</v>
      </c>
      <c r="BQ79" s="44">
        <v>50</v>
      </c>
      <c r="BR79" s="44">
        <v>58</v>
      </c>
      <c r="BS79" s="44" t="s">
        <v>605</v>
      </c>
      <c r="BT79" s="44">
        <v>58</v>
      </c>
      <c r="BU79" s="44">
        <f t="shared" si="110"/>
        <v>50</v>
      </c>
      <c r="BV79" s="44">
        <f t="shared" si="111"/>
        <v>58</v>
      </c>
      <c r="BW79" s="44"/>
      <c r="BX79" s="44"/>
      <c r="BY79" s="44"/>
      <c r="BZ79" s="44"/>
      <c r="CA79" s="44"/>
      <c r="CB79" s="44"/>
      <c r="CC79" s="44"/>
      <c r="CD79" s="44"/>
      <c r="CE79" s="44"/>
      <c r="CF79" s="44"/>
      <c r="CG79" s="44"/>
      <c r="CH79" s="44"/>
      <c r="CI79" s="44"/>
      <c r="CJ79" s="44"/>
      <c r="CK79" s="44"/>
      <c r="CL79" s="44"/>
      <c r="CM79" s="44"/>
      <c r="CN79" s="115"/>
      <c r="CO79" s="115"/>
      <c r="CP79" s="115"/>
      <c r="CQ79" s="115"/>
      <c r="CR79" s="115"/>
      <c r="CS79" s="115"/>
      <c r="CT79" s="115"/>
      <c r="CU79" s="115"/>
      <c r="CV79" s="115"/>
      <c r="CW79" s="115"/>
      <c r="CX79" s="115"/>
      <c r="CY79" s="115"/>
      <c r="CZ79" s="115"/>
      <c r="DA79" s="115"/>
      <c r="DB79" s="115"/>
      <c r="DC79" s="115"/>
      <c r="DD79" s="115"/>
      <c r="DE79" s="115"/>
      <c r="DF79" s="115"/>
      <c r="DG79" s="115"/>
      <c r="DH79" s="115"/>
      <c r="DI79" s="115"/>
      <c r="DJ79" s="115"/>
      <c r="DK79" s="115"/>
      <c r="DL79" s="115"/>
      <c r="DM79" s="115"/>
      <c r="DN79" s="115"/>
      <c r="DO79" s="115"/>
      <c r="DP79" s="44"/>
      <c r="DQ79" s="44"/>
      <c r="DU79" s="68"/>
      <c r="DV79" s="68" t="s">
        <v>605</v>
      </c>
      <c r="DW79" s="68" t="s">
        <v>605</v>
      </c>
      <c r="DX79" s="68" t="s">
        <v>605</v>
      </c>
      <c r="DY79" s="68" t="s">
        <v>605</v>
      </c>
      <c r="DZ79" s="68">
        <f>SUM(G79:J79)</f>
        <v>514</v>
      </c>
      <c r="EA79" s="68">
        <f>SUM(K79:N79)</f>
        <v>913</v>
      </c>
      <c r="EB79" s="68">
        <f>SUM(O79:R79)</f>
        <v>1334</v>
      </c>
      <c r="EC79" s="68">
        <f>SUM(S79:V79)</f>
        <v>1751</v>
      </c>
      <c r="ED79" s="68">
        <f>SUM(W79:Z79)</f>
        <v>2269</v>
      </c>
      <c r="EE79" s="68">
        <f>SUM(AA79:AD79)</f>
        <v>2702</v>
      </c>
      <c r="EF79" s="68">
        <f>SUM(AE79:AH79)</f>
        <v>2723</v>
      </c>
      <c r="EG79" s="44">
        <v>639</v>
      </c>
      <c r="EH79" s="44">
        <v>496</v>
      </c>
      <c r="EI79" s="44">
        <f>SUM(AQ79:AT79)</f>
        <v>431</v>
      </c>
      <c r="EJ79" s="44">
        <f>SUM(AU79:AX79)</f>
        <v>387</v>
      </c>
      <c r="EK79" s="65">
        <f>SUM(AY79:BB79)</f>
        <v>242</v>
      </c>
      <c r="EN79" s="44">
        <f t="shared" si="125"/>
        <v>235</v>
      </c>
      <c r="EO79" s="44">
        <f t="shared" si="126"/>
        <v>216</v>
      </c>
      <c r="EP79" s="44">
        <f t="shared" si="42"/>
        <v>166</v>
      </c>
      <c r="EQ79" s="44">
        <f t="shared" ref="EQ79:ET79" si="128">+EP79*0.9</f>
        <v>149.4</v>
      </c>
      <c r="ER79" s="44">
        <f t="shared" si="128"/>
        <v>134.46</v>
      </c>
      <c r="ES79" s="44">
        <f t="shared" si="128"/>
        <v>121.01400000000001</v>
      </c>
      <c r="ET79" s="44">
        <f t="shared" si="128"/>
        <v>108.91260000000001</v>
      </c>
      <c r="EU79" s="44">
        <f t="shared" si="11"/>
        <v>0</v>
      </c>
      <c r="EV79" s="44">
        <f t="shared" si="3"/>
        <v>0</v>
      </c>
      <c r="EW79" s="44">
        <f t="shared" si="4"/>
        <v>0</v>
      </c>
      <c r="EX79" s="44">
        <f t="shared" si="71"/>
        <v>0</v>
      </c>
      <c r="EY79" s="44">
        <f t="shared" si="6"/>
        <v>0</v>
      </c>
      <c r="FQ79" s="44"/>
      <c r="FS79" s="82">
        <f t="shared" si="124"/>
        <v>0</v>
      </c>
    </row>
    <row r="80" spans="2:177" collapsed="1">
      <c r="B80" s="4" t="s">
        <v>723</v>
      </c>
      <c r="C80" s="37">
        <v>218</v>
      </c>
      <c r="D80" s="37">
        <v>216</v>
      </c>
      <c r="E80" s="37">
        <v>220</v>
      </c>
      <c r="F80" s="44">
        <f>DY80-E80-D80-C80</f>
        <v>227</v>
      </c>
      <c r="G80" s="37">
        <f>116+110</f>
        <v>226</v>
      </c>
      <c r="H80" s="37">
        <f>89+119</f>
        <v>208</v>
      </c>
      <c r="I80" s="37">
        <f>111+114</f>
        <v>225</v>
      </c>
      <c r="J80" s="37">
        <f>116+129</f>
        <v>245</v>
      </c>
      <c r="K80" s="37">
        <f>122+120</f>
        <v>242</v>
      </c>
      <c r="L80" s="37">
        <f>99+126</f>
        <v>225</v>
      </c>
      <c r="M80" s="37">
        <f>115+131</f>
        <v>246</v>
      </c>
      <c r="N80" s="37">
        <f>134+142</f>
        <v>276</v>
      </c>
      <c r="O80" s="37">
        <f>121+123</f>
        <v>244</v>
      </c>
      <c r="P80" s="37">
        <f>105+132</f>
        <v>237</v>
      </c>
      <c r="Q80" s="37">
        <f>132+122</f>
        <v>254</v>
      </c>
      <c r="R80" s="37">
        <f>148+131</f>
        <v>279</v>
      </c>
      <c r="S80" s="37">
        <f>147+117</f>
        <v>264</v>
      </c>
      <c r="T80" s="37">
        <f>120+128</f>
        <v>248</v>
      </c>
      <c r="U80" s="37">
        <f>144+119</f>
        <v>263</v>
      </c>
      <c r="V80" s="37">
        <f>165+127</f>
        <v>292</v>
      </c>
      <c r="W80" s="44">
        <f>154+114</f>
        <v>268</v>
      </c>
      <c r="X80" s="44">
        <f>124+121</f>
        <v>245</v>
      </c>
      <c r="Y80" s="44">
        <f>149+132</f>
        <v>281</v>
      </c>
      <c r="Z80" s="44">
        <f>183+135</f>
        <v>318</v>
      </c>
      <c r="AA80" s="44">
        <f>163+122</f>
        <v>285</v>
      </c>
      <c r="AB80" s="44">
        <f>135+127</f>
        <v>262</v>
      </c>
      <c r="AC80" s="44">
        <f>176+133</f>
        <v>309</v>
      </c>
      <c r="AD80" s="44">
        <f>188+131</f>
        <v>319</v>
      </c>
      <c r="AE80" s="44">
        <f>176+128</f>
        <v>304</v>
      </c>
      <c r="AF80" s="44">
        <f>152+133</f>
        <v>285</v>
      </c>
      <c r="AG80" s="44">
        <f>87+130</f>
        <v>217</v>
      </c>
      <c r="AH80" s="44">
        <f>1+138</f>
        <v>139</v>
      </c>
      <c r="AI80" s="68">
        <f>6+132</f>
        <v>138</v>
      </c>
      <c r="AJ80" s="44">
        <f>-2+131</f>
        <v>129</v>
      </c>
      <c r="AK80" s="44">
        <f>-20+123</f>
        <v>103</v>
      </c>
      <c r="AL80" s="65">
        <v>128</v>
      </c>
      <c r="AM80" s="65">
        <v>107</v>
      </c>
      <c r="AN80" s="69">
        <v>110</v>
      </c>
      <c r="AO80" s="70">
        <v>109</v>
      </c>
      <c r="AP80" s="70">
        <v>109</v>
      </c>
      <c r="AQ80" s="65">
        <v>111</v>
      </c>
      <c r="AR80" s="65">
        <v>104</v>
      </c>
      <c r="AS80" s="65">
        <v>96</v>
      </c>
      <c r="AT80" s="65">
        <v>104</v>
      </c>
      <c r="AU80" s="44">
        <f>3+86</f>
        <v>89</v>
      </c>
      <c r="AV80" s="65">
        <v>98</v>
      </c>
      <c r="AW80" s="44">
        <v>93</v>
      </c>
      <c r="AX80" s="65">
        <v>93</v>
      </c>
      <c r="AY80" s="65">
        <v>78</v>
      </c>
      <c r="AZ80" s="44">
        <v>74</v>
      </c>
      <c r="BA80" s="44">
        <v>93</v>
      </c>
      <c r="BB80" s="44"/>
      <c r="BC80" s="65"/>
      <c r="BD80" s="44"/>
      <c r="BE80" s="44">
        <v>74</v>
      </c>
      <c r="BF80" s="65">
        <v>73</v>
      </c>
      <c r="BG80" s="44">
        <v>65</v>
      </c>
      <c r="BH80" s="65">
        <v>64</v>
      </c>
      <c r="BI80" s="44">
        <v>72</v>
      </c>
      <c r="BJ80" s="65">
        <v>64</v>
      </c>
      <c r="BK80" s="65">
        <v>57</v>
      </c>
      <c r="BL80" s="44">
        <v>67</v>
      </c>
      <c r="BM80" s="44">
        <v>61</v>
      </c>
      <c r="BN80" s="44">
        <v>74</v>
      </c>
      <c r="BO80" s="68" t="s">
        <v>605</v>
      </c>
      <c r="BP80" s="68">
        <v>60</v>
      </c>
      <c r="BQ80" s="68">
        <v>59</v>
      </c>
      <c r="BR80" s="44">
        <v>78</v>
      </c>
      <c r="BS80" s="44">
        <v>52</v>
      </c>
      <c r="BT80" s="44">
        <v>46</v>
      </c>
      <c r="BU80" s="44">
        <f t="shared" si="110"/>
        <v>59</v>
      </c>
      <c r="BV80" s="44">
        <f t="shared" si="111"/>
        <v>78</v>
      </c>
      <c r="BW80" s="44"/>
      <c r="BX80" s="44"/>
      <c r="BY80" s="44"/>
      <c r="BZ80" s="44"/>
      <c r="CA80" s="44"/>
      <c r="CB80" s="44"/>
      <c r="CC80" s="44"/>
      <c r="CD80" s="44"/>
      <c r="CE80" s="44"/>
      <c r="CF80" s="44"/>
      <c r="CG80" s="44"/>
      <c r="CH80" s="44"/>
      <c r="CI80" s="44"/>
      <c r="CJ80" s="44"/>
      <c r="CK80" s="44"/>
      <c r="CL80" s="44"/>
      <c r="CM80" s="44"/>
      <c r="CN80" s="115"/>
      <c r="CO80" s="115"/>
      <c r="CP80" s="115"/>
      <c r="CQ80" s="115"/>
      <c r="CR80" s="115"/>
      <c r="CS80" s="115"/>
      <c r="CT80" s="115"/>
      <c r="CU80" s="115"/>
      <c r="CV80" s="115"/>
      <c r="CW80" s="115"/>
      <c r="CX80" s="115"/>
      <c r="CY80" s="115"/>
      <c r="CZ80" s="115"/>
      <c r="DA80" s="115"/>
      <c r="DB80" s="115"/>
      <c r="DC80" s="115"/>
      <c r="DD80" s="115"/>
      <c r="DE80" s="115"/>
      <c r="DF80" s="115"/>
      <c r="DG80" s="115"/>
      <c r="DH80" s="115"/>
      <c r="DI80" s="115"/>
      <c r="DJ80" s="115"/>
      <c r="DK80" s="115"/>
      <c r="DL80" s="115"/>
      <c r="DM80" s="115"/>
      <c r="DN80" s="115"/>
      <c r="DO80" s="115"/>
      <c r="DP80" s="44"/>
      <c r="DQ80" s="44"/>
      <c r="DU80" s="68"/>
      <c r="DV80" s="68">
        <v>721</v>
      </c>
      <c r="DW80" s="44">
        <v>878</v>
      </c>
      <c r="DX80" s="44">
        <v>910</v>
      </c>
      <c r="DY80" s="44">
        <f>397+484</f>
        <v>881</v>
      </c>
      <c r="DZ80" s="68">
        <f>SUM(G80:J80)</f>
        <v>904</v>
      </c>
      <c r="EA80" s="68">
        <f>SUM(K80:N80)</f>
        <v>989</v>
      </c>
      <c r="EB80" s="68">
        <f>SUM(O80:R80)</f>
        <v>1014</v>
      </c>
      <c r="EC80" s="68">
        <f>SUM(S80:V80)</f>
        <v>1067</v>
      </c>
      <c r="ED80" s="68">
        <f>SUM(W80:Z80)</f>
        <v>1112</v>
      </c>
      <c r="EE80" s="68">
        <f>SUM(AA80:AD80)</f>
        <v>1175</v>
      </c>
      <c r="EF80" s="68">
        <f>SUM(AE80:AH80)</f>
        <v>945</v>
      </c>
      <c r="EG80" s="44">
        <v>498</v>
      </c>
      <c r="EH80" s="44">
        <v>435</v>
      </c>
      <c r="EI80" s="44">
        <f>SUM(AQ80:AT80)</f>
        <v>415</v>
      </c>
      <c r="EJ80" s="44">
        <f>SUM(AU80:AX80)</f>
        <v>373</v>
      </c>
      <c r="EK80" s="65">
        <f>SUM(AY80:BB80)</f>
        <v>245</v>
      </c>
      <c r="EN80" s="44">
        <f t="shared" si="125"/>
        <v>259</v>
      </c>
      <c r="EO80" s="44">
        <f t="shared" si="126"/>
        <v>197</v>
      </c>
      <c r="EP80" s="44">
        <f t="shared" si="42"/>
        <v>235</v>
      </c>
      <c r="EQ80" s="44">
        <f t="shared" ref="EQ80:ET80" si="129">+EP80*0.9</f>
        <v>211.5</v>
      </c>
      <c r="ER80" s="44">
        <f t="shared" si="129"/>
        <v>190.35</v>
      </c>
      <c r="ES80" s="44">
        <f t="shared" si="129"/>
        <v>171.315</v>
      </c>
      <c r="ET80" s="44">
        <f t="shared" si="129"/>
        <v>154.18350000000001</v>
      </c>
      <c r="EU80" s="44">
        <f t="shared" si="11"/>
        <v>0</v>
      </c>
      <c r="EV80" s="44">
        <f t="shared" ref="EV80:EV111" si="130">SUM(CQ80:CT80)</f>
        <v>0</v>
      </c>
      <c r="EW80" s="44">
        <f t="shared" si="4"/>
        <v>0</v>
      </c>
      <c r="EX80" s="44">
        <f t="shared" si="71"/>
        <v>0</v>
      </c>
      <c r="EY80" s="44">
        <f t="shared" ref="EY80:EY112" si="131">SUM(DC80:DF80)</f>
        <v>0</v>
      </c>
      <c r="FS80" s="82">
        <f t="shared" si="124"/>
        <v>0</v>
      </c>
    </row>
    <row r="81" spans="1:184" s="136" customFormat="1">
      <c r="A81" s="111"/>
      <c r="B81" s="111" t="s">
        <v>604</v>
      </c>
      <c r="C81" s="68" t="s">
        <v>605</v>
      </c>
      <c r="D81" s="68" t="s">
        <v>605</v>
      </c>
      <c r="E81" s="68" t="s">
        <v>605</v>
      </c>
      <c r="F81" s="68" t="s">
        <v>605</v>
      </c>
      <c r="G81" s="68" t="s">
        <v>605</v>
      </c>
      <c r="H81" s="68" t="s">
        <v>605</v>
      </c>
      <c r="I81" s="68" t="s">
        <v>605</v>
      </c>
      <c r="J81" s="68" t="s">
        <v>605</v>
      </c>
      <c r="K81" s="68" t="s">
        <v>605</v>
      </c>
      <c r="L81" s="68" t="s">
        <v>605</v>
      </c>
      <c r="M81" s="68" t="s">
        <v>605</v>
      </c>
      <c r="N81" s="68" t="s">
        <v>605</v>
      </c>
      <c r="O81" s="68" t="s">
        <v>605</v>
      </c>
      <c r="P81" s="68" t="s">
        <v>605</v>
      </c>
      <c r="Q81" s="68" t="s">
        <v>605</v>
      </c>
      <c r="R81" s="68" t="s">
        <v>605</v>
      </c>
      <c r="S81" s="68" t="s">
        <v>605</v>
      </c>
      <c r="T81" s="68" t="s">
        <v>605</v>
      </c>
      <c r="U81" s="68" t="s">
        <v>605</v>
      </c>
      <c r="V81" s="68" t="s">
        <v>605</v>
      </c>
      <c r="W81" s="68" t="s">
        <v>605</v>
      </c>
      <c r="X81" s="68" t="s">
        <v>605</v>
      </c>
      <c r="Y81" s="68" t="s">
        <v>605</v>
      </c>
      <c r="Z81" s="68" t="s">
        <v>605</v>
      </c>
      <c r="AA81" s="68" t="s">
        <v>605</v>
      </c>
      <c r="AB81" s="68" t="s">
        <v>605</v>
      </c>
      <c r="AC81" s="68" t="s">
        <v>605</v>
      </c>
      <c r="AD81" s="68" t="s">
        <v>605</v>
      </c>
      <c r="AE81" s="68">
        <v>0</v>
      </c>
      <c r="AF81" s="68">
        <v>0</v>
      </c>
      <c r="AG81" s="68">
        <v>0</v>
      </c>
      <c r="AH81" s="68">
        <v>13</v>
      </c>
      <c r="AI81" s="68">
        <v>20</v>
      </c>
      <c r="AJ81" s="68">
        <v>38</v>
      </c>
      <c r="AK81" s="68">
        <f>29+51</f>
        <v>80</v>
      </c>
      <c r="AL81" s="70">
        <v>153</v>
      </c>
      <c r="AM81" s="70">
        <v>192</v>
      </c>
      <c r="AN81" s="70">
        <v>271</v>
      </c>
      <c r="AO81" s="70">
        <v>340</v>
      </c>
      <c r="AP81" s="70">
        <v>353</v>
      </c>
      <c r="AQ81" s="70">
        <v>395</v>
      </c>
      <c r="AR81" s="70">
        <v>405</v>
      </c>
      <c r="AS81" s="70">
        <f>269+196</f>
        <v>465</v>
      </c>
      <c r="AT81" s="70">
        <v>564</v>
      </c>
      <c r="AU81" s="68">
        <f>351+231</f>
        <v>582</v>
      </c>
      <c r="AV81" s="70">
        <f>336+278</f>
        <v>614</v>
      </c>
      <c r="AW81" s="68">
        <v>675</v>
      </c>
      <c r="AX81" s="70">
        <v>702</v>
      </c>
      <c r="AY81" s="70">
        <v>684</v>
      </c>
      <c r="AZ81" s="68">
        <v>629</v>
      </c>
      <c r="BA81" s="68">
        <v>708</v>
      </c>
      <c r="BB81" s="68">
        <f>410+410</f>
        <v>820</v>
      </c>
      <c r="BC81" s="70">
        <f>352+371</f>
        <v>723</v>
      </c>
      <c r="BD81" s="68">
        <v>762</v>
      </c>
      <c r="BE81" s="68">
        <v>757</v>
      </c>
      <c r="BF81" s="70">
        <v>821</v>
      </c>
      <c r="BG81" s="68">
        <v>826</v>
      </c>
      <c r="BH81" s="70">
        <v>908</v>
      </c>
      <c r="BI81" s="68">
        <v>961</v>
      </c>
      <c r="BJ81" s="70">
        <v>998</v>
      </c>
      <c r="BK81" s="70">
        <v>955</v>
      </c>
      <c r="BL81" s="68">
        <v>1035</v>
      </c>
      <c r="BM81" s="68">
        <v>1036</v>
      </c>
      <c r="BN81" s="68">
        <v>1132</v>
      </c>
      <c r="BO81" s="68">
        <v>1066</v>
      </c>
      <c r="BP81" s="68">
        <v>1134</v>
      </c>
      <c r="BQ81" s="68">
        <v>1135</v>
      </c>
      <c r="BR81" s="68">
        <v>1260</v>
      </c>
      <c r="BS81" s="68">
        <v>1150</v>
      </c>
      <c r="BT81" s="68">
        <v>1315</v>
      </c>
      <c r="BU81" s="68">
        <f>+BQ81*1.1</f>
        <v>1248.5</v>
      </c>
      <c r="BV81" s="68">
        <f>+BR81*1.1</f>
        <v>1386</v>
      </c>
      <c r="BW81" s="68"/>
      <c r="BX81" s="68"/>
      <c r="BY81" s="68"/>
      <c r="BZ81" s="68"/>
      <c r="CA81" s="68"/>
      <c r="CB81" s="68"/>
      <c r="CC81" s="68"/>
      <c r="CD81" s="68"/>
      <c r="CE81" s="68"/>
      <c r="CF81" s="68"/>
      <c r="CG81" s="68"/>
      <c r="CH81" s="68"/>
      <c r="CI81" s="68"/>
      <c r="CJ81" s="68"/>
      <c r="CK81" s="68">
        <v>1213</v>
      </c>
      <c r="CL81" s="68">
        <v>1320</v>
      </c>
      <c r="CM81" s="68">
        <v>1186</v>
      </c>
      <c r="CN81" s="122">
        <v>1175</v>
      </c>
      <c r="CO81" s="122">
        <v>527</v>
      </c>
      <c r="CP81" s="122">
        <v>433</v>
      </c>
      <c r="CQ81" s="122">
        <v>357</v>
      </c>
      <c r="CR81" s="122">
        <v>349</v>
      </c>
      <c r="CS81" s="122"/>
      <c r="CT81" s="122"/>
      <c r="CU81" s="122"/>
      <c r="CV81" s="122"/>
      <c r="CW81" s="122"/>
      <c r="CX81" s="122"/>
      <c r="CY81" s="122"/>
      <c r="CZ81" s="122"/>
      <c r="DA81" s="122"/>
      <c r="DB81" s="122"/>
      <c r="DC81" s="122"/>
      <c r="DD81" s="122"/>
      <c r="DE81" s="122"/>
      <c r="DF81" s="122"/>
      <c r="DG81" s="122"/>
      <c r="DH81" s="122"/>
      <c r="DI81" s="122"/>
      <c r="DJ81" s="122"/>
      <c r="DK81" s="122"/>
      <c r="DL81" s="122"/>
      <c r="DM81" s="122"/>
      <c r="DN81" s="122"/>
      <c r="DO81" s="122"/>
      <c r="DP81" s="68"/>
      <c r="DQ81" s="68"/>
      <c r="DR81" s="111"/>
      <c r="DS81" s="111"/>
      <c r="DT81" s="111"/>
      <c r="DU81" s="68"/>
      <c r="DV81" s="68" t="s">
        <v>605</v>
      </c>
      <c r="DW81" s="68" t="s">
        <v>605</v>
      </c>
      <c r="DX81" s="68" t="s">
        <v>605</v>
      </c>
      <c r="DY81" s="68" t="s">
        <v>605</v>
      </c>
      <c r="DZ81" s="68" t="s">
        <v>605</v>
      </c>
      <c r="EA81" s="68" t="s">
        <v>605</v>
      </c>
      <c r="EB81" s="68" t="s">
        <v>605</v>
      </c>
      <c r="EC81" s="68" t="s">
        <v>605</v>
      </c>
      <c r="ED81" s="68" t="s">
        <v>605</v>
      </c>
      <c r="EE81" s="68" t="s">
        <v>605</v>
      </c>
      <c r="EF81" s="68">
        <v>13</v>
      </c>
      <c r="EG81" s="68">
        <v>291</v>
      </c>
      <c r="EH81" s="68">
        <f>SUM(AM81:AP81)</f>
        <v>1156</v>
      </c>
      <c r="EI81" s="68">
        <f>SUM(AQ81:AT81)</f>
        <v>1829</v>
      </c>
      <c r="EJ81" s="68">
        <f>SUM(AU81:AX81)</f>
        <v>2573</v>
      </c>
      <c r="EK81" s="70">
        <f>SUM(AY81:BB81)</f>
        <v>2841</v>
      </c>
      <c r="EL81" s="68">
        <f>SUM(BC81:BF81)</f>
        <v>3063</v>
      </c>
      <c r="EM81" s="68">
        <f>SUM(BG81:BJ81)</f>
        <v>3693</v>
      </c>
      <c r="EN81" s="44">
        <f>SUM(BK81:BN81)</f>
        <v>4158</v>
      </c>
      <c r="EO81" s="44">
        <f>SUM(BO81:BR81)</f>
        <v>4595</v>
      </c>
      <c r="EP81" s="44">
        <f>SUM(BS81:BV81)</f>
        <v>5099.5</v>
      </c>
      <c r="EQ81" s="68">
        <f>EP81*1.05</f>
        <v>5354.4750000000004</v>
      </c>
      <c r="ER81" s="68">
        <f>EQ81*1.05</f>
        <v>5622.1987500000005</v>
      </c>
      <c r="ES81" s="68">
        <f>ER81*1.02</f>
        <v>5734.6427250000006</v>
      </c>
      <c r="ET81" s="68">
        <f>ES81*0.5</f>
        <v>2867.3213625000003</v>
      </c>
      <c r="EU81" s="44">
        <f t="shared" si="11"/>
        <v>3321</v>
      </c>
      <c r="EV81" s="44">
        <f t="shared" si="130"/>
        <v>706</v>
      </c>
      <c r="EW81" s="44">
        <f t="shared" ref="EW81:EW112" si="132">SUM(CU81:CX81)</f>
        <v>0</v>
      </c>
      <c r="EX81" s="44">
        <f t="shared" ref="EX81:EX112" si="133">SUM(CY81:DB81)</f>
        <v>0</v>
      </c>
      <c r="EY81" s="44">
        <f t="shared" si="131"/>
        <v>0</v>
      </c>
      <c r="EZ81" s="68"/>
      <c r="FA81" s="68"/>
      <c r="FB81" s="68"/>
      <c r="FC81" s="68"/>
      <c r="FD81" s="68"/>
      <c r="FE81" s="68"/>
      <c r="FF81" s="68"/>
      <c r="FG81" s="68"/>
      <c r="FH81" s="68"/>
      <c r="FI81" s="68"/>
      <c r="FJ81" s="68"/>
      <c r="FK81" s="68"/>
      <c r="FL81" s="68"/>
      <c r="FM81" s="68"/>
      <c r="FN81" s="68"/>
      <c r="FO81" s="68"/>
      <c r="FP81" s="68"/>
      <c r="FQ81" s="83">
        <f>EL81*0.6</f>
        <v>1837.8</v>
      </c>
      <c r="FR81" s="68">
        <f>EQ81*0.7</f>
        <v>3748.1325000000002</v>
      </c>
      <c r="FS81" s="84">
        <f>EV81*0.2</f>
        <v>141.20000000000002</v>
      </c>
      <c r="FT81" s="68"/>
      <c r="FU81" s="111" t="s">
        <v>606</v>
      </c>
      <c r="FV81" s="111"/>
      <c r="FW81" s="111"/>
      <c r="FX81" s="111"/>
      <c r="FY81" s="111"/>
      <c r="FZ81" s="111"/>
      <c r="GA81" s="111"/>
      <c r="GB81" s="111"/>
    </row>
    <row r="82" spans="1:184" collapsed="1">
      <c r="B82" s="4" t="s">
        <v>724</v>
      </c>
      <c r="C82" s="68"/>
      <c r="D82" s="68"/>
      <c r="E82" s="68"/>
      <c r="F82" s="68"/>
      <c r="G82" s="68" t="s">
        <v>605</v>
      </c>
      <c r="H82" s="68" t="s">
        <v>605</v>
      </c>
      <c r="I82" s="68" t="s">
        <v>605</v>
      </c>
      <c r="J82" s="68" t="s">
        <v>605</v>
      </c>
      <c r="K82" s="68" t="s">
        <v>605</v>
      </c>
      <c r="L82" s="68" t="s">
        <v>605</v>
      </c>
      <c r="M82" s="68" t="s">
        <v>605</v>
      </c>
      <c r="N82" s="68" t="s">
        <v>605</v>
      </c>
      <c r="O82" s="68" t="s">
        <v>605</v>
      </c>
      <c r="P82" s="68" t="s">
        <v>605</v>
      </c>
      <c r="Q82" s="68" t="s">
        <v>605</v>
      </c>
      <c r="R82" s="68" t="s">
        <v>605</v>
      </c>
      <c r="S82" s="68" t="s">
        <v>605</v>
      </c>
      <c r="T82" s="68" t="s">
        <v>605</v>
      </c>
      <c r="U82" s="68" t="s">
        <v>605</v>
      </c>
      <c r="V82" s="68" t="s">
        <v>605</v>
      </c>
      <c r="W82" s="44">
        <v>86</v>
      </c>
      <c r="X82" s="44">
        <v>87</v>
      </c>
      <c r="Y82" s="44">
        <v>60</v>
      </c>
      <c r="Z82" s="44">
        <v>81</v>
      </c>
      <c r="AA82" s="44">
        <v>82</v>
      </c>
      <c r="AB82" s="44">
        <f>41+23</f>
        <v>64</v>
      </c>
      <c r="AC82" s="44">
        <f>18+59</f>
        <v>77</v>
      </c>
      <c r="AD82" s="44">
        <f>35+61</f>
        <v>96</v>
      </c>
      <c r="AE82" s="44">
        <f>25+61</f>
        <v>86</v>
      </c>
      <c r="AF82" s="44">
        <f>23+63</f>
        <v>86</v>
      </c>
      <c r="AG82" s="44">
        <f>38+62</f>
        <v>100</v>
      </c>
      <c r="AH82" s="44">
        <f>37+69</f>
        <v>106</v>
      </c>
      <c r="AI82" s="68">
        <f>34+68</f>
        <v>102</v>
      </c>
      <c r="AJ82" s="44">
        <f>35+69</f>
        <v>104</v>
      </c>
      <c r="AK82" s="37">
        <f>36+65</f>
        <v>101</v>
      </c>
      <c r="AL82" s="65">
        <v>102</v>
      </c>
      <c r="AM82" s="65">
        <v>82</v>
      </c>
      <c r="AN82" s="69">
        <v>79</v>
      </c>
      <c r="AO82" s="69">
        <v>74</v>
      </c>
      <c r="AP82" s="103">
        <v>81</v>
      </c>
      <c r="AQ82" s="65">
        <v>75</v>
      </c>
      <c r="AR82" s="65">
        <v>79</v>
      </c>
      <c r="AS82" s="65">
        <v>85</v>
      </c>
      <c r="AT82" s="65">
        <v>86</v>
      </c>
      <c r="AU82" s="44">
        <f>17+69</f>
        <v>86</v>
      </c>
      <c r="AV82" s="65">
        <v>90</v>
      </c>
      <c r="AW82" s="44">
        <v>91</v>
      </c>
      <c r="AX82" s="65">
        <v>83</v>
      </c>
      <c r="AY82" s="65">
        <v>75</v>
      </c>
      <c r="AZ82" s="44">
        <v>74</v>
      </c>
      <c r="BA82" s="44">
        <v>81</v>
      </c>
      <c r="BB82" s="44"/>
      <c r="BC82" s="65"/>
      <c r="BD82" s="44"/>
      <c r="BE82" s="44">
        <v>72</v>
      </c>
      <c r="BF82" s="65">
        <v>83</v>
      </c>
      <c r="BG82" s="44"/>
      <c r="BH82" s="65">
        <v>79</v>
      </c>
      <c r="BI82" s="44">
        <v>77</v>
      </c>
      <c r="BJ82" s="65">
        <v>74</v>
      </c>
      <c r="BK82" s="65">
        <v>68</v>
      </c>
      <c r="BL82" s="44">
        <v>69</v>
      </c>
      <c r="BM82" s="44">
        <v>66</v>
      </c>
      <c r="BN82" s="44">
        <v>71</v>
      </c>
      <c r="BO82" s="44">
        <v>70</v>
      </c>
      <c r="BP82" s="44">
        <v>65</v>
      </c>
      <c r="BQ82" s="44">
        <v>69</v>
      </c>
      <c r="BR82" s="44">
        <v>72</v>
      </c>
      <c r="BS82" s="44">
        <v>59</v>
      </c>
      <c r="BT82" s="44">
        <v>68</v>
      </c>
      <c r="BU82" s="44">
        <f t="shared" si="110"/>
        <v>69</v>
      </c>
      <c r="BV82" s="44">
        <f t="shared" si="111"/>
        <v>72</v>
      </c>
      <c r="BW82" s="44"/>
      <c r="BX82" s="44"/>
      <c r="BY82" s="44"/>
      <c r="BZ82" s="44"/>
      <c r="CA82" s="44"/>
      <c r="CB82" s="44"/>
      <c r="CC82" s="44"/>
      <c r="CD82" s="44"/>
      <c r="CE82" s="44"/>
      <c r="CF82" s="44"/>
      <c r="CG82" s="44"/>
      <c r="CH82" s="44"/>
      <c r="CI82" s="44"/>
      <c r="CJ82" s="44"/>
      <c r="CK82" s="44">
        <v>52</v>
      </c>
      <c r="CL82" s="44"/>
      <c r="CM82" s="44"/>
      <c r="CN82" s="115"/>
      <c r="CO82" s="115">
        <v>50</v>
      </c>
      <c r="CP82" s="115"/>
      <c r="CQ82" s="115"/>
      <c r="CR82" s="115"/>
      <c r="CS82" s="115"/>
      <c r="CT82" s="115"/>
      <c r="CU82" s="115"/>
      <c r="CV82" s="115"/>
      <c r="CW82" s="115"/>
      <c r="CX82" s="115"/>
      <c r="CY82" s="115"/>
      <c r="CZ82" s="115"/>
      <c r="DA82" s="115"/>
      <c r="DB82" s="115"/>
      <c r="DC82" s="115"/>
      <c r="DD82" s="115"/>
      <c r="DE82" s="115"/>
      <c r="DF82" s="115"/>
      <c r="DG82" s="115"/>
      <c r="DH82" s="115"/>
      <c r="DI82" s="115"/>
      <c r="DJ82" s="115"/>
      <c r="DK82" s="115"/>
      <c r="DL82" s="115"/>
      <c r="DM82" s="115"/>
      <c r="DN82" s="115"/>
      <c r="DO82" s="115"/>
      <c r="DP82" s="44"/>
      <c r="DQ82" s="44"/>
      <c r="DU82" s="68"/>
      <c r="DV82" s="68" t="s">
        <v>605</v>
      </c>
      <c r="DW82" s="68" t="s">
        <v>605</v>
      </c>
      <c r="DX82" s="68" t="s">
        <v>605</v>
      </c>
      <c r="DY82" s="68" t="s">
        <v>605</v>
      </c>
      <c r="DZ82" s="68" t="s">
        <v>605</v>
      </c>
      <c r="EA82" s="68" t="s">
        <v>605</v>
      </c>
      <c r="EB82" s="68" t="s">
        <v>605</v>
      </c>
      <c r="EC82" s="68" t="s">
        <v>605</v>
      </c>
      <c r="ED82" s="44">
        <v>314</v>
      </c>
      <c r="EE82" s="44">
        <v>237</v>
      </c>
      <c r="EF82" s="44">
        <v>378</v>
      </c>
      <c r="EG82" s="44">
        <v>409</v>
      </c>
      <c r="EH82" s="44">
        <v>316</v>
      </c>
      <c r="EI82" s="44">
        <f>SUM(AQ82:AT82)</f>
        <v>325</v>
      </c>
      <c r="EJ82" s="44">
        <f>SUM(AU82:AX82)</f>
        <v>350</v>
      </c>
      <c r="EK82" s="65">
        <f>SUM(AY82:BB82)</f>
        <v>230</v>
      </c>
      <c r="EN82" s="44">
        <f t="shared" si="125"/>
        <v>274</v>
      </c>
      <c r="EO82" s="44">
        <f t="shared" si="126"/>
        <v>276</v>
      </c>
      <c r="EP82" s="44">
        <f t="shared" si="42"/>
        <v>268</v>
      </c>
      <c r="EQ82" s="44">
        <f t="shared" ref="EQ82:ET82" si="134">+EP82*0.9</f>
        <v>241.20000000000002</v>
      </c>
      <c r="ER82" s="44">
        <f t="shared" si="134"/>
        <v>217.08</v>
      </c>
      <c r="ES82" s="44">
        <f t="shared" si="134"/>
        <v>195.37200000000001</v>
      </c>
      <c r="ET82" s="44">
        <f t="shared" si="134"/>
        <v>175.83480000000003</v>
      </c>
      <c r="EU82" s="44">
        <f t="shared" si="11"/>
        <v>50</v>
      </c>
      <c r="EV82" s="44">
        <f t="shared" si="130"/>
        <v>0</v>
      </c>
      <c r="EW82" s="44">
        <f t="shared" si="132"/>
        <v>0</v>
      </c>
      <c r="EX82" s="44">
        <f t="shared" si="133"/>
        <v>0</v>
      </c>
      <c r="EY82" s="44">
        <f t="shared" si="131"/>
        <v>0</v>
      </c>
      <c r="FS82" s="82">
        <f t="shared" si="124"/>
        <v>0</v>
      </c>
      <c r="FU82" s="19"/>
    </row>
    <row r="83" spans="1:184">
      <c r="B83" s="14" t="s">
        <v>725</v>
      </c>
      <c r="W83" s="44"/>
      <c r="X83" s="44"/>
      <c r="Y83" s="44"/>
      <c r="Z83" s="44"/>
      <c r="AA83" s="44"/>
      <c r="AB83" s="44"/>
      <c r="AC83" s="44"/>
      <c r="AD83" s="44"/>
      <c r="AE83" s="44"/>
      <c r="AF83" s="44"/>
      <c r="AG83" s="44"/>
      <c r="AH83" s="44"/>
      <c r="AI83" s="68"/>
      <c r="AJ83" s="44"/>
      <c r="AK83" s="44"/>
      <c r="AL83" s="65"/>
      <c r="AM83" s="65"/>
      <c r="AN83" s="65"/>
      <c r="AO83" s="65"/>
      <c r="AP83" s="70"/>
      <c r="AQ83" s="65"/>
      <c r="AR83" s="65"/>
      <c r="AS83" s="65"/>
      <c r="AT83" s="65"/>
      <c r="AU83" s="44"/>
      <c r="AV83" s="65"/>
      <c r="AW83" s="44"/>
      <c r="AX83" s="65"/>
      <c r="AY83" s="65"/>
      <c r="AZ83" s="44"/>
      <c r="BA83" s="44"/>
      <c r="BB83" s="44"/>
      <c r="BC83" s="65"/>
      <c r="BD83" s="44"/>
      <c r="BE83" s="44">
        <v>61</v>
      </c>
      <c r="BF83" s="65">
        <v>62</v>
      </c>
      <c r="BG83" s="44"/>
      <c r="BH83" s="65">
        <v>61</v>
      </c>
      <c r="BI83" s="44">
        <v>58</v>
      </c>
      <c r="BJ83" s="65">
        <v>59</v>
      </c>
      <c r="BK83" s="65">
        <v>54</v>
      </c>
      <c r="BL83" s="44">
        <v>57</v>
      </c>
      <c r="BM83" s="44">
        <v>54</v>
      </c>
      <c r="BN83" s="44">
        <v>63</v>
      </c>
      <c r="BO83" s="44">
        <v>56</v>
      </c>
      <c r="BP83" s="44">
        <v>53</v>
      </c>
      <c r="BQ83" s="68" t="s">
        <v>605</v>
      </c>
      <c r="BR83" s="44">
        <v>54</v>
      </c>
      <c r="BS83" s="44" t="s">
        <v>605</v>
      </c>
      <c r="BT83" s="44">
        <v>54</v>
      </c>
      <c r="BU83" s="44" t="str">
        <f t="shared" si="110"/>
        <v>-</v>
      </c>
      <c r="BV83" s="44">
        <f t="shared" si="111"/>
        <v>54</v>
      </c>
      <c r="BW83" s="44"/>
      <c r="BX83" s="44"/>
      <c r="BY83" s="44"/>
      <c r="BZ83" s="44"/>
      <c r="CA83" s="44"/>
      <c r="CB83" s="44"/>
      <c r="CC83" s="44"/>
      <c r="CD83" s="44"/>
      <c r="CE83" s="44"/>
      <c r="CF83" s="44"/>
      <c r="CG83" s="44"/>
      <c r="CH83" s="44"/>
      <c r="CI83" s="44"/>
      <c r="CJ83" s="44"/>
      <c r="CK83" s="44"/>
      <c r="CL83" s="44"/>
      <c r="CM83" s="44"/>
      <c r="CN83" s="115"/>
      <c r="CO83" s="115"/>
      <c r="CP83" s="115"/>
      <c r="CQ83" s="115"/>
      <c r="CR83" s="115"/>
      <c r="CS83" s="115"/>
      <c r="CT83" s="115"/>
      <c r="CU83" s="115"/>
      <c r="CV83" s="115"/>
      <c r="CW83" s="115"/>
      <c r="CX83" s="115"/>
      <c r="CY83" s="115"/>
      <c r="CZ83" s="115"/>
      <c r="DA83" s="115"/>
      <c r="DB83" s="115"/>
      <c r="DC83" s="115"/>
      <c r="DD83" s="115"/>
      <c r="DE83" s="115"/>
      <c r="DF83" s="115"/>
      <c r="DG83" s="115"/>
      <c r="DH83" s="115"/>
      <c r="DI83" s="115"/>
      <c r="DJ83" s="115"/>
      <c r="DK83" s="115"/>
      <c r="DL83" s="115"/>
      <c r="DM83" s="115"/>
      <c r="DN83" s="115"/>
      <c r="DO83" s="115"/>
      <c r="DP83" s="44"/>
      <c r="DQ83" s="44"/>
      <c r="DU83" s="68"/>
      <c r="DV83" s="68">
        <v>290</v>
      </c>
      <c r="DW83" s="44">
        <v>333</v>
      </c>
      <c r="DX83" s="44">
        <v>326</v>
      </c>
      <c r="DY83" s="44"/>
      <c r="DZ83" s="68"/>
      <c r="EA83" s="68"/>
      <c r="EB83" s="68"/>
      <c r="EC83" s="68"/>
      <c r="ED83" s="68"/>
      <c r="EE83" s="68"/>
      <c r="EF83" s="68"/>
      <c r="EG83" s="44"/>
      <c r="EH83" s="44"/>
      <c r="EI83" s="44"/>
      <c r="EJ83" s="44"/>
      <c r="EK83" s="65"/>
      <c r="EN83" s="44">
        <f t="shared" si="125"/>
        <v>228</v>
      </c>
      <c r="EO83" s="44">
        <f t="shared" si="126"/>
        <v>163</v>
      </c>
      <c r="EP83" s="44">
        <f t="shared" si="42"/>
        <v>108</v>
      </c>
      <c r="EQ83" s="44">
        <f t="shared" ref="EQ83:ET83" si="135">+EP83*0.9</f>
        <v>97.2</v>
      </c>
      <c r="ER83" s="44">
        <f t="shared" si="135"/>
        <v>87.48</v>
      </c>
      <c r="ES83" s="44">
        <f t="shared" si="135"/>
        <v>78.731999999999999</v>
      </c>
      <c r="ET83" s="44">
        <f t="shared" si="135"/>
        <v>70.858800000000002</v>
      </c>
      <c r="EU83" s="44">
        <f t="shared" si="11"/>
        <v>0</v>
      </c>
      <c r="EV83" s="44">
        <f t="shared" si="130"/>
        <v>0</v>
      </c>
      <c r="EW83" s="44">
        <f t="shared" si="132"/>
        <v>0</v>
      </c>
      <c r="EX83" s="44">
        <f t="shared" si="133"/>
        <v>0</v>
      </c>
      <c r="EY83" s="44">
        <f t="shared" si="131"/>
        <v>0</v>
      </c>
      <c r="FQ83" s="44"/>
      <c r="FS83" s="82">
        <f t="shared" si="124"/>
        <v>0</v>
      </c>
    </row>
    <row r="84" spans="1:184">
      <c r="B84" s="14" t="s">
        <v>728</v>
      </c>
      <c r="W84" s="44"/>
      <c r="X84" s="44"/>
      <c r="Y84" s="44"/>
      <c r="Z84" s="44"/>
      <c r="AA84" s="44"/>
      <c r="AB84" s="44"/>
      <c r="AC84" s="44"/>
      <c r="AD84" s="44"/>
      <c r="AE84" s="44"/>
      <c r="AF84" s="44"/>
      <c r="AG84" s="44"/>
      <c r="AH84" s="44"/>
      <c r="AI84" s="68"/>
      <c r="AJ84" s="44"/>
      <c r="AK84" s="44"/>
      <c r="AL84" s="65"/>
      <c r="AM84" s="65"/>
      <c r="AN84" s="65"/>
      <c r="AO84" s="65"/>
      <c r="AP84" s="70"/>
      <c r="AQ84" s="65"/>
      <c r="AR84" s="65"/>
      <c r="AS84" s="65"/>
      <c r="AT84" s="65"/>
      <c r="AU84" s="44"/>
      <c r="AV84" s="65"/>
      <c r="AW84" s="44"/>
      <c r="AX84" s="65"/>
      <c r="AY84" s="65"/>
      <c r="AZ84" s="44"/>
      <c r="BA84" s="44"/>
      <c r="BB84" s="44"/>
      <c r="BC84" s="65"/>
      <c r="BD84" s="44"/>
      <c r="BE84" s="44">
        <v>0</v>
      </c>
      <c r="BF84" s="65">
        <v>0</v>
      </c>
      <c r="BG84" s="44"/>
      <c r="BH84" s="65">
        <v>79</v>
      </c>
      <c r="BI84" s="44">
        <v>58</v>
      </c>
      <c r="BJ84" s="65">
        <v>58</v>
      </c>
      <c r="BK84" s="70" t="s">
        <v>605</v>
      </c>
      <c r="BL84" s="68">
        <v>61</v>
      </c>
      <c r="BM84" s="68">
        <v>55</v>
      </c>
      <c r="BN84" s="68">
        <v>74</v>
      </c>
      <c r="BO84" s="68" t="s">
        <v>605</v>
      </c>
      <c r="BP84" s="68">
        <v>66</v>
      </c>
      <c r="BQ84" s="68" t="s">
        <v>605</v>
      </c>
      <c r="BR84" s="68" t="s">
        <v>605</v>
      </c>
      <c r="BS84" s="44" t="s">
        <v>605</v>
      </c>
      <c r="BT84" s="44" t="s">
        <v>605</v>
      </c>
      <c r="BU84" s="44" t="str">
        <f t="shared" ref="BU84:BU88" si="136">+BQ84</f>
        <v>-</v>
      </c>
      <c r="BV84" s="44" t="str">
        <f t="shared" ref="BV84:BV88" si="137">+BR84</f>
        <v>-</v>
      </c>
      <c r="BW84" s="44"/>
      <c r="BX84" s="44"/>
      <c r="BY84" s="44"/>
      <c r="BZ84" s="44"/>
      <c r="CA84" s="44"/>
      <c r="CB84" s="44"/>
      <c r="CC84" s="44"/>
      <c r="CD84" s="44"/>
      <c r="CE84" s="44"/>
      <c r="CF84" s="44"/>
      <c r="CG84" s="44"/>
      <c r="CH84" s="44"/>
      <c r="CI84" s="44"/>
      <c r="CJ84" s="44"/>
      <c r="CK84" s="44"/>
      <c r="CL84" s="44"/>
      <c r="CM84" s="44"/>
      <c r="CN84" s="115"/>
      <c r="CO84" s="115"/>
      <c r="CP84" s="115"/>
      <c r="CQ84" s="115"/>
      <c r="CR84" s="115"/>
      <c r="CS84" s="115"/>
      <c r="CT84" s="115"/>
      <c r="CU84" s="115"/>
      <c r="CV84" s="115"/>
      <c r="CW84" s="115"/>
      <c r="CX84" s="115"/>
      <c r="CY84" s="115"/>
      <c r="CZ84" s="115"/>
      <c r="DA84" s="115"/>
      <c r="DB84" s="115"/>
      <c r="DC84" s="115"/>
      <c r="DD84" s="115"/>
      <c r="DE84" s="115"/>
      <c r="DF84" s="115"/>
      <c r="DG84" s="115"/>
      <c r="DH84" s="115"/>
      <c r="DI84" s="115"/>
      <c r="DJ84" s="115"/>
      <c r="DK84" s="115"/>
      <c r="DL84" s="115"/>
      <c r="DM84" s="115"/>
      <c r="DN84" s="115"/>
      <c r="DO84" s="115"/>
      <c r="DP84" s="44"/>
      <c r="DQ84" s="44"/>
      <c r="DU84" s="68"/>
      <c r="DV84" s="68"/>
      <c r="DW84" s="44"/>
      <c r="DX84" s="44"/>
      <c r="DY84" s="44"/>
      <c r="DZ84" s="68"/>
      <c r="EA84" s="68"/>
      <c r="EB84" s="68"/>
      <c r="EC84" s="68"/>
      <c r="ED84" s="68"/>
      <c r="EE84" s="68"/>
      <c r="EF84" s="68"/>
      <c r="EG84" s="44"/>
      <c r="EH84" s="44"/>
      <c r="EI84" s="44"/>
      <c r="EJ84" s="44"/>
      <c r="EK84" s="65"/>
      <c r="EP84" s="44">
        <f t="shared" si="42"/>
        <v>0</v>
      </c>
      <c r="EU84" s="44">
        <f t="shared" si="11"/>
        <v>0</v>
      </c>
      <c r="EV84" s="44">
        <f t="shared" si="130"/>
        <v>0</v>
      </c>
      <c r="EW84" s="44">
        <f t="shared" si="132"/>
        <v>0</v>
      </c>
      <c r="EX84" s="44">
        <f t="shared" si="133"/>
        <v>0</v>
      </c>
      <c r="EY84" s="44">
        <f t="shared" si="131"/>
        <v>0</v>
      </c>
      <c r="FQ84" s="44"/>
      <c r="FS84" s="44"/>
    </row>
    <row r="85" spans="1:184">
      <c r="B85" s="14" t="s">
        <v>729</v>
      </c>
      <c r="C85" s="68"/>
      <c r="D85" s="68"/>
      <c r="E85" s="68"/>
      <c r="F85" s="68"/>
      <c r="G85" s="68" t="s">
        <v>605</v>
      </c>
      <c r="H85" s="68" t="s">
        <v>605</v>
      </c>
      <c r="I85" s="68" t="s">
        <v>605</v>
      </c>
      <c r="J85" s="68" t="s">
        <v>605</v>
      </c>
      <c r="K85" s="68" t="s">
        <v>605</v>
      </c>
      <c r="L85" s="68" t="s">
        <v>605</v>
      </c>
      <c r="M85" s="68" t="s">
        <v>605</v>
      </c>
      <c r="N85" s="68" t="s">
        <v>605</v>
      </c>
      <c r="O85" s="68" t="s">
        <v>605</v>
      </c>
      <c r="P85" s="68" t="s">
        <v>605</v>
      </c>
      <c r="Q85" s="68" t="s">
        <v>605</v>
      </c>
      <c r="R85" s="68" t="s">
        <v>605</v>
      </c>
      <c r="S85" s="68" t="s">
        <v>605</v>
      </c>
      <c r="T85" s="68" t="s">
        <v>605</v>
      </c>
      <c r="U85" s="68" t="s">
        <v>605</v>
      </c>
      <c r="V85" s="68" t="s">
        <v>605</v>
      </c>
      <c r="W85" s="68" t="s">
        <v>605</v>
      </c>
      <c r="X85" s="68" t="s">
        <v>605</v>
      </c>
      <c r="Y85" s="68" t="s">
        <v>605</v>
      </c>
      <c r="Z85" s="68" t="s">
        <v>605</v>
      </c>
      <c r="AA85" s="68" t="s">
        <v>605</v>
      </c>
      <c r="AB85" s="68" t="s">
        <v>605</v>
      </c>
      <c r="AC85" s="68" t="s">
        <v>605</v>
      </c>
      <c r="AD85" s="68" t="s">
        <v>605</v>
      </c>
      <c r="AE85" s="68" t="s">
        <v>605</v>
      </c>
      <c r="AF85" s="68" t="s">
        <v>605</v>
      </c>
      <c r="AG85" s="68" t="s">
        <v>605</v>
      </c>
      <c r="AH85" s="68" t="s">
        <v>605</v>
      </c>
      <c r="AI85" s="68" t="s">
        <v>605</v>
      </c>
      <c r="AJ85" s="68" t="s">
        <v>605</v>
      </c>
      <c r="AK85" s="68" t="s">
        <v>605</v>
      </c>
      <c r="AL85" s="70" t="s">
        <v>605</v>
      </c>
      <c r="AM85" s="70" t="s">
        <v>605</v>
      </c>
      <c r="AN85" s="65"/>
      <c r="AO85" s="70" t="s">
        <v>605</v>
      </c>
      <c r="AP85" s="103" t="s">
        <v>605</v>
      </c>
      <c r="AQ85" s="75" t="s">
        <v>730</v>
      </c>
      <c r="AR85" s="75" t="s">
        <v>731</v>
      </c>
      <c r="AS85" s="75" t="s">
        <v>732</v>
      </c>
      <c r="AT85" s="75" t="s">
        <v>733</v>
      </c>
      <c r="AU85" s="73" t="s">
        <v>734</v>
      </c>
      <c r="AV85" s="75" t="s">
        <v>735</v>
      </c>
      <c r="AW85" s="73" t="s">
        <v>736</v>
      </c>
      <c r="AX85" s="75" t="s">
        <v>737</v>
      </c>
      <c r="AY85" s="75" t="s">
        <v>738</v>
      </c>
      <c r="AZ85" s="73" t="s">
        <v>739</v>
      </c>
      <c r="BA85" s="73" t="s">
        <v>740</v>
      </c>
      <c r="BB85" s="73" t="s">
        <v>741</v>
      </c>
      <c r="BC85" s="70" t="s">
        <v>605</v>
      </c>
      <c r="BD85" s="68" t="s">
        <v>605</v>
      </c>
      <c r="BE85" s="68">
        <v>203</v>
      </c>
      <c r="BF85" s="70">
        <v>155</v>
      </c>
      <c r="BG85" s="68">
        <v>59</v>
      </c>
      <c r="BH85" s="70">
        <v>44</v>
      </c>
      <c r="BI85" s="68">
        <v>65</v>
      </c>
      <c r="BJ85" s="70">
        <v>0</v>
      </c>
      <c r="BK85" s="70" t="s">
        <v>605</v>
      </c>
      <c r="BL85" s="68" t="s">
        <v>605</v>
      </c>
      <c r="BM85" s="68">
        <v>50</v>
      </c>
      <c r="BN85" s="68" t="s">
        <v>605</v>
      </c>
      <c r="BO85" s="68" t="s">
        <v>605</v>
      </c>
      <c r="BP85" s="68" t="s">
        <v>605</v>
      </c>
      <c r="BQ85" s="68" t="s">
        <v>605</v>
      </c>
      <c r="BR85" s="68" t="s">
        <v>605</v>
      </c>
      <c r="BS85" s="44" t="s">
        <v>605</v>
      </c>
      <c r="BT85" s="44">
        <v>50</v>
      </c>
      <c r="BU85" s="44" t="str">
        <f t="shared" si="136"/>
        <v>-</v>
      </c>
      <c r="BV85" s="44" t="str">
        <f t="shared" si="137"/>
        <v>-</v>
      </c>
      <c r="BW85" s="44"/>
      <c r="BX85" s="44"/>
      <c r="BY85" s="44"/>
      <c r="BZ85" s="44"/>
      <c r="CA85" s="44"/>
      <c r="CB85" s="44"/>
      <c r="CC85" s="44"/>
      <c r="CD85" s="44"/>
      <c r="CE85" s="44"/>
      <c r="CF85" s="44"/>
      <c r="CG85" s="44"/>
      <c r="CH85" s="44"/>
      <c r="CI85" s="44"/>
      <c r="CJ85" s="44"/>
      <c r="CK85" s="44"/>
      <c r="CL85" s="44"/>
      <c r="CM85" s="44"/>
      <c r="CN85" s="115"/>
      <c r="CO85" s="115"/>
      <c r="CP85" s="115"/>
      <c r="CQ85" s="115"/>
      <c r="CR85" s="115"/>
      <c r="CS85" s="115"/>
      <c r="CT85" s="115"/>
      <c r="CU85" s="115"/>
      <c r="CV85" s="115"/>
      <c r="CW85" s="115"/>
      <c r="CX85" s="115"/>
      <c r="CY85" s="115"/>
      <c r="CZ85" s="115"/>
      <c r="DA85" s="115"/>
      <c r="DB85" s="115"/>
      <c r="DC85" s="115"/>
      <c r="DD85" s="115"/>
      <c r="DE85" s="115"/>
      <c r="DF85" s="115"/>
      <c r="DG85" s="115"/>
      <c r="DH85" s="115"/>
      <c r="DI85" s="115"/>
      <c r="DJ85" s="115"/>
      <c r="DK85" s="115"/>
      <c r="DL85" s="115"/>
      <c r="DM85" s="115"/>
      <c r="DN85" s="115"/>
      <c r="DO85" s="115"/>
      <c r="DP85" s="44"/>
      <c r="DQ85" s="44"/>
      <c r="DU85" s="68"/>
      <c r="DV85" s="68" t="s">
        <v>605</v>
      </c>
      <c r="DW85" s="68" t="s">
        <v>605</v>
      </c>
      <c r="DX85" s="68" t="s">
        <v>605</v>
      </c>
      <c r="DY85" s="68" t="s">
        <v>605</v>
      </c>
      <c r="DZ85" s="68" t="s">
        <v>605</v>
      </c>
      <c r="EA85" s="68" t="s">
        <v>605</v>
      </c>
      <c r="EB85" s="68" t="s">
        <v>605</v>
      </c>
      <c r="EC85" s="68" t="s">
        <v>605</v>
      </c>
      <c r="ED85" s="68" t="s">
        <v>605</v>
      </c>
      <c r="EE85" s="68" t="s">
        <v>605</v>
      </c>
      <c r="EF85" s="68" t="s">
        <v>605</v>
      </c>
      <c r="EG85" s="68" t="s">
        <v>605</v>
      </c>
      <c r="EH85" s="73" t="s">
        <v>742</v>
      </c>
      <c r="EI85" s="73" t="s">
        <v>743</v>
      </c>
      <c r="EJ85" s="73" t="s">
        <v>744</v>
      </c>
      <c r="EK85" s="75">
        <f>SUM(AY85:BB85)</f>
        <v>0</v>
      </c>
      <c r="EL85" s="68">
        <f>SUM(BC85:BF85)</f>
        <v>358</v>
      </c>
      <c r="EM85" s="44">
        <f>SUM(BG85:BJ85)</f>
        <v>168</v>
      </c>
      <c r="EN85" s="68">
        <f>+EM85*0.9</f>
        <v>151.20000000000002</v>
      </c>
      <c r="EO85" s="68" t="s">
        <v>605</v>
      </c>
      <c r="EP85" s="44">
        <f t="shared" si="42"/>
        <v>50</v>
      </c>
      <c r="EQ85" s="68" t="s">
        <v>605</v>
      </c>
      <c r="ER85" s="68" t="s">
        <v>605</v>
      </c>
      <c r="ES85" s="68" t="s">
        <v>605</v>
      </c>
      <c r="ET85" s="68" t="s">
        <v>605</v>
      </c>
      <c r="EU85" s="44">
        <f t="shared" si="11"/>
        <v>0</v>
      </c>
      <c r="EV85" s="44">
        <f t="shared" si="130"/>
        <v>0</v>
      </c>
      <c r="EW85" s="44">
        <f t="shared" si="132"/>
        <v>0</v>
      </c>
      <c r="EX85" s="44">
        <f t="shared" si="133"/>
        <v>0</v>
      </c>
      <c r="EY85" s="44">
        <f t="shared" si="131"/>
        <v>0</v>
      </c>
      <c r="EZ85" s="68"/>
      <c r="FA85" s="68"/>
      <c r="FB85" s="68"/>
      <c r="FC85" s="68"/>
      <c r="FD85" s="68"/>
      <c r="FE85" s="68"/>
      <c r="FF85" s="68"/>
      <c r="FG85" s="68"/>
      <c r="FH85" s="68"/>
      <c r="FI85" s="68"/>
      <c r="FJ85" s="68"/>
      <c r="FK85" s="68"/>
      <c r="FL85" s="68"/>
      <c r="FM85" s="68"/>
      <c r="FN85" s="68"/>
      <c r="FO85" s="68"/>
      <c r="FP85" s="68"/>
      <c r="FQ85" s="83">
        <v>0</v>
      </c>
      <c r="FR85" s="68">
        <v>0</v>
      </c>
      <c r="FS85" s="84">
        <v>0</v>
      </c>
      <c r="FT85" s="68"/>
      <c r="FU85" s="14" t="s">
        <v>745</v>
      </c>
    </row>
    <row r="86" spans="1:184">
      <c r="B86" s="14" t="s">
        <v>746</v>
      </c>
      <c r="W86" s="44"/>
      <c r="X86" s="44"/>
      <c r="Y86" s="44"/>
      <c r="Z86" s="44"/>
      <c r="AA86" s="44"/>
      <c r="AB86" s="44"/>
      <c r="AC86" s="44"/>
      <c r="AD86" s="44"/>
      <c r="AE86" s="44"/>
      <c r="AF86" s="44"/>
      <c r="AG86" s="44"/>
      <c r="AH86" s="44"/>
      <c r="AI86" s="68"/>
      <c r="AJ86" s="44"/>
      <c r="AK86" s="44"/>
      <c r="AL86" s="65"/>
      <c r="AM86" s="65"/>
      <c r="AN86" s="65"/>
      <c r="AO86" s="65"/>
      <c r="AP86" s="70"/>
      <c r="AQ86" s="65"/>
      <c r="AR86" s="65"/>
      <c r="AS86" s="65"/>
      <c r="AT86" s="65"/>
      <c r="AU86" s="44"/>
      <c r="AV86" s="65"/>
      <c r="AW86" s="44"/>
      <c r="AX86" s="65"/>
      <c r="AY86" s="65"/>
      <c r="AZ86" s="44"/>
      <c r="BA86" s="44"/>
      <c r="BB86" s="44"/>
      <c r="BC86" s="65"/>
      <c r="BD86" s="44"/>
      <c r="BE86" s="44">
        <v>37</v>
      </c>
      <c r="BF86" s="65">
        <v>44</v>
      </c>
      <c r="BG86" s="44"/>
      <c r="BH86" s="65">
        <v>49</v>
      </c>
      <c r="BI86" s="44">
        <v>51</v>
      </c>
      <c r="BJ86" s="65">
        <v>53</v>
      </c>
      <c r="BK86" s="70" t="s">
        <v>605</v>
      </c>
      <c r="BL86" s="68">
        <v>58</v>
      </c>
      <c r="BM86" s="68">
        <v>51</v>
      </c>
      <c r="BN86" s="68">
        <v>58</v>
      </c>
      <c r="BO86" s="68">
        <v>52</v>
      </c>
      <c r="BP86" s="68">
        <v>59</v>
      </c>
      <c r="BQ86" s="68">
        <v>53</v>
      </c>
      <c r="BR86" s="68">
        <v>69</v>
      </c>
      <c r="BS86" s="44">
        <v>61</v>
      </c>
      <c r="BT86" s="44">
        <v>62</v>
      </c>
      <c r="BU86" s="44">
        <f t="shared" si="136"/>
        <v>53</v>
      </c>
      <c r="BV86" s="44">
        <f t="shared" si="137"/>
        <v>69</v>
      </c>
      <c r="BW86" s="44"/>
      <c r="BX86" s="44"/>
      <c r="BY86" s="44"/>
      <c r="BZ86" s="44"/>
      <c r="CA86" s="44"/>
      <c r="CB86" s="44"/>
      <c r="CC86" s="44"/>
      <c r="CD86" s="44"/>
      <c r="CE86" s="44"/>
      <c r="CF86" s="44"/>
      <c r="CG86" s="44"/>
      <c r="CH86" s="44"/>
      <c r="CI86" s="44"/>
      <c r="CJ86" s="44"/>
      <c r="CK86" s="44"/>
      <c r="CL86" s="44"/>
      <c r="CM86" s="44"/>
      <c r="CN86" s="115"/>
      <c r="CO86" s="115"/>
      <c r="CP86" s="115"/>
      <c r="CQ86" s="115"/>
      <c r="CR86" s="115"/>
      <c r="CS86" s="115"/>
      <c r="CT86" s="115"/>
      <c r="CU86" s="115"/>
      <c r="CV86" s="115"/>
      <c r="CW86" s="115"/>
      <c r="CX86" s="115"/>
      <c r="CY86" s="115"/>
      <c r="CZ86" s="115"/>
      <c r="DA86" s="115"/>
      <c r="DB86" s="115"/>
      <c r="DC86" s="115"/>
      <c r="DD86" s="115"/>
      <c r="DE86" s="115"/>
      <c r="DF86" s="115"/>
      <c r="DG86" s="115"/>
      <c r="DH86" s="115"/>
      <c r="DI86" s="115"/>
      <c r="DJ86" s="115"/>
      <c r="DK86" s="115"/>
      <c r="DL86" s="115"/>
      <c r="DM86" s="115"/>
      <c r="DN86" s="115"/>
      <c r="DO86" s="115"/>
      <c r="DP86" s="44"/>
      <c r="DQ86" s="44"/>
      <c r="DU86" s="68"/>
      <c r="DV86" s="68"/>
      <c r="DW86" s="44"/>
      <c r="DX86" s="44"/>
      <c r="DY86" s="44"/>
      <c r="DZ86" s="68"/>
      <c r="EA86" s="68"/>
      <c r="EB86" s="68"/>
      <c r="EC86" s="68"/>
      <c r="ED86" s="68"/>
      <c r="EE86" s="68"/>
      <c r="EF86" s="68"/>
      <c r="EG86" s="44"/>
      <c r="EH86" s="44"/>
      <c r="EI86" s="44"/>
      <c r="EJ86" s="44"/>
      <c r="EK86" s="65"/>
      <c r="EP86" s="44">
        <f t="shared" ref="EP86:EP96" si="138">SUM(BS86:BV86)</f>
        <v>245</v>
      </c>
      <c r="EU86" s="44">
        <f t="shared" ref="EU86:EU112" si="139">SUM(CM86:CP86)</f>
        <v>0</v>
      </c>
      <c r="EV86" s="44">
        <f t="shared" si="130"/>
        <v>0</v>
      </c>
      <c r="EW86" s="44">
        <f t="shared" si="132"/>
        <v>0</v>
      </c>
      <c r="EX86" s="44">
        <f t="shared" si="133"/>
        <v>0</v>
      </c>
      <c r="EY86" s="44">
        <f t="shared" si="131"/>
        <v>0</v>
      </c>
      <c r="FQ86" s="44"/>
      <c r="FS86" s="44"/>
    </row>
    <row r="87" spans="1:184">
      <c r="B87" s="14" t="s">
        <v>747</v>
      </c>
      <c r="W87" s="44"/>
      <c r="X87" s="44"/>
      <c r="Y87" s="44"/>
      <c r="Z87" s="44"/>
      <c r="AA87" s="44"/>
      <c r="AB87" s="44"/>
      <c r="AC87" s="44"/>
      <c r="AD87" s="44"/>
      <c r="AE87" s="44"/>
      <c r="AF87" s="44"/>
      <c r="AG87" s="44"/>
      <c r="AH87" s="44"/>
      <c r="AI87" s="68"/>
      <c r="AJ87" s="44"/>
      <c r="AK87" s="44"/>
      <c r="AL87" s="65"/>
      <c r="AM87" s="65"/>
      <c r="AN87" s="65"/>
      <c r="AO87" s="65"/>
      <c r="AP87" s="70"/>
      <c r="AQ87" s="65"/>
      <c r="AR87" s="65"/>
      <c r="AS87" s="65"/>
      <c r="AT87" s="65"/>
      <c r="AU87" s="44"/>
      <c r="AV87" s="65"/>
      <c r="AW87" s="44"/>
      <c r="AX87" s="65"/>
      <c r="AY87" s="65"/>
      <c r="AZ87" s="44"/>
      <c r="BA87" s="44"/>
      <c r="BB87" s="44"/>
      <c r="BC87" s="65"/>
      <c r="BD87" s="44"/>
      <c r="BE87" s="44">
        <v>54</v>
      </c>
      <c r="BF87" s="65">
        <v>46</v>
      </c>
      <c r="BG87" s="44"/>
      <c r="BH87" s="65">
        <v>52</v>
      </c>
      <c r="BI87" s="44">
        <v>51</v>
      </c>
      <c r="BJ87" s="65">
        <v>53</v>
      </c>
      <c r="BK87" s="70" t="s">
        <v>605</v>
      </c>
      <c r="BL87" s="68">
        <v>53</v>
      </c>
      <c r="BM87" s="68">
        <v>74</v>
      </c>
      <c r="BN87" s="68">
        <v>56</v>
      </c>
      <c r="BO87" s="68">
        <v>50</v>
      </c>
      <c r="BP87" s="68" t="s">
        <v>605</v>
      </c>
      <c r="BQ87" s="68">
        <v>50</v>
      </c>
      <c r="BR87" s="68" t="s">
        <v>605</v>
      </c>
      <c r="BS87" s="44" t="s">
        <v>605</v>
      </c>
      <c r="BT87" s="44" t="s">
        <v>605</v>
      </c>
      <c r="BU87" s="44">
        <f t="shared" si="136"/>
        <v>50</v>
      </c>
      <c r="BV87" s="44" t="str">
        <f t="shared" si="137"/>
        <v>-</v>
      </c>
      <c r="BW87" s="44"/>
      <c r="BX87" s="44"/>
      <c r="BY87" s="44"/>
      <c r="BZ87" s="44"/>
      <c r="CA87" s="44"/>
      <c r="CB87" s="44"/>
      <c r="CC87" s="44"/>
      <c r="CD87" s="44"/>
      <c r="CE87" s="44"/>
      <c r="CF87" s="44"/>
      <c r="CG87" s="44"/>
      <c r="CH87" s="44"/>
      <c r="CI87" s="44"/>
      <c r="CJ87" s="44"/>
      <c r="CK87" s="44"/>
      <c r="CL87" s="44"/>
      <c r="CM87" s="44"/>
      <c r="CN87" s="115"/>
      <c r="CO87" s="115"/>
      <c r="CP87" s="115"/>
      <c r="CQ87" s="115"/>
      <c r="CR87" s="115"/>
      <c r="CS87" s="115"/>
      <c r="CT87" s="115"/>
      <c r="CU87" s="115"/>
      <c r="CV87" s="115"/>
      <c r="CW87" s="115"/>
      <c r="CX87" s="115"/>
      <c r="CY87" s="115"/>
      <c r="CZ87" s="115"/>
      <c r="DA87" s="115"/>
      <c r="DB87" s="115"/>
      <c r="DC87" s="115"/>
      <c r="DD87" s="115"/>
      <c r="DE87" s="115"/>
      <c r="DF87" s="115"/>
      <c r="DG87" s="115"/>
      <c r="DH87" s="115"/>
      <c r="DI87" s="115"/>
      <c r="DJ87" s="115"/>
      <c r="DK87" s="115"/>
      <c r="DL87" s="115"/>
      <c r="DM87" s="115"/>
      <c r="DN87" s="115"/>
      <c r="DO87" s="115"/>
      <c r="DP87" s="44"/>
      <c r="DQ87" s="44"/>
      <c r="DU87" s="68"/>
      <c r="DV87" s="68"/>
      <c r="DW87" s="44"/>
      <c r="DX87" s="44"/>
      <c r="DY87" s="44"/>
      <c r="DZ87" s="68"/>
      <c r="EA87" s="68"/>
      <c r="EB87" s="68"/>
      <c r="EC87" s="68"/>
      <c r="ED87" s="68"/>
      <c r="EE87" s="68"/>
      <c r="EF87" s="68"/>
      <c r="EG87" s="44"/>
      <c r="EH87" s="44"/>
      <c r="EI87" s="44"/>
      <c r="EJ87" s="44"/>
      <c r="EK87" s="65"/>
      <c r="EP87" s="44">
        <f t="shared" si="138"/>
        <v>50</v>
      </c>
      <c r="EU87" s="44">
        <f t="shared" si="139"/>
        <v>0</v>
      </c>
      <c r="EV87" s="44">
        <f t="shared" si="130"/>
        <v>0</v>
      </c>
      <c r="EW87" s="44">
        <f t="shared" si="132"/>
        <v>0</v>
      </c>
      <c r="EX87" s="44">
        <f t="shared" si="133"/>
        <v>0</v>
      </c>
      <c r="EY87" s="44">
        <f t="shared" si="131"/>
        <v>0</v>
      </c>
      <c r="FQ87" s="44"/>
      <c r="FS87" s="44"/>
    </row>
    <row r="88" spans="1:184">
      <c r="B88" s="14" t="s">
        <v>748</v>
      </c>
      <c r="W88" s="44"/>
      <c r="X88" s="44"/>
      <c r="Y88" s="44"/>
      <c r="Z88" s="44"/>
      <c r="AA88" s="44"/>
      <c r="AB88" s="44"/>
      <c r="AC88" s="44"/>
      <c r="AD88" s="44"/>
      <c r="AE88" s="44"/>
      <c r="AF88" s="44"/>
      <c r="AG88" s="44"/>
      <c r="AH88" s="44"/>
      <c r="AI88" s="68"/>
      <c r="AJ88" s="44"/>
      <c r="AK88" s="44"/>
      <c r="AL88" s="65"/>
      <c r="AM88" s="65"/>
      <c r="AN88" s="65"/>
      <c r="AO88" s="65"/>
      <c r="AP88" s="70"/>
      <c r="AQ88" s="65"/>
      <c r="AR88" s="65"/>
      <c r="AS88" s="65"/>
      <c r="AT88" s="65"/>
      <c r="AU88" s="44"/>
      <c r="AV88" s="65"/>
      <c r="AW88" s="44"/>
      <c r="AX88" s="65"/>
      <c r="AY88" s="65"/>
      <c r="AZ88" s="44"/>
      <c r="BA88" s="44"/>
      <c r="BB88" s="44"/>
      <c r="BC88" s="65"/>
      <c r="BD88" s="44"/>
      <c r="BE88" s="44"/>
      <c r="BF88" s="65"/>
      <c r="BG88" s="44"/>
      <c r="BH88" s="65"/>
      <c r="BI88" s="44"/>
      <c r="BJ88" s="65"/>
      <c r="BK88" s="70"/>
      <c r="BL88" s="68"/>
      <c r="BM88" s="68"/>
      <c r="BN88" s="68" t="s">
        <v>605</v>
      </c>
      <c r="BO88" s="68" t="s">
        <v>605</v>
      </c>
      <c r="BP88" s="68">
        <v>54</v>
      </c>
      <c r="BQ88" s="68" t="s">
        <v>605</v>
      </c>
      <c r="BR88" s="68">
        <v>52</v>
      </c>
      <c r="BS88" s="44">
        <v>53</v>
      </c>
      <c r="BT88" s="44">
        <v>40</v>
      </c>
      <c r="BU88" s="44" t="str">
        <f t="shared" si="136"/>
        <v>-</v>
      </c>
      <c r="BV88" s="44">
        <f t="shared" si="137"/>
        <v>52</v>
      </c>
      <c r="BW88" s="44"/>
      <c r="BX88" s="44"/>
      <c r="BY88" s="44"/>
      <c r="BZ88" s="44"/>
      <c r="CA88" s="44"/>
      <c r="CB88" s="44"/>
      <c r="CC88" s="44"/>
      <c r="CD88" s="44"/>
      <c r="CE88" s="44"/>
      <c r="CF88" s="44"/>
      <c r="CG88" s="44"/>
      <c r="CH88" s="44"/>
      <c r="CI88" s="44"/>
      <c r="CJ88" s="44"/>
      <c r="CK88" s="44"/>
      <c r="CL88" s="44"/>
      <c r="CM88" s="44"/>
      <c r="CN88" s="115"/>
      <c r="CO88" s="115"/>
      <c r="CP88" s="115"/>
      <c r="CQ88" s="115"/>
      <c r="CR88" s="115"/>
      <c r="CS88" s="115"/>
      <c r="CT88" s="115"/>
      <c r="CU88" s="115"/>
      <c r="CV88" s="115"/>
      <c r="CW88" s="115"/>
      <c r="CX88" s="115"/>
      <c r="CY88" s="115"/>
      <c r="CZ88" s="115"/>
      <c r="DA88" s="115"/>
      <c r="DB88" s="115"/>
      <c r="DC88" s="115"/>
      <c r="DD88" s="115"/>
      <c r="DE88" s="115"/>
      <c r="DF88" s="115"/>
      <c r="DG88" s="115"/>
      <c r="DH88" s="115"/>
      <c r="DI88" s="115"/>
      <c r="DJ88" s="115"/>
      <c r="DK88" s="115"/>
      <c r="DL88" s="115"/>
      <c r="DM88" s="115"/>
      <c r="DN88" s="115"/>
      <c r="DO88" s="115"/>
      <c r="DP88" s="44"/>
      <c r="DQ88" s="44"/>
      <c r="DU88" s="68"/>
      <c r="DV88" s="68"/>
      <c r="DW88" s="44"/>
      <c r="DX88" s="44"/>
      <c r="DY88" s="44"/>
      <c r="DZ88" s="68"/>
      <c r="EA88" s="68"/>
      <c r="EB88" s="68"/>
      <c r="EC88" s="68"/>
      <c r="ED88" s="68"/>
      <c r="EE88" s="68"/>
      <c r="EF88" s="68"/>
      <c r="EG88" s="44"/>
      <c r="EH88" s="44"/>
      <c r="EI88" s="44"/>
      <c r="EJ88" s="44"/>
      <c r="EK88" s="65"/>
      <c r="EP88" s="44">
        <f t="shared" si="138"/>
        <v>145</v>
      </c>
      <c r="EU88" s="44">
        <f t="shared" si="139"/>
        <v>0</v>
      </c>
      <c r="EV88" s="44">
        <f t="shared" si="130"/>
        <v>0</v>
      </c>
      <c r="EW88" s="44">
        <f t="shared" si="132"/>
        <v>0</v>
      </c>
      <c r="EX88" s="44">
        <f t="shared" si="133"/>
        <v>0</v>
      </c>
      <c r="EY88" s="44">
        <f t="shared" si="131"/>
        <v>0</v>
      </c>
      <c r="FQ88" s="44"/>
      <c r="FS88" s="44"/>
    </row>
    <row r="89" spans="1:184">
      <c r="B89" s="14" t="s">
        <v>750</v>
      </c>
      <c r="C89" s="62"/>
      <c r="D89" s="62"/>
      <c r="E89" s="62"/>
      <c r="F89" s="62"/>
      <c r="G89" s="62"/>
      <c r="H89" s="62"/>
      <c r="I89" s="62"/>
      <c r="J89" s="62"/>
      <c r="K89" s="62"/>
      <c r="L89" s="62"/>
      <c r="M89" s="62"/>
      <c r="N89" s="62"/>
      <c r="O89" s="62"/>
      <c r="P89" s="62"/>
      <c r="Q89" s="62"/>
      <c r="R89" s="62"/>
      <c r="S89" s="62"/>
      <c r="T89" s="62"/>
      <c r="U89" s="62"/>
      <c r="V89" s="62"/>
      <c r="W89" s="68"/>
      <c r="X89" s="68"/>
      <c r="Y89" s="68"/>
      <c r="Z89" s="68"/>
      <c r="AA89" s="44"/>
      <c r="AB89" s="44"/>
      <c r="AC89" s="44"/>
      <c r="AD89" s="44"/>
      <c r="AE89" s="44"/>
      <c r="AF89" s="44"/>
      <c r="AG89" s="44"/>
      <c r="AH89" s="44"/>
      <c r="AI89" s="68"/>
      <c r="AM89" s="69"/>
      <c r="AN89" s="69"/>
      <c r="AO89" s="69"/>
      <c r="AP89" s="103"/>
      <c r="AQ89" s="65"/>
      <c r="AR89" s="65"/>
      <c r="AS89" s="65"/>
      <c r="AT89" s="65"/>
      <c r="AU89" s="44"/>
      <c r="AV89" s="65"/>
      <c r="AW89" s="44"/>
      <c r="AX89" s="44"/>
      <c r="AY89" s="44"/>
      <c r="AZ89" s="44"/>
      <c r="BA89" s="44"/>
      <c r="BB89" s="44"/>
      <c r="BC89" s="65"/>
      <c r="BD89" s="44"/>
      <c r="BE89" s="44"/>
      <c r="BF89" s="65">
        <v>43</v>
      </c>
      <c r="BG89" s="44"/>
      <c r="BH89" s="65"/>
      <c r="BI89" s="44"/>
      <c r="BJ89" s="65">
        <v>57</v>
      </c>
      <c r="BK89" s="70" t="s">
        <v>605</v>
      </c>
      <c r="BL89" s="68" t="s">
        <v>605</v>
      </c>
      <c r="BM89" s="68">
        <v>50</v>
      </c>
      <c r="BN89" s="68" t="s">
        <v>605</v>
      </c>
      <c r="BO89" s="68" t="s">
        <v>605</v>
      </c>
      <c r="BP89" s="68" t="s">
        <v>605</v>
      </c>
      <c r="BQ89" s="68" t="s">
        <v>605</v>
      </c>
      <c r="BR89" s="68" t="s">
        <v>605</v>
      </c>
      <c r="BS89" s="68"/>
      <c r="BT89" s="68" t="s">
        <v>605</v>
      </c>
      <c r="BU89" s="68" t="s">
        <v>605</v>
      </c>
      <c r="BV89" s="68" t="s">
        <v>605</v>
      </c>
      <c r="BW89" s="68"/>
      <c r="BX89" s="68"/>
      <c r="BY89" s="68"/>
      <c r="BZ89" s="68"/>
      <c r="CA89" s="68"/>
      <c r="CB89" s="68"/>
      <c r="CC89" s="68"/>
      <c r="CD89" s="68"/>
      <c r="CE89" s="68"/>
      <c r="CF89" s="68"/>
      <c r="CG89" s="68"/>
      <c r="CH89" s="68"/>
      <c r="CI89" s="68"/>
      <c r="CJ89" s="68"/>
      <c r="CK89" s="68"/>
      <c r="CL89" s="68"/>
      <c r="CM89" s="68"/>
      <c r="CN89" s="122"/>
      <c r="CO89" s="122"/>
      <c r="CP89" s="122"/>
      <c r="CQ89" s="122"/>
      <c r="CR89" s="122"/>
      <c r="CS89" s="122"/>
      <c r="CT89" s="122"/>
      <c r="CU89" s="122"/>
      <c r="CV89" s="122"/>
      <c r="CW89" s="122"/>
      <c r="CX89" s="122"/>
      <c r="CY89" s="122"/>
      <c r="CZ89" s="122"/>
      <c r="DA89" s="122"/>
      <c r="DB89" s="122"/>
      <c r="DC89" s="122"/>
      <c r="DD89" s="122"/>
      <c r="DE89" s="122"/>
      <c r="DF89" s="122"/>
      <c r="DG89" s="122"/>
      <c r="DH89" s="122"/>
      <c r="DI89" s="122"/>
      <c r="DJ89" s="122"/>
      <c r="DK89" s="122"/>
      <c r="DL89" s="122"/>
      <c r="DM89" s="122"/>
      <c r="DN89" s="122"/>
      <c r="DO89" s="122"/>
      <c r="DP89" s="68"/>
      <c r="DQ89" s="68"/>
      <c r="DU89" s="68"/>
      <c r="DV89" s="68"/>
      <c r="DW89" s="68"/>
      <c r="DX89" s="68"/>
      <c r="DY89" s="68"/>
      <c r="DZ89" s="68"/>
      <c r="EA89" s="68"/>
      <c r="EB89" s="68"/>
      <c r="EC89" s="68"/>
      <c r="ED89" s="44"/>
      <c r="EE89" s="44"/>
      <c r="EF89" s="44"/>
      <c r="EG89" s="44"/>
      <c r="EH89" s="44"/>
      <c r="EI89" s="44"/>
      <c r="EJ89" s="44"/>
      <c r="EK89" s="65"/>
      <c r="EP89" s="44">
        <f t="shared" si="138"/>
        <v>0</v>
      </c>
      <c r="EU89" s="44">
        <f t="shared" si="139"/>
        <v>0</v>
      </c>
      <c r="EV89" s="44">
        <f t="shared" si="130"/>
        <v>0</v>
      </c>
      <c r="EW89" s="44">
        <f t="shared" si="132"/>
        <v>0</v>
      </c>
      <c r="EX89" s="44">
        <f t="shared" si="133"/>
        <v>0</v>
      </c>
      <c r="EY89" s="44">
        <f t="shared" si="131"/>
        <v>0</v>
      </c>
    </row>
    <row r="90" spans="1:184">
      <c r="B90" s="14" t="s">
        <v>751</v>
      </c>
      <c r="AE90" s="44"/>
      <c r="AF90" s="44"/>
      <c r="AG90" s="44"/>
      <c r="AH90" s="44"/>
      <c r="AI90" s="68"/>
      <c r="AJ90" s="44"/>
      <c r="AK90" s="68" t="s">
        <v>605</v>
      </c>
      <c r="AL90" s="68" t="s">
        <v>605</v>
      </c>
      <c r="AM90" s="68">
        <v>136</v>
      </c>
      <c r="AN90" s="68">
        <v>159</v>
      </c>
      <c r="AO90" s="68" t="s">
        <v>605</v>
      </c>
      <c r="AP90" s="68" t="s">
        <v>605</v>
      </c>
      <c r="AQ90" s="68" t="s">
        <v>605</v>
      </c>
      <c r="AR90" s="68" t="s">
        <v>605</v>
      </c>
      <c r="AS90" s="68" t="s">
        <v>605</v>
      </c>
      <c r="AT90" s="68" t="s">
        <v>605</v>
      </c>
      <c r="AU90" s="68" t="s">
        <v>605</v>
      </c>
      <c r="AV90" s="70" t="s">
        <v>605</v>
      </c>
      <c r="AW90" s="68" t="s">
        <v>605</v>
      </c>
      <c r="AX90" s="73">
        <v>203</v>
      </c>
      <c r="AY90" s="75" t="s">
        <v>752</v>
      </c>
      <c r="AZ90" s="73"/>
      <c r="BA90" s="73"/>
      <c r="BB90" s="44">
        <v>223</v>
      </c>
      <c r="BC90" s="65">
        <v>174</v>
      </c>
      <c r="BD90" s="44">
        <v>195</v>
      </c>
      <c r="BE90" s="44">
        <v>176</v>
      </c>
      <c r="BF90" s="65">
        <v>207</v>
      </c>
      <c r="BG90" s="70" t="s">
        <v>605</v>
      </c>
      <c r="BH90" s="70" t="s">
        <v>605</v>
      </c>
      <c r="BI90" s="70" t="s">
        <v>605</v>
      </c>
      <c r="BJ90" s="70" t="s">
        <v>605</v>
      </c>
      <c r="BK90" s="70" t="s">
        <v>605</v>
      </c>
      <c r="BL90" s="70" t="s">
        <v>605</v>
      </c>
      <c r="BM90" s="70" t="s">
        <v>605</v>
      </c>
      <c r="BN90" s="70" t="s">
        <v>605</v>
      </c>
      <c r="BO90" s="70" t="s">
        <v>605</v>
      </c>
      <c r="BP90" s="70" t="s">
        <v>605</v>
      </c>
      <c r="BQ90" s="70" t="s">
        <v>605</v>
      </c>
      <c r="BR90" s="70" t="s">
        <v>605</v>
      </c>
      <c r="BS90" s="70"/>
      <c r="BT90" s="70" t="s">
        <v>605</v>
      </c>
      <c r="BU90" s="70" t="s">
        <v>605</v>
      </c>
      <c r="BV90" s="70" t="s">
        <v>605</v>
      </c>
      <c r="BW90" s="70"/>
      <c r="BX90" s="70"/>
      <c r="BY90" s="70"/>
      <c r="BZ90" s="70"/>
      <c r="CA90" s="70"/>
      <c r="CB90" s="70"/>
      <c r="CC90" s="70"/>
      <c r="CD90" s="70"/>
      <c r="CE90" s="70"/>
      <c r="CF90" s="70"/>
      <c r="CG90" s="70"/>
      <c r="CH90" s="70"/>
      <c r="CI90" s="70"/>
      <c r="CJ90" s="70"/>
      <c r="CK90" s="70"/>
      <c r="CL90" s="70"/>
      <c r="CM90" s="70"/>
      <c r="CN90" s="122"/>
      <c r="CO90" s="122"/>
      <c r="CP90" s="122"/>
      <c r="CQ90" s="122"/>
      <c r="CR90" s="122"/>
      <c r="CS90" s="122"/>
      <c r="CT90" s="122"/>
      <c r="CU90" s="122"/>
      <c r="CV90" s="122"/>
      <c r="CW90" s="122"/>
      <c r="CX90" s="122"/>
      <c r="CY90" s="122"/>
      <c r="CZ90" s="122"/>
      <c r="DA90" s="122"/>
      <c r="DB90" s="122"/>
      <c r="DC90" s="122"/>
      <c r="DD90" s="122"/>
      <c r="DE90" s="122"/>
      <c r="DF90" s="122"/>
      <c r="DG90" s="122"/>
      <c r="DH90" s="122"/>
      <c r="DI90" s="122"/>
      <c r="DJ90" s="122"/>
      <c r="DK90" s="122"/>
      <c r="DL90" s="122"/>
      <c r="DM90" s="122"/>
      <c r="DN90" s="122"/>
      <c r="DO90" s="122"/>
      <c r="DP90" s="70"/>
      <c r="DQ90" s="70"/>
      <c r="DU90" s="44"/>
      <c r="DV90" s="44"/>
      <c r="DW90" s="44"/>
      <c r="DX90" s="44"/>
      <c r="DY90" s="44"/>
      <c r="DZ90" s="44"/>
      <c r="EA90" s="44"/>
      <c r="EB90" s="44"/>
      <c r="EC90" s="44"/>
      <c r="ED90" s="44"/>
      <c r="EE90" s="44"/>
      <c r="EF90" s="44"/>
      <c r="EG90" s="44"/>
      <c r="EH90" s="73"/>
      <c r="EI90" s="73"/>
      <c r="EJ90" s="44"/>
      <c r="EK90" s="65">
        <f>SUM(AY90:BB90)</f>
        <v>223</v>
      </c>
      <c r="EL90" s="44">
        <f>SUM(BC90:BF90)</f>
        <v>752</v>
      </c>
      <c r="EM90" s="68" t="s">
        <v>753</v>
      </c>
      <c r="EP90" s="44">
        <f t="shared" si="138"/>
        <v>0</v>
      </c>
      <c r="EU90" s="44">
        <f t="shared" si="139"/>
        <v>0</v>
      </c>
      <c r="EV90" s="44">
        <f t="shared" si="130"/>
        <v>0</v>
      </c>
      <c r="EW90" s="44">
        <f t="shared" si="132"/>
        <v>0</v>
      </c>
      <c r="EX90" s="44">
        <f t="shared" si="133"/>
        <v>0</v>
      </c>
      <c r="EY90" s="44">
        <f t="shared" si="131"/>
        <v>0</v>
      </c>
      <c r="FQ90" s="81">
        <f>EL90*0.3</f>
        <v>225.6</v>
      </c>
      <c r="FR90" s="44">
        <f>EQ90*0.3</f>
        <v>0</v>
      </c>
      <c r="FS90" s="82">
        <f>ER90*0.3</f>
        <v>0</v>
      </c>
    </row>
    <row r="91" spans="1:184" collapsed="1">
      <c r="B91" s="4" t="s">
        <v>754</v>
      </c>
      <c r="G91" s="37">
        <f>47+51</f>
        <v>98</v>
      </c>
      <c r="H91" s="37">
        <f>64+55</f>
        <v>119</v>
      </c>
      <c r="I91" s="37">
        <f>63+57</f>
        <v>120</v>
      </c>
      <c r="J91" s="37">
        <f>58+58</f>
        <v>116</v>
      </c>
      <c r="K91" s="37">
        <f>52+64</f>
        <v>116</v>
      </c>
      <c r="L91" s="37">
        <f>61+66</f>
        <v>127</v>
      </c>
      <c r="M91" s="37">
        <f>73+62</f>
        <v>135</v>
      </c>
      <c r="N91" s="37">
        <f>74+62</f>
        <v>136</v>
      </c>
      <c r="O91" s="37">
        <f>71+58</f>
        <v>129</v>
      </c>
      <c r="P91" s="37">
        <f>74+68</f>
        <v>142</v>
      </c>
      <c r="Q91" s="37">
        <f>75+56</f>
        <v>131</v>
      </c>
      <c r="R91" s="37">
        <f>96+55</f>
        <v>151</v>
      </c>
      <c r="S91" s="37">
        <f>90+54</f>
        <v>144</v>
      </c>
      <c r="T91" s="37">
        <f>84+57</f>
        <v>141</v>
      </c>
      <c r="U91" s="37">
        <f>94+59</f>
        <v>153</v>
      </c>
      <c r="V91" s="37">
        <f>108+58</f>
        <v>166</v>
      </c>
      <c r="W91" s="44">
        <f>121+55</f>
        <v>176</v>
      </c>
      <c r="X91" s="44">
        <f>81+59</f>
        <v>140</v>
      </c>
      <c r="Y91" s="44">
        <f>104+58</f>
        <v>162</v>
      </c>
      <c r="Z91" s="44">
        <f>124+67</f>
        <v>191</v>
      </c>
      <c r="AA91" s="44">
        <f>113+57</f>
        <v>170</v>
      </c>
      <c r="AB91" s="44">
        <f>87+63</f>
        <v>150</v>
      </c>
      <c r="AC91" s="44">
        <f>111+68</f>
        <v>179</v>
      </c>
      <c r="AD91" s="44">
        <f>133+75</f>
        <v>208</v>
      </c>
      <c r="AE91" s="44">
        <f>125+66</f>
        <v>191</v>
      </c>
      <c r="AF91" s="44">
        <f>86+72</f>
        <v>158</v>
      </c>
      <c r="AG91" s="44">
        <f>91+66</f>
        <v>157</v>
      </c>
      <c r="AH91" s="44">
        <f>90+75</f>
        <v>165</v>
      </c>
      <c r="AI91" s="68">
        <f>29+71</f>
        <v>100</v>
      </c>
      <c r="AJ91" s="44">
        <f>3+70</f>
        <v>73</v>
      </c>
      <c r="AK91" s="44">
        <f>15+62</f>
        <v>77</v>
      </c>
      <c r="AL91" s="65">
        <v>44</v>
      </c>
      <c r="AM91" s="65">
        <v>68</v>
      </c>
      <c r="AN91" s="65">
        <v>69</v>
      </c>
      <c r="AO91" s="70">
        <v>61</v>
      </c>
      <c r="AP91" s="70">
        <v>68</v>
      </c>
      <c r="AQ91" s="65"/>
      <c r="AR91" s="65"/>
      <c r="AS91" s="65"/>
      <c r="AT91" s="65"/>
      <c r="AV91" s="69"/>
      <c r="BC91" s="69"/>
      <c r="BF91" s="69"/>
      <c r="BG91" s="70" t="s">
        <v>605</v>
      </c>
      <c r="BH91" s="70" t="s">
        <v>605</v>
      </c>
      <c r="BI91" s="70" t="s">
        <v>605</v>
      </c>
      <c r="BJ91" s="70" t="s">
        <v>605</v>
      </c>
      <c r="BK91" s="70" t="s">
        <v>605</v>
      </c>
      <c r="BL91" s="70" t="s">
        <v>605</v>
      </c>
      <c r="BM91" s="70" t="s">
        <v>605</v>
      </c>
      <c r="BN91" s="70" t="s">
        <v>605</v>
      </c>
      <c r="BO91" s="70" t="s">
        <v>605</v>
      </c>
      <c r="BP91" s="70" t="s">
        <v>605</v>
      </c>
      <c r="BQ91" s="70" t="s">
        <v>605</v>
      </c>
      <c r="BR91" s="70" t="s">
        <v>605</v>
      </c>
      <c r="BS91" s="70"/>
      <c r="BT91" s="70" t="s">
        <v>605</v>
      </c>
      <c r="BU91" s="70" t="s">
        <v>605</v>
      </c>
      <c r="BV91" s="70" t="s">
        <v>605</v>
      </c>
      <c r="BW91" s="70"/>
      <c r="BX91" s="70"/>
      <c r="BY91" s="70"/>
      <c r="BZ91" s="70"/>
      <c r="CA91" s="70"/>
      <c r="CB91" s="70"/>
      <c r="CC91" s="70"/>
      <c r="CD91" s="70"/>
      <c r="CE91" s="70"/>
      <c r="CF91" s="70"/>
      <c r="CG91" s="70"/>
      <c r="CH91" s="70"/>
      <c r="CI91" s="70"/>
      <c r="CJ91" s="70"/>
      <c r="CK91" s="70"/>
      <c r="CL91" s="70"/>
      <c r="CM91" s="70"/>
      <c r="CN91" s="122"/>
      <c r="CO91" s="122"/>
      <c r="CP91" s="122"/>
      <c r="CQ91" s="122"/>
      <c r="CR91" s="122"/>
      <c r="CS91" s="122"/>
      <c r="CT91" s="122"/>
      <c r="CU91" s="122"/>
      <c r="CV91" s="122"/>
      <c r="CW91" s="122"/>
      <c r="CX91" s="122"/>
      <c r="CY91" s="122"/>
      <c r="CZ91" s="122"/>
      <c r="DA91" s="122"/>
      <c r="DB91" s="122"/>
      <c r="DC91" s="122"/>
      <c r="DD91" s="122"/>
      <c r="DE91" s="122"/>
      <c r="DF91" s="122"/>
      <c r="DG91" s="122"/>
      <c r="DH91" s="122"/>
      <c r="DI91" s="122"/>
      <c r="DJ91" s="122"/>
      <c r="DK91" s="122"/>
      <c r="DL91" s="122"/>
      <c r="DM91" s="122"/>
      <c r="DN91" s="122"/>
      <c r="DO91" s="122"/>
      <c r="DP91" s="70"/>
      <c r="DQ91" s="70"/>
      <c r="DU91" s="68"/>
      <c r="DV91" s="68" t="s">
        <v>605</v>
      </c>
      <c r="DW91" s="68" t="s">
        <v>605</v>
      </c>
      <c r="DX91" s="68" t="s">
        <v>605</v>
      </c>
      <c r="DY91" s="68" t="s">
        <v>605</v>
      </c>
      <c r="DZ91" s="68">
        <f>SUM(G91:J91)</f>
        <v>453</v>
      </c>
      <c r="EA91" s="68">
        <f>SUM(K91:N91)</f>
        <v>514</v>
      </c>
      <c r="EB91" s="68">
        <f>SUM(O91:R91)</f>
        <v>553</v>
      </c>
      <c r="EC91" s="68">
        <f>SUM(S91:V91)</f>
        <v>604</v>
      </c>
      <c r="ED91" s="68">
        <f>SUM(W91:Z91)</f>
        <v>669</v>
      </c>
      <c r="EE91" s="68">
        <f>SUM(AA91:AD91)</f>
        <v>707</v>
      </c>
      <c r="EF91" s="44">
        <f>SUM(AE91:AH91)</f>
        <v>671</v>
      </c>
      <c r="EG91" s="44">
        <v>294</v>
      </c>
      <c r="EH91" s="44">
        <v>266</v>
      </c>
      <c r="EI91" s="44"/>
      <c r="EJ91" s="44"/>
      <c r="EK91" s="65">
        <f>SUM(AY91:BB91)</f>
        <v>0</v>
      </c>
      <c r="EP91" s="44">
        <f t="shared" si="138"/>
        <v>0</v>
      </c>
      <c r="EU91" s="44">
        <f t="shared" si="139"/>
        <v>0</v>
      </c>
      <c r="EV91" s="44">
        <f t="shared" si="130"/>
        <v>0</v>
      </c>
      <c r="EW91" s="44">
        <f t="shared" si="132"/>
        <v>0</v>
      </c>
      <c r="EX91" s="44">
        <f t="shared" si="133"/>
        <v>0</v>
      </c>
      <c r="EY91" s="44">
        <f t="shared" si="131"/>
        <v>0</v>
      </c>
    </row>
    <row r="92" spans="1:184">
      <c r="B92" s="4" t="s">
        <v>755</v>
      </c>
      <c r="C92" s="37">
        <v>239</v>
      </c>
      <c r="D92" s="37">
        <v>168</v>
      </c>
      <c r="E92" s="37">
        <v>223</v>
      </c>
      <c r="F92" s="44">
        <f>DY92-E92-D92-C92</f>
        <v>192</v>
      </c>
      <c r="G92" s="37">
        <v>193</v>
      </c>
      <c r="W92" s="44"/>
      <c r="X92" s="44"/>
      <c r="Y92" s="44"/>
      <c r="Z92" s="44"/>
      <c r="AA92" s="44"/>
      <c r="AB92" s="44"/>
      <c r="AC92" s="44"/>
      <c r="AD92" s="44"/>
      <c r="AE92" s="44"/>
      <c r="AF92" s="44"/>
      <c r="AG92" s="44"/>
      <c r="AH92" s="44"/>
      <c r="AI92" s="68"/>
      <c r="AJ92" s="44"/>
      <c r="AK92" s="44"/>
      <c r="AL92" s="65"/>
      <c r="AM92" s="65"/>
      <c r="AN92" s="65"/>
      <c r="AO92" s="70"/>
      <c r="AP92" s="70"/>
      <c r="AQ92" s="65"/>
      <c r="AR92" s="65"/>
      <c r="AS92" s="65"/>
      <c r="AT92" s="65"/>
      <c r="AV92" s="69"/>
      <c r="BC92" s="69"/>
      <c r="BF92" s="69"/>
      <c r="BG92" s="70" t="s">
        <v>605</v>
      </c>
      <c r="BH92" s="70" t="s">
        <v>605</v>
      </c>
      <c r="BI92" s="70" t="s">
        <v>605</v>
      </c>
      <c r="BJ92" s="70" t="s">
        <v>605</v>
      </c>
      <c r="BK92" s="70" t="s">
        <v>605</v>
      </c>
      <c r="BL92" s="70" t="s">
        <v>605</v>
      </c>
      <c r="BM92" s="70" t="s">
        <v>605</v>
      </c>
      <c r="BN92" s="70" t="s">
        <v>605</v>
      </c>
      <c r="BO92" s="70" t="s">
        <v>605</v>
      </c>
      <c r="BP92" s="70" t="s">
        <v>605</v>
      </c>
      <c r="BQ92" s="70" t="s">
        <v>605</v>
      </c>
      <c r="BR92" s="70" t="s">
        <v>605</v>
      </c>
      <c r="BS92" s="70"/>
      <c r="BT92" s="70" t="s">
        <v>605</v>
      </c>
      <c r="BU92" s="70" t="s">
        <v>605</v>
      </c>
      <c r="BV92" s="70" t="s">
        <v>605</v>
      </c>
      <c r="BW92" s="70"/>
      <c r="BX92" s="70"/>
      <c r="BY92" s="70"/>
      <c r="BZ92" s="70"/>
      <c r="CA92" s="70"/>
      <c r="CB92" s="70"/>
      <c r="CC92" s="70"/>
      <c r="CD92" s="70"/>
      <c r="CE92" s="70"/>
      <c r="CF92" s="70"/>
      <c r="CG92" s="70"/>
      <c r="CH92" s="70"/>
      <c r="CI92" s="70"/>
      <c r="CJ92" s="70"/>
      <c r="CK92" s="70"/>
      <c r="CL92" s="70"/>
      <c r="CM92" s="70"/>
      <c r="CN92" s="122"/>
      <c r="CO92" s="122"/>
      <c r="CP92" s="122"/>
      <c r="CQ92" s="122"/>
      <c r="CR92" s="122"/>
      <c r="CS92" s="122"/>
      <c r="CT92" s="122"/>
      <c r="CU92" s="122"/>
      <c r="CV92" s="122"/>
      <c r="CW92" s="122"/>
      <c r="CX92" s="122"/>
      <c r="CY92" s="122"/>
      <c r="CZ92" s="122"/>
      <c r="DA92" s="122"/>
      <c r="DB92" s="122"/>
      <c r="DC92" s="122"/>
      <c r="DD92" s="122"/>
      <c r="DE92" s="122"/>
      <c r="DF92" s="122"/>
      <c r="DG92" s="122"/>
      <c r="DH92" s="122"/>
      <c r="DI92" s="122"/>
      <c r="DJ92" s="122"/>
      <c r="DK92" s="122"/>
      <c r="DL92" s="122"/>
      <c r="DM92" s="122"/>
      <c r="DN92" s="122"/>
      <c r="DO92" s="122"/>
      <c r="DP92" s="70"/>
      <c r="DQ92" s="70"/>
      <c r="DU92" s="68"/>
      <c r="DV92" s="68">
        <v>1177</v>
      </c>
      <c r="DW92" s="68">
        <v>1133</v>
      </c>
      <c r="DX92" s="68">
        <v>1005</v>
      </c>
      <c r="DY92" s="68">
        <v>822</v>
      </c>
      <c r="DZ92" s="68"/>
      <c r="EA92" s="68"/>
      <c r="EB92" s="68"/>
      <c r="EC92" s="68"/>
      <c r="ED92" s="68"/>
      <c r="EE92" s="68"/>
      <c r="EF92" s="44"/>
      <c r="EG92" s="44"/>
      <c r="EH92" s="44"/>
      <c r="EI92" s="44"/>
      <c r="EJ92" s="44"/>
      <c r="EK92" s="65"/>
      <c r="EP92" s="44">
        <f t="shared" si="138"/>
        <v>0</v>
      </c>
      <c r="EU92" s="44">
        <f t="shared" si="139"/>
        <v>0</v>
      </c>
      <c r="EV92" s="44">
        <f t="shared" si="130"/>
        <v>0</v>
      </c>
      <c r="EW92" s="44">
        <f t="shared" si="132"/>
        <v>0</v>
      </c>
      <c r="EX92" s="44">
        <f t="shared" si="133"/>
        <v>0</v>
      </c>
      <c r="EY92" s="44">
        <f t="shared" si="131"/>
        <v>0</v>
      </c>
    </row>
    <row r="93" spans="1:184">
      <c r="B93" s="4" t="s">
        <v>81</v>
      </c>
      <c r="C93" s="37">
        <v>0</v>
      </c>
      <c r="G93" s="37">
        <v>41</v>
      </c>
      <c r="W93" s="44"/>
      <c r="X93" s="44"/>
      <c r="Y93" s="44"/>
      <c r="Z93" s="44"/>
      <c r="AA93" s="44"/>
      <c r="AB93" s="44"/>
      <c r="AC93" s="44"/>
      <c r="AD93" s="44"/>
      <c r="AE93" s="44"/>
      <c r="AF93" s="44"/>
      <c r="AG93" s="44"/>
      <c r="AH93" s="44"/>
      <c r="AI93" s="68"/>
      <c r="AJ93" s="44"/>
      <c r="AK93" s="44"/>
      <c r="AL93" s="65"/>
      <c r="AM93" s="65"/>
      <c r="AN93" s="65"/>
      <c r="AO93" s="70"/>
      <c r="AP93" s="70"/>
      <c r="AQ93" s="65"/>
      <c r="AR93" s="65"/>
      <c r="AS93" s="65"/>
      <c r="AT93" s="65"/>
      <c r="AV93" s="69"/>
      <c r="BC93" s="69"/>
      <c r="BF93" s="69"/>
      <c r="BG93" s="70" t="s">
        <v>605</v>
      </c>
      <c r="BH93" s="70" t="s">
        <v>605</v>
      </c>
      <c r="BI93" s="70" t="s">
        <v>605</v>
      </c>
      <c r="BJ93" s="70" t="s">
        <v>605</v>
      </c>
      <c r="BK93" s="70" t="s">
        <v>605</v>
      </c>
      <c r="BL93" s="70" t="s">
        <v>605</v>
      </c>
      <c r="BM93" s="70" t="s">
        <v>605</v>
      </c>
      <c r="BN93" s="70" t="s">
        <v>605</v>
      </c>
      <c r="BO93" s="70" t="s">
        <v>605</v>
      </c>
      <c r="BP93" s="70" t="s">
        <v>605</v>
      </c>
      <c r="BQ93" s="70" t="s">
        <v>605</v>
      </c>
      <c r="BR93" s="70" t="s">
        <v>605</v>
      </c>
      <c r="BS93" s="70"/>
      <c r="BT93" s="70" t="s">
        <v>605</v>
      </c>
      <c r="BU93" s="70" t="s">
        <v>605</v>
      </c>
      <c r="BV93" s="70" t="s">
        <v>605</v>
      </c>
      <c r="BW93" s="70"/>
      <c r="BX93" s="70"/>
      <c r="BY93" s="70"/>
      <c r="BZ93" s="70"/>
      <c r="CA93" s="70"/>
      <c r="CB93" s="70"/>
      <c r="CC93" s="70"/>
      <c r="CD93" s="70"/>
      <c r="CE93" s="70"/>
      <c r="CF93" s="70"/>
      <c r="CG93" s="70"/>
      <c r="CH93" s="70"/>
      <c r="CI93" s="70"/>
      <c r="CJ93" s="70"/>
      <c r="CK93" s="70"/>
      <c r="CL93" s="70"/>
      <c r="CM93" s="70"/>
      <c r="CN93" s="122"/>
      <c r="CO93" s="122"/>
      <c r="CP93" s="122"/>
      <c r="CQ93" s="122"/>
      <c r="CR93" s="122"/>
      <c r="CS93" s="122"/>
      <c r="CT93" s="122"/>
      <c r="CU93" s="122"/>
      <c r="CV93" s="122"/>
      <c r="CW93" s="122"/>
      <c r="CX93" s="122"/>
      <c r="CY93" s="122"/>
      <c r="CZ93" s="122"/>
      <c r="DA93" s="122"/>
      <c r="DB93" s="122"/>
      <c r="DC93" s="122"/>
      <c r="DD93" s="122"/>
      <c r="DE93" s="122"/>
      <c r="DF93" s="122"/>
      <c r="DG93" s="122"/>
      <c r="DH93" s="122"/>
      <c r="DI93" s="122"/>
      <c r="DJ93" s="122"/>
      <c r="DK93" s="122"/>
      <c r="DL93" s="122"/>
      <c r="DM93" s="122"/>
      <c r="DN93" s="122"/>
      <c r="DO93" s="122"/>
      <c r="DP93" s="70"/>
      <c r="DQ93" s="70"/>
      <c r="DU93" s="68"/>
      <c r="DV93" s="68"/>
      <c r="DW93" s="68"/>
      <c r="DX93" s="68"/>
      <c r="DY93" s="68"/>
      <c r="DZ93" s="68"/>
      <c r="EA93" s="68"/>
      <c r="EB93" s="68"/>
      <c r="EC93" s="68"/>
      <c r="ED93" s="68"/>
      <c r="EE93" s="68"/>
      <c r="EF93" s="44"/>
      <c r="EG93" s="44"/>
      <c r="EH93" s="44"/>
      <c r="EI93" s="44"/>
      <c r="EJ93" s="44"/>
      <c r="EK93" s="65"/>
      <c r="EP93" s="44">
        <f t="shared" si="138"/>
        <v>0</v>
      </c>
      <c r="EU93" s="44">
        <f t="shared" si="139"/>
        <v>0</v>
      </c>
      <c r="EV93" s="44">
        <f t="shared" si="130"/>
        <v>0</v>
      </c>
      <c r="EW93" s="44">
        <f t="shared" si="132"/>
        <v>0</v>
      </c>
      <c r="EX93" s="44">
        <f t="shared" si="133"/>
        <v>0</v>
      </c>
      <c r="EY93" s="44">
        <f t="shared" si="131"/>
        <v>0</v>
      </c>
    </row>
    <row r="94" spans="1:184" collapsed="1">
      <c r="B94" s="4" t="s">
        <v>756</v>
      </c>
      <c r="C94" s="68"/>
      <c r="D94" s="68"/>
      <c r="E94" s="68"/>
      <c r="F94" s="68"/>
      <c r="G94" s="68" t="s">
        <v>605</v>
      </c>
      <c r="H94" s="68" t="s">
        <v>605</v>
      </c>
      <c r="I94" s="68" t="s">
        <v>605</v>
      </c>
      <c r="J94" s="68" t="s">
        <v>605</v>
      </c>
      <c r="K94" s="68" t="s">
        <v>605</v>
      </c>
      <c r="L94" s="68" t="s">
        <v>605</v>
      </c>
      <c r="M94" s="68" t="s">
        <v>605</v>
      </c>
      <c r="N94" s="68" t="s">
        <v>605</v>
      </c>
      <c r="O94" s="68" t="s">
        <v>605</v>
      </c>
      <c r="P94" s="68" t="s">
        <v>605</v>
      </c>
      <c r="Q94" s="68" t="s">
        <v>605</v>
      </c>
      <c r="R94" s="68" t="s">
        <v>605</v>
      </c>
      <c r="S94" s="68" t="s">
        <v>605</v>
      </c>
      <c r="T94" s="68" t="s">
        <v>605</v>
      </c>
      <c r="U94" s="68" t="s">
        <v>605</v>
      </c>
      <c r="V94" s="68" t="s">
        <v>605</v>
      </c>
      <c r="W94" s="44">
        <v>91</v>
      </c>
      <c r="X94" s="44">
        <v>193</v>
      </c>
      <c r="Y94" s="44">
        <v>153</v>
      </c>
      <c r="Z94" s="44">
        <v>137</v>
      </c>
      <c r="AA94" s="44">
        <v>117</v>
      </c>
      <c r="AB94" s="44">
        <f>107+4</f>
        <v>111</v>
      </c>
      <c r="AC94" s="44">
        <f>93+12</f>
        <v>105</v>
      </c>
      <c r="AD94" s="44">
        <f>69+14</f>
        <v>83</v>
      </c>
      <c r="AE94" s="44">
        <f>81+10</f>
        <v>91</v>
      </c>
      <c r="AF94" s="44">
        <f>133+14</f>
        <v>147</v>
      </c>
      <c r="AG94" s="44">
        <f>112+14</f>
        <v>126</v>
      </c>
      <c r="AH94" s="44">
        <f>123+66</f>
        <v>189</v>
      </c>
      <c r="AI94" s="68">
        <f>104+108</f>
        <v>212</v>
      </c>
      <c r="AJ94" s="44">
        <f>123+110</f>
        <v>233</v>
      </c>
      <c r="AK94" s="44">
        <f>119+110</f>
        <v>229</v>
      </c>
      <c r="AL94" s="65">
        <v>237</v>
      </c>
      <c r="AM94" s="65">
        <v>212</v>
      </c>
      <c r="AN94" s="65">
        <v>238</v>
      </c>
      <c r="AO94" s="65">
        <v>218</v>
      </c>
      <c r="AP94" s="103">
        <v>235</v>
      </c>
      <c r="AQ94" s="65">
        <v>229</v>
      </c>
      <c r="AR94" s="65">
        <v>241</v>
      </c>
      <c r="AS94" s="65">
        <v>243</v>
      </c>
      <c r="AT94" s="65">
        <v>256</v>
      </c>
      <c r="AU94" s="44">
        <f>83+109</f>
        <v>192</v>
      </c>
      <c r="AV94" s="65">
        <f>5+132</f>
        <v>137</v>
      </c>
      <c r="AW94" s="44">
        <v>122</v>
      </c>
      <c r="AX94" s="65">
        <v>112</v>
      </c>
      <c r="AY94" s="65">
        <v>109</v>
      </c>
      <c r="AZ94" s="44">
        <v>85</v>
      </c>
      <c r="BA94" s="44">
        <v>82</v>
      </c>
      <c r="BB94" s="68" t="s">
        <v>605</v>
      </c>
      <c r="BC94" s="70" t="s">
        <v>605</v>
      </c>
      <c r="BD94" s="68" t="s">
        <v>605</v>
      </c>
      <c r="BE94" s="68" t="s">
        <v>605</v>
      </c>
      <c r="BF94" s="70" t="s">
        <v>605</v>
      </c>
      <c r="BG94" s="70" t="s">
        <v>605</v>
      </c>
      <c r="BH94" s="70" t="s">
        <v>605</v>
      </c>
      <c r="BI94" s="70" t="s">
        <v>605</v>
      </c>
      <c r="BJ94" s="70" t="s">
        <v>605</v>
      </c>
      <c r="BK94" s="70" t="s">
        <v>605</v>
      </c>
      <c r="BL94" s="70" t="s">
        <v>605</v>
      </c>
      <c r="BM94" s="70" t="s">
        <v>605</v>
      </c>
      <c r="BN94" s="70" t="s">
        <v>605</v>
      </c>
      <c r="BO94" s="70" t="s">
        <v>605</v>
      </c>
      <c r="BP94" s="68" t="s">
        <v>605</v>
      </c>
      <c r="BQ94" s="68" t="s">
        <v>605</v>
      </c>
      <c r="BR94" s="68" t="s">
        <v>605</v>
      </c>
      <c r="BS94" s="68"/>
      <c r="BT94" s="68" t="s">
        <v>605</v>
      </c>
      <c r="BU94" s="68" t="s">
        <v>605</v>
      </c>
      <c r="BV94" s="68" t="s">
        <v>605</v>
      </c>
      <c r="BW94" s="68"/>
      <c r="BX94" s="68"/>
      <c r="BY94" s="68"/>
      <c r="BZ94" s="68"/>
      <c r="CA94" s="68"/>
      <c r="CB94" s="68"/>
      <c r="CC94" s="68"/>
      <c r="CD94" s="68"/>
      <c r="CE94" s="68"/>
      <c r="CF94" s="68"/>
      <c r="CG94" s="68"/>
      <c r="CH94" s="68"/>
      <c r="CI94" s="68"/>
      <c r="CJ94" s="68"/>
      <c r="CK94" s="68"/>
      <c r="CL94" s="68"/>
      <c r="CM94" s="68"/>
      <c r="CN94" s="122"/>
      <c r="CO94" s="122"/>
      <c r="CP94" s="122"/>
      <c r="CQ94" s="122"/>
      <c r="CR94" s="122"/>
      <c r="CS94" s="122"/>
      <c r="CT94" s="122"/>
      <c r="CU94" s="122"/>
      <c r="CV94" s="122"/>
      <c r="CW94" s="122"/>
      <c r="CX94" s="122"/>
      <c r="CY94" s="122"/>
      <c r="CZ94" s="122"/>
      <c r="DA94" s="122"/>
      <c r="DB94" s="122"/>
      <c r="DC94" s="122"/>
      <c r="DD94" s="122"/>
      <c r="DE94" s="122"/>
      <c r="DF94" s="122"/>
      <c r="DG94" s="122"/>
      <c r="DH94" s="122"/>
      <c r="DI94" s="122"/>
      <c r="DJ94" s="122"/>
      <c r="DK94" s="122"/>
      <c r="DL94" s="122"/>
      <c r="DM94" s="122"/>
      <c r="DN94" s="122"/>
      <c r="DO94" s="122"/>
      <c r="DP94" s="68"/>
      <c r="DQ94" s="68"/>
      <c r="DU94" s="68"/>
      <c r="DV94" s="68" t="s">
        <v>605</v>
      </c>
      <c r="DW94" s="68" t="s">
        <v>605</v>
      </c>
      <c r="DX94" s="68" t="s">
        <v>605</v>
      </c>
      <c r="DY94" s="68" t="s">
        <v>605</v>
      </c>
      <c r="DZ94" s="68" t="s">
        <v>605</v>
      </c>
      <c r="EA94" s="68" t="s">
        <v>605</v>
      </c>
      <c r="EB94" s="68" t="s">
        <v>605</v>
      </c>
      <c r="EC94" s="68" t="s">
        <v>605</v>
      </c>
      <c r="ED94" s="68">
        <f>SUM(W94:Z94)</f>
        <v>574</v>
      </c>
      <c r="EE94" s="44">
        <f>SUM(AA94:AD94)</f>
        <v>416</v>
      </c>
      <c r="EF94" s="44">
        <f>SUM(AE94:AH94)</f>
        <v>553</v>
      </c>
      <c r="EG94" s="44">
        <v>910</v>
      </c>
      <c r="EH94" s="44">
        <v>903</v>
      </c>
      <c r="EI94" s="44">
        <f>SUM(AQ94:AT94)</f>
        <v>969</v>
      </c>
      <c r="EJ94" s="44">
        <f>SUM(AU94:AX94)</f>
        <v>563</v>
      </c>
      <c r="EK94" s="65">
        <f>SUM(AY94:BB94)</f>
        <v>276</v>
      </c>
      <c r="EP94" s="44">
        <f t="shared" si="138"/>
        <v>0</v>
      </c>
      <c r="EU94" s="44">
        <f t="shared" si="139"/>
        <v>0</v>
      </c>
      <c r="EV94" s="44">
        <f t="shared" si="130"/>
        <v>0</v>
      </c>
      <c r="EW94" s="44">
        <f t="shared" si="132"/>
        <v>0</v>
      </c>
      <c r="EX94" s="44">
        <f t="shared" si="133"/>
        <v>0</v>
      </c>
      <c r="EY94" s="44">
        <f t="shared" si="131"/>
        <v>0</v>
      </c>
      <c r="FS94" s="82">
        <v>0</v>
      </c>
      <c r="FU94" s="19"/>
    </row>
    <row r="95" spans="1:184">
      <c r="B95" s="4" t="s">
        <v>757</v>
      </c>
      <c r="C95" s="37">
        <v>0</v>
      </c>
      <c r="G95" s="37">
        <v>82</v>
      </c>
      <c r="W95" s="44"/>
      <c r="X95" s="44"/>
      <c r="Y95" s="44"/>
      <c r="Z95" s="44"/>
      <c r="AA95" s="44"/>
      <c r="AB95" s="44"/>
      <c r="AC95" s="44"/>
      <c r="AD95" s="44"/>
      <c r="AE95" s="44"/>
      <c r="AF95" s="44"/>
      <c r="AG95" s="44"/>
      <c r="AH95" s="44"/>
      <c r="AI95" s="68">
        <v>342</v>
      </c>
      <c r="AJ95" s="44"/>
      <c r="AK95" s="44"/>
      <c r="AL95" s="65"/>
      <c r="AM95" s="65"/>
      <c r="AN95" s="65"/>
      <c r="AO95" s="70"/>
      <c r="AP95" s="70"/>
      <c r="AQ95" s="65"/>
      <c r="AR95" s="65"/>
      <c r="AS95" s="65"/>
      <c r="AT95" s="65"/>
      <c r="AV95" s="69"/>
      <c r="BC95" s="69"/>
      <c r="BF95" s="69"/>
      <c r="BG95" s="70" t="s">
        <v>605</v>
      </c>
      <c r="BH95" s="70" t="s">
        <v>605</v>
      </c>
      <c r="BI95" s="70" t="s">
        <v>605</v>
      </c>
      <c r="BJ95" s="70" t="s">
        <v>605</v>
      </c>
      <c r="BK95" s="70" t="s">
        <v>605</v>
      </c>
      <c r="BL95" s="70" t="s">
        <v>605</v>
      </c>
      <c r="BM95" s="70" t="s">
        <v>605</v>
      </c>
      <c r="BN95" s="70" t="s">
        <v>605</v>
      </c>
      <c r="BO95" s="70" t="s">
        <v>605</v>
      </c>
      <c r="BP95" s="70" t="s">
        <v>605</v>
      </c>
      <c r="BQ95" s="70" t="s">
        <v>605</v>
      </c>
      <c r="BR95" s="70" t="s">
        <v>605</v>
      </c>
      <c r="BS95" s="70"/>
      <c r="BT95" s="70" t="s">
        <v>605</v>
      </c>
      <c r="BU95" s="70" t="s">
        <v>605</v>
      </c>
      <c r="BV95" s="70" t="s">
        <v>605</v>
      </c>
      <c r="BW95" s="70"/>
      <c r="BX95" s="70"/>
      <c r="BY95" s="70"/>
      <c r="BZ95" s="70"/>
      <c r="CA95" s="70"/>
      <c r="CB95" s="70"/>
      <c r="CC95" s="70"/>
      <c r="CD95" s="70"/>
      <c r="CE95" s="70"/>
      <c r="CF95" s="70"/>
      <c r="CG95" s="70"/>
      <c r="CH95" s="70"/>
      <c r="CI95" s="70"/>
      <c r="CJ95" s="70"/>
      <c r="CK95" s="70"/>
      <c r="CL95" s="70"/>
      <c r="CM95" s="70"/>
      <c r="CN95" s="122"/>
      <c r="CO95" s="122"/>
      <c r="CP95" s="122"/>
      <c r="CQ95" s="122"/>
      <c r="CR95" s="122"/>
      <c r="CS95" s="122"/>
      <c r="CT95" s="122"/>
      <c r="CU95" s="122"/>
      <c r="CV95" s="122"/>
      <c r="CW95" s="122"/>
      <c r="CX95" s="122"/>
      <c r="CY95" s="122"/>
      <c r="CZ95" s="122"/>
      <c r="DA95" s="122"/>
      <c r="DB95" s="122"/>
      <c r="DC95" s="122"/>
      <c r="DD95" s="122"/>
      <c r="DE95" s="122"/>
      <c r="DF95" s="122"/>
      <c r="DG95" s="122"/>
      <c r="DH95" s="122"/>
      <c r="DI95" s="122"/>
      <c r="DJ95" s="122"/>
      <c r="DK95" s="122"/>
      <c r="DL95" s="122"/>
      <c r="DM95" s="122"/>
      <c r="DN95" s="122"/>
      <c r="DO95" s="122"/>
      <c r="DP95" s="70"/>
      <c r="DQ95" s="70"/>
      <c r="DU95" s="68"/>
      <c r="DV95" s="68">
        <v>11</v>
      </c>
      <c r="DW95" s="68">
        <v>10</v>
      </c>
      <c r="DX95" s="68">
        <v>146</v>
      </c>
      <c r="DY95" s="68">
        <v>265</v>
      </c>
      <c r="DZ95" s="68"/>
      <c r="EA95" s="68"/>
      <c r="EB95" s="68"/>
      <c r="EC95" s="68"/>
      <c r="ED95" s="68"/>
      <c r="EE95" s="68"/>
      <c r="EF95" s="44"/>
      <c r="EG95" s="44"/>
      <c r="EH95" s="44"/>
      <c r="EI95" s="44"/>
      <c r="EJ95" s="44"/>
      <c r="EK95" s="65"/>
      <c r="EP95" s="44">
        <f t="shared" si="138"/>
        <v>0</v>
      </c>
      <c r="EU95" s="44">
        <f t="shared" si="139"/>
        <v>0</v>
      </c>
      <c r="EV95" s="44">
        <f t="shared" si="130"/>
        <v>0</v>
      </c>
      <c r="EW95" s="44">
        <f t="shared" si="132"/>
        <v>0</v>
      </c>
      <c r="EX95" s="44">
        <f t="shared" si="133"/>
        <v>0</v>
      </c>
      <c r="EY95" s="44">
        <f t="shared" si="131"/>
        <v>0</v>
      </c>
    </row>
    <row r="96" spans="1:184" collapsed="1">
      <c r="B96" s="4" t="s">
        <v>758</v>
      </c>
      <c r="C96" s="62"/>
      <c r="D96" s="62"/>
      <c r="E96" s="62"/>
      <c r="F96" s="62"/>
      <c r="G96" s="62" t="s">
        <v>605</v>
      </c>
      <c r="H96" s="62" t="s">
        <v>605</v>
      </c>
      <c r="I96" s="62" t="s">
        <v>605</v>
      </c>
      <c r="J96" s="62" t="s">
        <v>605</v>
      </c>
      <c r="K96" s="62" t="s">
        <v>605</v>
      </c>
      <c r="L96" s="62" t="s">
        <v>605</v>
      </c>
      <c r="M96" s="62" t="s">
        <v>605</v>
      </c>
      <c r="N96" s="62" t="s">
        <v>605</v>
      </c>
      <c r="O96" s="62" t="s">
        <v>605</v>
      </c>
      <c r="P96" s="62" t="s">
        <v>605</v>
      </c>
      <c r="Q96" s="62" t="s">
        <v>605</v>
      </c>
      <c r="R96" s="62" t="s">
        <v>605</v>
      </c>
      <c r="S96" s="62" t="s">
        <v>605</v>
      </c>
      <c r="T96" s="62" t="s">
        <v>605</v>
      </c>
      <c r="U96" s="62" t="s">
        <v>605</v>
      </c>
      <c r="V96" s="62" t="s">
        <v>605</v>
      </c>
      <c r="W96" s="62" t="s">
        <v>605</v>
      </c>
      <c r="X96" s="62" t="s">
        <v>605</v>
      </c>
      <c r="Y96" s="62" t="s">
        <v>605</v>
      </c>
      <c r="Z96" s="62" t="s">
        <v>605</v>
      </c>
      <c r="AA96" s="62" t="s">
        <v>605</v>
      </c>
      <c r="AB96" s="37">
        <f>13+27</f>
        <v>40</v>
      </c>
      <c r="AC96" s="37">
        <f>17+64</f>
        <v>81</v>
      </c>
      <c r="AD96" s="37">
        <f>26+68</f>
        <v>94</v>
      </c>
      <c r="AE96" s="44">
        <f>17+63</f>
        <v>80</v>
      </c>
      <c r="AF96" s="44">
        <f>17+71</f>
        <v>88</v>
      </c>
      <c r="AG96" s="44">
        <f>15+71</f>
        <v>86</v>
      </c>
      <c r="AH96" s="44">
        <f>18+72</f>
        <v>90</v>
      </c>
      <c r="AI96" s="68">
        <f>18+72</f>
        <v>90</v>
      </c>
      <c r="AJ96" s="37">
        <f>20+76</f>
        <v>96</v>
      </c>
      <c r="AK96" s="37">
        <f>18+68</f>
        <v>86</v>
      </c>
      <c r="AL96" s="65">
        <v>94</v>
      </c>
      <c r="AM96" s="65">
        <v>73</v>
      </c>
      <c r="AN96" s="69">
        <v>86</v>
      </c>
      <c r="AO96" s="69">
        <v>77</v>
      </c>
      <c r="AP96" s="103">
        <v>76</v>
      </c>
      <c r="AQ96" s="65"/>
      <c r="AR96" s="65"/>
      <c r="AS96" s="65"/>
      <c r="AT96" s="65"/>
      <c r="AU96" s="44"/>
      <c r="AV96" s="65"/>
      <c r="AW96" s="44"/>
      <c r="AX96" s="44"/>
      <c r="AY96" s="44"/>
      <c r="AZ96" s="44"/>
      <c r="BA96" s="44"/>
      <c r="BB96" s="44"/>
      <c r="BC96" s="65"/>
      <c r="BD96" s="44"/>
      <c r="BE96" s="44"/>
      <c r="BF96" s="65"/>
      <c r="BG96" s="70" t="s">
        <v>605</v>
      </c>
      <c r="BH96" s="70" t="s">
        <v>605</v>
      </c>
      <c r="BI96" s="70" t="s">
        <v>605</v>
      </c>
      <c r="BJ96" s="70" t="s">
        <v>605</v>
      </c>
      <c r="BK96" s="70" t="s">
        <v>605</v>
      </c>
      <c r="BL96" s="70" t="s">
        <v>605</v>
      </c>
      <c r="BM96" s="70" t="s">
        <v>605</v>
      </c>
      <c r="BN96" s="70" t="s">
        <v>605</v>
      </c>
      <c r="BO96" s="70" t="s">
        <v>605</v>
      </c>
      <c r="BP96" s="70" t="s">
        <v>605</v>
      </c>
      <c r="BQ96" s="70" t="s">
        <v>605</v>
      </c>
      <c r="BR96" s="70" t="s">
        <v>605</v>
      </c>
      <c r="BS96" s="70"/>
      <c r="BT96" s="70" t="s">
        <v>605</v>
      </c>
      <c r="BU96" s="70" t="s">
        <v>605</v>
      </c>
      <c r="BV96" s="70" t="s">
        <v>605</v>
      </c>
      <c r="BW96" s="70"/>
      <c r="BX96" s="70"/>
      <c r="BY96" s="70"/>
      <c r="BZ96" s="70"/>
      <c r="CA96" s="70"/>
      <c r="CB96" s="70"/>
      <c r="CC96" s="70"/>
      <c r="CD96" s="70"/>
      <c r="CE96" s="70"/>
      <c r="CF96" s="70"/>
      <c r="CG96" s="70"/>
      <c r="CH96" s="70"/>
      <c r="CI96" s="70"/>
      <c r="CJ96" s="70"/>
      <c r="CK96" s="70"/>
      <c r="CL96" s="70"/>
      <c r="CM96" s="70"/>
      <c r="CN96" s="122"/>
      <c r="CO96" s="122"/>
      <c r="CP96" s="122"/>
      <c r="CQ96" s="122"/>
      <c r="CR96" s="122"/>
      <c r="CS96" s="122"/>
      <c r="CT96" s="122"/>
      <c r="CU96" s="122"/>
      <c r="CV96" s="122"/>
      <c r="CW96" s="122"/>
      <c r="CX96" s="122"/>
      <c r="CY96" s="122"/>
      <c r="CZ96" s="122"/>
      <c r="DA96" s="122"/>
      <c r="DB96" s="122"/>
      <c r="DC96" s="122"/>
      <c r="DD96" s="122"/>
      <c r="DE96" s="122"/>
      <c r="DF96" s="122"/>
      <c r="DG96" s="122"/>
      <c r="DH96" s="122"/>
      <c r="DI96" s="122"/>
      <c r="DJ96" s="122"/>
      <c r="DK96" s="122"/>
      <c r="DL96" s="122"/>
      <c r="DM96" s="122"/>
      <c r="DN96" s="122"/>
      <c r="DO96" s="122"/>
      <c r="DP96" s="70"/>
      <c r="DQ96" s="70"/>
      <c r="DU96" s="68"/>
      <c r="DV96" s="68" t="s">
        <v>605</v>
      </c>
      <c r="DW96" s="68" t="s">
        <v>605</v>
      </c>
      <c r="DX96" s="68" t="s">
        <v>605</v>
      </c>
      <c r="DY96" s="68" t="s">
        <v>605</v>
      </c>
      <c r="DZ96" s="68" t="s">
        <v>605</v>
      </c>
      <c r="EA96" s="68" t="s">
        <v>605</v>
      </c>
      <c r="EB96" s="68" t="s">
        <v>605</v>
      </c>
      <c r="EC96" s="68" t="s">
        <v>605</v>
      </c>
      <c r="ED96" s="68" t="s">
        <v>605</v>
      </c>
      <c r="EE96" s="68">
        <f>SUM(AA96:AD96)</f>
        <v>215</v>
      </c>
      <c r="EF96" s="68">
        <f>SUM(AE96:AH96)</f>
        <v>344</v>
      </c>
      <c r="EG96" s="44">
        <v>367</v>
      </c>
      <c r="EH96" s="44">
        <v>312</v>
      </c>
      <c r="EI96" s="44"/>
      <c r="EJ96" s="44"/>
      <c r="EK96" s="65">
        <f>SUM(AY96:BB96)</f>
        <v>0</v>
      </c>
      <c r="EP96" s="44">
        <f t="shared" si="138"/>
        <v>0</v>
      </c>
      <c r="EU96" s="44">
        <f t="shared" si="139"/>
        <v>0</v>
      </c>
      <c r="EV96" s="44">
        <f t="shared" si="130"/>
        <v>0</v>
      </c>
      <c r="EW96" s="44">
        <f t="shared" si="132"/>
        <v>0</v>
      </c>
      <c r="EX96" s="44">
        <f t="shared" si="133"/>
        <v>0</v>
      </c>
      <c r="EY96" s="44">
        <f t="shared" si="131"/>
        <v>0</v>
      </c>
    </row>
    <row r="97" spans="2:177" s="9" customFormat="1">
      <c r="B97" s="14" t="s">
        <v>759</v>
      </c>
      <c r="C97" s="62"/>
      <c r="D97" s="62"/>
      <c r="E97" s="62"/>
      <c r="F97" s="62"/>
      <c r="G97" s="62"/>
      <c r="H97" s="62"/>
      <c r="I97" s="62"/>
      <c r="J97" s="62"/>
      <c r="K97" s="62"/>
      <c r="L97" s="62"/>
      <c r="M97" s="62"/>
      <c r="N97" s="62"/>
      <c r="O97" s="62"/>
      <c r="P97" s="62"/>
      <c r="Q97" s="62"/>
      <c r="R97" s="62"/>
      <c r="S97" s="62"/>
      <c r="T97" s="62"/>
      <c r="U97" s="62"/>
      <c r="V97" s="62"/>
      <c r="W97" s="62"/>
      <c r="X97" s="62"/>
      <c r="Y97" s="62"/>
      <c r="Z97" s="62"/>
      <c r="AA97" s="62"/>
      <c r="AB97" s="62"/>
      <c r="AC97" s="62"/>
      <c r="AD97" s="62"/>
      <c r="AE97" s="68">
        <v>50</v>
      </c>
      <c r="AF97" s="68">
        <v>50</v>
      </c>
      <c r="AG97" s="68">
        <v>50</v>
      </c>
      <c r="AH97" s="68">
        <f>5077-3264-1253-168-15-165</f>
        <v>212</v>
      </c>
      <c r="AI97" s="74">
        <f>4726-3075-1175-153-31-100</f>
        <v>192</v>
      </c>
      <c r="AJ97" s="47"/>
      <c r="AK97" s="47"/>
      <c r="AL97" s="47"/>
      <c r="AM97" s="66"/>
      <c r="AN97" s="62"/>
      <c r="AO97" s="68"/>
      <c r="AP97" s="62"/>
      <c r="AQ97" s="68"/>
      <c r="AR97" s="68"/>
      <c r="AS97" s="68"/>
      <c r="AT97" s="68"/>
      <c r="AU97" s="68"/>
      <c r="AV97" s="70"/>
      <c r="AW97" s="68"/>
      <c r="AX97" s="68"/>
      <c r="AY97" s="68"/>
      <c r="AZ97" s="68"/>
      <c r="BA97" s="68"/>
      <c r="BB97" s="44"/>
      <c r="BC97" s="65"/>
      <c r="BD97" s="44"/>
      <c r="BE97" s="44"/>
      <c r="BF97" s="65"/>
      <c r="BG97" s="44"/>
      <c r="BH97" s="65"/>
      <c r="BI97" s="44"/>
      <c r="BJ97" s="65"/>
      <c r="BK97" s="65"/>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115"/>
      <c r="CO97" s="115"/>
      <c r="CP97" s="115"/>
      <c r="CQ97" s="115"/>
      <c r="CR97" s="115"/>
      <c r="CS97" s="115"/>
      <c r="CT97" s="115"/>
      <c r="CU97" s="115"/>
      <c r="CV97" s="115"/>
      <c r="CW97" s="115"/>
      <c r="CX97" s="115"/>
      <c r="CY97" s="115"/>
      <c r="CZ97" s="115"/>
      <c r="DA97" s="115"/>
      <c r="DB97" s="115"/>
      <c r="DC97" s="115"/>
      <c r="DD97" s="115"/>
      <c r="DE97" s="115"/>
      <c r="DF97" s="115"/>
      <c r="DG97" s="115"/>
      <c r="DH97" s="115"/>
      <c r="DI97" s="115"/>
      <c r="DJ97" s="115"/>
      <c r="DK97" s="115"/>
      <c r="DL97" s="115"/>
      <c r="DM97" s="115"/>
      <c r="DN97" s="115"/>
      <c r="DO97" s="115"/>
      <c r="DP97" s="44"/>
      <c r="DQ97" s="44"/>
      <c r="DR97" s="14"/>
      <c r="DS97" s="14"/>
      <c r="DT97" s="14"/>
      <c r="DU97" s="68"/>
      <c r="DV97" s="68"/>
      <c r="DW97" s="68"/>
      <c r="DX97" s="68"/>
      <c r="DY97" s="68"/>
      <c r="DZ97" s="68"/>
      <c r="EA97" s="68"/>
      <c r="EB97" s="68"/>
      <c r="EC97" s="68"/>
      <c r="ED97" s="68"/>
      <c r="EE97" s="68">
        <v>979</v>
      </c>
      <c r="EF97" s="68">
        <v>744</v>
      </c>
      <c r="EG97" s="68">
        <v>774</v>
      </c>
      <c r="EH97" s="68">
        <v>844</v>
      </c>
      <c r="EI97" s="68">
        <f>EH97*0.9</f>
        <v>759.6</v>
      </c>
      <c r="EJ97" s="44">
        <f>SUM(AR97:AU97)</f>
        <v>0</v>
      </c>
      <c r="EK97" s="70"/>
      <c r="EL97" s="68"/>
      <c r="EM97" s="68"/>
      <c r="EN97" s="68"/>
      <c r="EO97" s="68"/>
      <c r="EP97" s="68"/>
      <c r="EQ97" s="68"/>
      <c r="ER97" s="68"/>
      <c r="ES97" s="68"/>
      <c r="ET97" s="68"/>
      <c r="EU97" s="44">
        <f t="shared" si="139"/>
        <v>0</v>
      </c>
      <c r="EV97" s="44">
        <f t="shared" si="130"/>
        <v>0</v>
      </c>
      <c r="EW97" s="44">
        <f t="shared" si="132"/>
        <v>0</v>
      </c>
      <c r="EX97" s="44">
        <f t="shared" si="133"/>
        <v>0</v>
      </c>
      <c r="EY97" s="44">
        <f t="shared" si="131"/>
        <v>0</v>
      </c>
      <c r="EZ97" s="68"/>
      <c r="FA97" s="68"/>
      <c r="FB97" s="68"/>
      <c r="FC97" s="68"/>
      <c r="FD97" s="68"/>
      <c r="FE97" s="68"/>
      <c r="FF97" s="68"/>
      <c r="FG97" s="68"/>
      <c r="FH97" s="68"/>
      <c r="FI97" s="68"/>
      <c r="FJ97" s="68"/>
      <c r="FK97" s="68"/>
      <c r="FL97" s="68"/>
      <c r="FM97" s="68"/>
      <c r="FN97" s="68"/>
      <c r="FO97" s="68"/>
      <c r="FP97" s="68"/>
      <c r="FQ97" s="83"/>
      <c r="FR97" s="68"/>
      <c r="FS97" s="84"/>
      <c r="FT97" s="68"/>
      <c r="FU97" s="14"/>
    </row>
    <row r="98" spans="2:177" s="9" customFormat="1">
      <c r="B98" s="14" t="s">
        <v>1375</v>
      </c>
      <c r="C98" s="62"/>
      <c r="D98" s="62"/>
      <c r="E98" s="62"/>
      <c r="F98" s="62"/>
      <c r="G98" s="62"/>
      <c r="H98" s="62"/>
      <c r="I98" s="62"/>
      <c r="J98" s="62"/>
      <c r="K98" s="62"/>
      <c r="L98" s="62"/>
      <c r="M98" s="62"/>
      <c r="N98" s="62"/>
      <c r="O98" s="62"/>
      <c r="P98" s="62"/>
      <c r="Q98" s="62"/>
      <c r="R98" s="62"/>
      <c r="S98" s="62"/>
      <c r="T98" s="62"/>
      <c r="U98" s="62"/>
      <c r="V98" s="62"/>
      <c r="W98" s="62"/>
      <c r="X98" s="62"/>
      <c r="Y98" s="62"/>
      <c r="Z98" s="62"/>
      <c r="AA98" s="62"/>
      <c r="AB98" s="62"/>
      <c r="AC98" s="62"/>
      <c r="AD98" s="62"/>
      <c r="AE98" s="68"/>
      <c r="AF98" s="68"/>
      <c r="AG98" s="68"/>
      <c r="AH98" s="68"/>
      <c r="AI98" s="74"/>
      <c r="AJ98" s="47"/>
      <c r="AK98" s="47"/>
      <c r="AL98" s="47"/>
      <c r="AM98" s="66"/>
      <c r="AN98" s="62"/>
      <c r="AO98" s="68"/>
      <c r="AP98" s="62"/>
      <c r="AQ98" s="68"/>
      <c r="AR98" s="68"/>
      <c r="AS98" s="68"/>
      <c r="AT98" s="68"/>
      <c r="AU98" s="68"/>
      <c r="AV98" s="70"/>
      <c r="AW98" s="68"/>
      <c r="AX98" s="68"/>
      <c r="AY98" s="68"/>
      <c r="AZ98" s="68"/>
      <c r="BA98" s="68"/>
      <c r="BB98" s="44"/>
      <c r="BC98" s="65"/>
      <c r="BD98" s="44"/>
      <c r="BE98" s="44"/>
      <c r="BF98" s="65"/>
      <c r="BG98" s="44"/>
      <c r="BH98" s="65"/>
      <c r="BI98" s="44"/>
      <c r="BJ98" s="65"/>
      <c r="BK98" s="65"/>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v>38</v>
      </c>
      <c r="CL98" s="44">
        <v>47</v>
      </c>
      <c r="CM98" s="44">
        <v>31</v>
      </c>
      <c r="CN98" s="115">
        <v>35</v>
      </c>
      <c r="CO98" s="115">
        <v>28</v>
      </c>
      <c r="CP98" s="115">
        <v>35</v>
      </c>
      <c r="CQ98" s="115">
        <v>31</v>
      </c>
      <c r="CR98" s="115">
        <v>31</v>
      </c>
      <c r="CS98" s="115">
        <v>27</v>
      </c>
      <c r="CT98" s="115">
        <v>31</v>
      </c>
      <c r="CU98" s="115">
        <v>26</v>
      </c>
      <c r="CV98" s="115">
        <v>29</v>
      </c>
      <c r="CW98" s="115">
        <v>30</v>
      </c>
      <c r="CX98" s="115">
        <v>31</v>
      </c>
      <c r="CY98" s="115">
        <v>25</v>
      </c>
      <c r="CZ98" s="115">
        <v>25</v>
      </c>
      <c r="DA98" s="115"/>
      <c r="DB98" s="115"/>
      <c r="DC98" s="115"/>
      <c r="DD98" s="115"/>
      <c r="DE98" s="115"/>
      <c r="DF98" s="115"/>
      <c r="DG98" s="115"/>
      <c r="DH98" s="115"/>
      <c r="DI98" s="115"/>
      <c r="DJ98" s="115"/>
      <c r="DK98" s="115"/>
      <c r="DL98" s="115"/>
      <c r="DM98" s="115"/>
      <c r="DN98" s="115"/>
      <c r="DO98" s="115"/>
      <c r="DP98" s="44"/>
      <c r="DQ98" s="44"/>
      <c r="DR98" s="14"/>
      <c r="DS98" s="14"/>
      <c r="DT98" s="14"/>
      <c r="DU98" s="68"/>
      <c r="DV98" s="68"/>
      <c r="DW98" s="68"/>
      <c r="DX98" s="68"/>
      <c r="DY98" s="68"/>
      <c r="DZ98" s="68"/>
      <c r="EA98" s="68"/>
      <c r="EB98" s="68"/>
      <c r="EC98" s="68"/>
      <c r="ED98" s="68"/>
      <c r="EE98" s="68"/>
      <c r="EF98" s="68"/>
      <c r="EG98" s="68"/>
      <c r="EH98" s="68"/>
      <c r="EI98" s="68"/>
      <c r="EJ98" s="44"/>
      <c r="EK98" s="70"/>
      <c r="EL98" s="68"/>
      <c r="EM98" s="68"/>
      <c r="EN98" s="68"/>
      <c r="EO98" s="68"/>
      <c r="EP98" s="68"/>
      <c r="EQ98" s="68"/>
      <c r="ER98" s="68"/>
      <c r="ES98" s="68"/>
      <c r="ET98" s="68"/>
      <c r="EU98" s="44">
        <f t="shared" si="139"/>
        <v>129</v>
      </c>
      <c r="EV98" s="44">
        <f t="shared" si="130"/>
        <v>120</v>
      </c>
      <c r="EW98" s="44">
        <f t="shared" si="132"/>
        <v>116</v>
      </c>
      <c r="EX98" s="44">
        <f t="shared" si="133"/>
        <v>50</v>
      </c>
      <c r="EY98" s="44">
        <f t="shared" si="131"/>
        <v>0</v>
      </c>
      <c r="EZ98" s="68"/>
      <c r="FA98" s="68"/>
      <c r="FB98" s="68"/>
      <c r="FC98" s="68"/>
      <c r="FD98" s="68"/>
      <c r="FE98" s="68"/>
      <c r="FF98" s="68"/>
      <c r="FG98" s="68"/>
      <c r="FH98" s="68"/>
      <c r="FI98" s="68"/>
      <c r="FJ98" s="68"/>
      <c r="FK98" s="68"/>
      <c r="FL98" s="68"/>
      <c r="FM98" s="68"/>
      <c r="FN98" s="68"/>
      <c r="FO98" s="68"/>
      <c r="FP98" s="68"/>
      <c r="FQ98" s="83"/>
      <c r="FR98" s="68"/>
      <c r="FS98" s="84"/>
      <c r="FT98" s="68"/>
      <c r="FU98" s="14"/>
    </row>
    <row r="99" spans="2:177" s="9" customFormat="1">
      <c r="B99" s="14" t="s">
        <v>1360</v>
      </c>
      <c r="C99" s="62"/>
      <c r="D99" s="62"/>
      <c r="E99" s="62"/>
      <c r="F99" s="62"/>
      <c r="G99" s="62"/>
      <c r="H99" s="62"/>
      <c r="I99" s="62"/>
      <c r="J99" s="62"/>
      <c r="K99" s="62"/>
      <c r="L99" s="62"/>
      <c r="M99" s="62"/>
      <c r="N99" s="62"/>
      <c r="O99" s="62"/>
      <c r="P99" s="62"/>
      <c r="Q99" s="62"/>
      <c r="R99" s="62"/>
      <c r="S99" s="62"/>
      <c r="T99" s="62"/>
      <c r="U99" s="62"/>
      <c r="V99" s="62"/>
      <c r="W99" s="62"/>
      <c r="X99" s="62"/>
      <c r="Y99" s="62"/>
      <c r="Z99" s="62"/>
      <c r="AA99" s="62"/>
      <c r="AB99" s="62"/>
      <c r="AC99" s="62"/>
      <c r="AD99" s="62"/>
      <c r="AE99" s="68"/>
      <c r="AF99" s="68"/>
      <c r="AG99" s="68"/>
      <c r="AH99" s="68"/>
      <c r="AI99" s="74"/>
      <c r="AJ99" s="47"/>
      <c r="AK99" s="47"/>
      <c r="AL99" s="47"/>
      <c r="AM99" s="66"/>
      <c r="AN99" s="62"/>
      <c r="AO99" s="68"/>
      <c r="AP99" s="62"/>
      <c r="AQ99" s="68"/>
      <c r="AR99" s="68"/>
      <c r="AS99" s="68"/>
      <c r="AT99" s="68"/>
      <c r="AU99" s="68"/>
      <c r="AV99" s="70"/>
      <c r="AW99" s="68"/>
      <c r="AX99" s="68"/>
      <c r="AY99" s="68"/>
      <c r="AZ99" s="68"/>
      <c r="BA99" s="68"/>
      <c r="BB99" s="44"/>
      <c r="BC99" s="65"/>
      <c r="BD99" s="44"/>
      <c r="BE99" s="44"/>
      <c r="BF99" s="65"/>
      <c r="BG99" s="44"/>
      <c r="BH99" s="65"/>
      <c r="BI99" s="44"/>
      <c r="BJ99" s="65"/>
      <c r="BK99" s="65"/>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v>21</v>
      </c>
      <c r="CL99" s="44">
        <v>25</v>
      </c>
      <c r="CM99" s="44">
        <v>77</v>
      </c>
      <c r="CN99" s="115">
        <v>138</v>
      </c>
      <c r="CO99" s="115">
        <v>16</v>
      </c>
      <c r="CP99" s="115">
        <v>19</v>
      </c>
      <c r="CQ99" s="115">
        <v>86</v>
      </c>
      <c r="CR99" s="115">
        <v>75</v>
      </c>
      <c r="CS99" s="115">
        <v>8</v>
      </c>
      <c r="CT99" s="115">
        <v>3</v>
      </c>
      <c r="CU99" s="115">
        <v>49</v>
      </c>
      <c r="CV99" s="115">
        <v>46</v>
      </c>
      <c r="CW99" s="115">
        <v>10</v>
      </c>
      <c r="CX99" s="115">
        <v>19</v>
      </c>
      <c r="CY99" s="115">
        <v>29</v>
      </c>
      <c r="CZ99" s="115">
        <v>49.4</v>
      </c>
      <c r="DA99" s="115"/>
      <c r="DB99" s="115"/>
      <c r="DC99" s="115"/>
      <c r="DD99" s="115"/>
      <c r="DE99" s="115"/>
      <c r="DF99" s="115"/>
      <c r="DG99" s="115"/>
      <c r="DH99" s="115"/>
      <c r="DI99" s="115"/>
      <c r="DJ99" s="115"/>
      <c r="DK99" s="115"/>
      <c r="DL99" s="115"/>
      <c r="DM99" s="115"/>
      <c r="DN99" s="115"/>
      <c r="DO99" s="115"/>
      <c r="DP99" s="44"/>
      <c r="DQ99" s="44"/>
      <c r="DR99" s="14"/>
      <c r="DS99" s="14"/>
      <c r="DT99" s="14"/>
      <c r="DU99" s="68"/>
      <c r="DV99" s="68"/>
      <c r="DW99" s="68"/>
      <c r="DX99" s="68"/>
      <c r="DY99" s="68"/>
      <c r="DZ99" s="68"/>
      <c r="EA99" s="68"/>
      <c r="EB99" s="68"/>
      <c r="EC99" s="68"/>
      <c r="ED99" s="68"/>
      <c r="EE99" s="68"/>
      <c r="EF99" s="68"/>
      <c r="EG99" s="68"/>
      <c r="EH99" s="68"/>
      <c r="EI99" s="68"/>
      <c r="EJ99" s="44"/>
      <c r="EK99" s="70"/>
      <c r="EL99" s="68"/>
      <c r="EM99" s="68"/>
      <c r="EN99" s="68"/>
      <c r="EO99" s="68"/>
      <c r="EP99" s="68"/>
      <c r="EQ99" s="68"/>
      <c r="ER99" s="68"/>
      <c r="ES99" s="68"/>
      <c r="ET99" s="68"/>
      <c r="EU99" s="44">
        <f t="shared" si="139"/>
        <v>250</v>
      </c>
      <c r="EV99" s="44">
        <f t="shared" si="130"/>
        <v>172</v>
      </c>
      <c r="EW99" s="44">
        <f t="shared" si="132"/>
        <v>124</v>
      </c>
      <c r="EX99" s="44">
        <f t="shared" si="133"/>
        <v>78.400000000000006</v>
      </c>
      <c r="EY99" s="44">
        <f t="shared" si="131"/>
        <v>0</v>
      </c>
      <c r="EZ99" s="68"/>
      <c r="FA99" s="68"/>
      <c r="FB99" s="68"/>
      <c r="FC99" s="68"/>
      <c r="FD99" s="68"/>
      <c r="FE99" s="68"/>
      <c r="FF99" s="68"/>
      <c r="FG99" s="68"/>
      <c r="FH99" s="68"/>
      <c r="FI99" s="68"/>
      <c r="FJ99" s="68"/>
      <c r="FK99" s="68"/>
      <c r="FL99" s="68"/>
      <c r="FM99" s="68"/>
      <c r="FN99" s="68"/>
      <c r="FO99" s="68"/>
      <c r="FP99" s="68"/>
      <c r="FQ99" s="83"/>
      <c r="FR99" s="68"/>
      <c r="FS99" s="84"/>
      <c r="FT99" s="68"/>
      <c r="FU99" s="14"/>
    </row>
    <row r="100" spans="2:177" s="9" customFormat="1">
      <c r="B100" s="14" t="s">
        <v>1377</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8"/>
      <c r="AF100" s="68"/>
      <c r="AG100" s="68"/>
      <c r="AH100" s="68"/>
      <c r="AI100" s="74"/>
      <c r="AJ100" s="47"/>
      <c r="AK100" s="47"/>
      <c r="AL100" s="47"/>
      <c r="AM100" s="66"/>
      <c r="AN100" s="62"/>
      <c r="AO100" s="68"/>
      <c r="AP100" s="62"/>
      <c r="AQ100" s="68"/>
      <c r="AR100" s="68"/>
      <c r="AS100" s="68"/>
      <c r="AT100" s="68"/>
      <c r="AU100" s="68"/>
      <c r="AV100" s="70"/>
      <c r="AW100" s="68"/>
      <c r="AX100" s="68"/>
      <c r="AY100" s="68"/>
      <c r="AZ100" s="68"/>
      <c r="BA100" s="68"/>
      <c r="BB100" s="44"/>
      <c r="BC100" s="65"/>
      <c r="BD100" s="44"/>
      <c r="BE100" s="44"/>
      <c r="BF100" s="65"/>
      <c r="BG100" s="44"/>
      <c r="BH100" s="65"/>
      <c r="BI100" s="44"/>
      <c r="BJ100" s="65"/>
      <c r="BK100" s="65"/>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v>14</v>
      </c>
      <c r="CL100" s="44">
        <v>9</v>
      </c>
      <c r="CM100" s="44">
        <v>25</v>
      </c>
      <c r="CN100" s="115">
        <v>34</v>
      </c>
      <c r="CO100" s="115">
        <v>15</v>
      </c>
      <c r="CP100" s="115">
        <v>5</v>
      </c>
      <c r="CQ100" s="115">
        <v>22</v>
      </c>
      <c r="CR100" s="115">
        <v>26</v>
      </c>
      <c r="CS100" s="115">
        <v>35</v>
      </c>
      <c r="CT100" s="115">
        <v>38</v>
      </c>
      <c r="CU100" s="115">
        <v>31</v>
      </c>
      <c r="CV100" s="115">
        <v>33</v>
      </c>
      <c r="CW100" s="115">
        <v>28</v>
      </c>
      <c r="CX100" s="115">
        <v>41</v>
      </c>
      <c r="CY100" s="115">
        <v>35</v>
      </c>
      <c r="CZ100" s="115">
        <v>25.4</v>
      </c>
      <c r="DA100" s="115"/>
      <c r="DB100" s="115"/>
      <c r="DC100" s="115"/>
      <c r="DD100" s="115"/>
      <c r="DE100" s="115"/>
      <c r="DF100" s="115"/>
      <c r="DG100" s="115"/>
      <c r="DH100" s="115"/>
      <c r="DI100" s="115"/>
      <c r="DJ100" s="115"/>
      <c r="DK100" s="115"/>
      <c r="DL100" s="115"/>
      <c r="DM100" s="115"/>
      <c r="DN100" s="115"/>
      <c r="DO100" s="115"/>
      <c r="DP100" s="44"/>
      <c r="DQ100" s="44"/>
      <c r="DR100" s="14"/>
      <c r="DS100" s="14"/>
      <c r="DT100" s="14"/>
      <c r="DU100" s="68"/>
      <c r="DV100" s="68"/>
      <c r="DW100" s="68"/>
      <c r="DX100" s="68"/>
      <c r="DY100" s="68"/>
      <c r="DZ100" s="68"/>
      <c r="EA100" s="68"/>
      <c r="EB100" s="68"/>
      <c r="EC100" s="68"/>
      <c r="ED100" s="68"/>
      <c r="EE100" s="68"/>
      <c r="EF100" s="68"/>
      <c r="EG100" s="68"/>
      <c r="EH100" s="68"/>
      <c r="EI100" s="68"/>
      <c r="EJ100" s="44"/>
      <c r="EK100" s="70"/>
      <c r="EL100" s="68"/>
      <c r="EM100" s="68"/>
      <c r="EN100" s="68"/>
      <c r="EO100" s="68"/>
      <c r="EP100" s="68"/>
      <c r="EQ100" s="68"/>
      <c r="ER100" s="68"/>
      <c r="ES100" s="68"/>
      <c r="ET100" s="68"/>
      <c r="EU100" s="44">
        <f t="shared" si="139"/>
        <v>79</v>
      </c>
      <c r="EV100" s="44">
        <f t="shared" si="130"/>
        <v>121</v>
      </c>
      <c r="EW100" s="44">
        <f t="shared" si="132"/>
        <v>133</v>
      </c>
      <c r="EX100" s="44">
        <f t="shared" si="133"/>
        <v>60.4</v>
      </c>
      <c r="EY100" s="44">
        <f t="shared" si="131"/>
        <v>0</v>
      </c>
      <c r="EZ100" s="68"/>
      <c r="FA100" s="68"/>
      <c r="FB100" s="68"/>
      <c r="FC100" s="68"/>
      <c r="FD100" s="68"/>
      <c r="FE100" s="68"/>
      <c r="FF100" s="68"/>
      <c r="FG100" s="68"/>
      <c r="FH100" s="68"/>
      <c r="FI100" s="68"/>
      <c r="FJ100" s="68"/>
      <c r="FK100" s="68"/>
      <c r="FL100" s="68"/>
      <c r="FM100" s="68"/>
      <c r="FN100" s="68"/>
      <c r="FO100" s="68"/>
      <c r="FP100" s="68"/>
      <c r="FQ100" s="83"/>
      <c r="FR100" s="68"/>
      <c r="FS100" s="84"/>
      <c r="FT100" s="68"/>
      <c r="FU100" s="14"/>
    </row>
    <row r="101" spans="2:177">
      <c r="B101" s="4" t="s">
        <v>764</v>
      </c>
      <c r="W101" s="44"/>
      <c r="X101" s="44"/>
      <c r="Y101" s="44"/>
      <c r="Z101" s="44"/>
      <c r="AA101" s="44"/>
      <c r="AB101" s="44"/>
      <c r="AC101" s="44"/>
      <c r="AD101" s="44"/>
      <c r="AE101" s="44"/>
      <c r="AF101" s="44"/>
      <c r="AG101" s="44"/>
      <c r="AH101" s="44">
        <f>453-189-90-49</f>
        <v>125</v>
      </c>
      <c r="AI101" s="68">
        <f>479-212-90-55</f>
        <v>122</v>
      </c>
      <c r="AJ101" s="44"/>
      <c r="AK101" s="44"/>
      <c r="AL101" s="44"/>
      <c r="AM101" s="65"/>
      <c r="AN101" s="44"/>
      <c r="AO101" s="68"/>
      <c r="AP101" s="68"/>
      <c r="AQ101" s="68"/>
      <c r="AR101" s="68"/>
      <c r="AS101" s="68"/>
      <c r="AT101" s="68"/>
      <c r="AU101" s="68"/>
      <c r="AV101" s="70"/>
      <c r="AW101" s="68"/>
      <c r="AX101" s="68"/>
      <c r="AY101" s="68"/>
      <c r="AZ101" s="68"/>
      <c r="BA101" s="68"/>
      <c r="BB101" s="44"/>
      <c r="BC101" s="65"/>
      <c r="BD101" s="44"/>
      <c r="BE101" s="44"/>
      <c r="BF101" s="65"/>
      <c r="BG101" s="44"/>
      <c r="BH101" s="65"/>
      <c r="BI101" s="44"/>
      <c r="BJ101" s="65"/>
      <c r="BK101" s="65"/>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v>101</v>
      </c>
      <c r="CL101" s="44">
        <v>104</v>
      </c>
      <c r="CM101" s="44">
        <v>122</v>
      </c>
      <c r="CN101" s="115">
        <v>140</v>
      </c>
      <c r="CO101" s="115">
        <v>194</v>
      </c>
      <c r="CP101" s="115">
        <v>166</v>
      </c>
      <c r="CQ101" s="115">
        <v>192</v>
      </c>
      <c r="CR101" s="115">
        <v>221</v>
      </c>
      <c r="CS101" s="115">
        <v>69</v>
      </c>
      <c r="CT101" s="115">
        <v>32</v>
      </c>
      <c r="CU101" s="115">
        <v>41</v>
      </c>
      <c r="CV101" s="115">
        <v>60</v>
      </c>
      <c r="CW101" s="115">
        <v>98</v>
      </c>
      <c r="CX101" s="115">
        <v>83</v>
      </c>
      <c r="CY101" s="115">
        <v>81</v>
      </c>
      <c r="CZ101" s="115">
        <v>82.4</v>
      </c>
      <c r="DA101" s="115">
        <v>80</v>
      </c>
      <c r="DB101" s="115">
        <v>113</v>
      </c>
      <c r="DC101" s="115">
        <v>467</v>
      </c>
      <c r="DD101" s="115">
        <f>102-DD51</f>
        <v>90</v>
      </c>
      <c r="DE101" s="115">
        <v>110</v>
      </c>
      <c r="DF101" s="115">
        <v>129</v>
      </c>
      <c r="DG101" s="115">
        <v>397</v>
      </c>
      <c r="DH101" s="115">
        <v>457</v>
      </c>
      <c r="DI101" s="115"/>
      <c r="DJ101" s="115"/>
      <c r="DK101" s="115"/>
      <c r="DL101" s="115"/>
      <c r="DM101" s="115"/>
      <c r="DN101" s="115"/>
      <c r="DO101" s="115"/>
      <c r="DP101" s="44"/>
      <c r="DQ101" s="44"/>
      <c r="DU101" s="44"/>
      <c r="DV101" s="44"/>
      <c r="DW101" s="44"/>
      <c r="DX101" s="44"/>
      <c r="DY101" s="44"/>
      <c r="DZ101" s="44"/>
      <c r="EA101" s="44"/>
      <c r="EB101" s="44"/>
      <c r="EC101" s="44"/>
      <c r="ED101" s="44"/>
      <c r="EE101" s="44"/>
      <c r="EF101" s="44">
        <v>460</v>
      </c>
      <c r="EG101" s="44">
        <v>472</v>
      </c>
      <c r="EH101" s="44">
        <v>437</v>
      </c>
      <c r="EI101" s="44">
        <f>SUM(AQ101:AT101)</f>
        <v>0</v>
      </c>
      <c r="EJ101" s="44">
        <f>SUM(AR101:AU101)</f>
        <v>0</v>
      </c>
      <c r="EK101" s="65"/>
      <c r="EU101" s="44">
        <f t="shared" si="139"/>
        <v>622</v>
      </c>
      <c r="EV101" s="44">
        <f t="shared" si="130"/>
        <v>514</v>
      </c>
      <c r="EW101" s="44">
        <f t="shared" si="132"/>
        <v>282</v>
      </c>
      <c r="EX101" s="44">
        <f t="shared" si="133"/>
        <v>356.4</v>
      </c>
      <c r="EY101" s="44">
        <f t="shared" si="131"/>
        <v>796</v>
      </c>
      <c r="EZ101" s="68">
        <f t="shared" ref="EZ101:FK101" si="140">+EY101*0.9</f>
        <v>716.4</v>
      </c>
      <c r="FA101" s="68">
        <f t="shared" si="140"/>
        <v>644.76</v>
      </c>
      <c r="FB101" s="68">
        <f t="shared" si="140"/>
        <v>580.28399999999999</v>
      </c>
      <c r="FC101" s="68">
        <f t="shared" si="140"/>
        <v>522.25559999999996</v>
      </c>
      <c r="FD101" s="68">
        <f t="shared" si="140"/>
        <v>470.03003999999999</v>
      </c>
      <c r="FE101" s="68">
        <f t="shared" si="140"/>
        <v>423.02703600000001</v>
      </c>
      <c r="FF101" s="68">
        <f t="shared" si="140"/>
        <v>380.72433240000004</v>
      </c>
      <c r="FG101" s="68">
        <f t="shared" si="140"/>
        <v>342.65189916000003</v>
      </c>
      <c r="FH101" s="68">
        <f t="shared" si="140"/>
        <v>308.38670924400003</v>
      </c>
      <c r="FI101" s="68">
        <f t="shared" si="140"/>
        <v>277.54803831960004</v>
      </c>
      <c r="FJ101" s="68">
        <f t="shared" si="140"/>
        <v>249.79323448764004</v>
      </c>
      <c r="FK101" s="68">
        <f t="shared" si="140"/>
        <v>224.81391103887603</v>
      </c>
    </row>
    <row r="102" spans="2:177">
      <c r="B102" s="14" t="s">
        <v>1378</v>
      </c>
      <c r="W102" s="44"/>
      <c r="X102" s="44"/>
      <c r="Y102" s="44"/>
      <c r="Z102" s="44"/>
      <c r="AA102" s="44"/>
      <c r="AB102" s="44"/>
      <c r="AC102" s="44"/>
      <c r="AD102" s="44"/>
      <c r="AE102" s="44"/>
      <c r="AF102" s="44"/>
      <c r="AG102" s="44"/>
      <c r="AH102" s="44"/>
      <c r="AI102" s="68"/>
      <c r="AJ102" s="44"/>
      <c r="AK102" s="44"/>
      <c r="AL102" s="44"/>
      <c r="AM102" s="65"/>
      <c r="AN102" s="44"/>
      <c r="AO102" s="68"/>
      <c r="AP102" s="68"/>
      <c r="AQ102" s="68"/>
      <c r="AR102" s="68"/>
      <c r="AS102" s="68"/>
      <c r="AT102" s="68"/>
      <c r="AU102" s="68"/>
      <c r="AV102" s="70"/>
      <c r="AW102" s="68"/>
      <c r="AX102" s="68"/>
      <c r="AY102" s="68"/>
      <c r="AZ102" s="68"/>
      <c r="BA102" s="68"/>
      <c r="BB102" s="44"/>
      <c r="BC102" s="65"/>
      <c r="BD102" s="44"/>
      <c r="BE102" s="44"/>
      <c r="BF102" s="65"/>
      <c r="BG102" s="44"/>
      <c r="BH102" s="65"/>
      <c r="BI102" s="44"/>
      <c r="BJ102" s="65"/>
      <c r="BK102" s="65"/>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v>159</v>
      </c>
      <c r="CL102" s="44">
        <v>215</v>
      </c>
      <c r="CM102" s="44">
        <v>138</v>
      </c>
      <c r="CN102" s="115">
        <v>204</v>
      </c>
      <c r="CO102" s="115">
        <v>176</v>
      </c>
      <c r="CP102" s="115">
        <v>254</v>
      </c>
      <c r="CQ102" s="115">
        <v>158</v>
      </c>
      <c r="CR102" s="115">
        <v>224</v>
      </c>
      <c r="CS102" s="115">
        <v>242</v>
      </c>
      <c r="CT102" s="115">
        <v>308</v>
      </c>
      <c r="CU102" s="115">
        <v>391</v>
      </c>
      <c r="CV102" s="115">
        <v>437</v>
      </c>
      <c r="CW102" s="115">
        <v>521</v>
      </c>
      <c r="CX102" s="115">
        <v>382</v>
      </c>
      <c r="CY102" s="115">
        <v>338</v>
      </c>
      <c r="CZ102" s="115">
        <v>317.39999999999998</v>
      </c>
      <c r="DA102" s="115">
        <v>319</v>
      </c>
      <c r="DB102" s="115">
        <v>368</v>
      </c>
      <c r="DC102" s="115">
        <f>308+4</f>
        <v>312</v>
      </c>
      <c r="DD102" s="115">
        <v>316</v>
      </c>
      <c r="DE102" s="115">
        <v>302</v>
      </c>
      <c r="DF102" s="115">
        <v>382</v>
      </c>
      <c r="DG102" s="115">
        <f>258+17</f>
        <v>275</v>
      </c>
      <c r="DH102" s="115">
        <f>278</f>
        <v>278</v>
      </c>
      <c r="DI102" s="115"/>
      <c r="DJ102" s="115"/>
      <c r="DK102" s="115"/>
      <c r="DL102" s="115"/>
      <c r="DM102" s="115"/>
      <c r="DN102" s="115"/>
      <c r="DO102" s="115"/>
      <c r="DP102" s="44"/>
      <c r="DQ102" s="44"/>
      <c r="DU102" s="44"/>
      <c r="DV102" s="44"/>
      <c r="DW102" s="44"/>
      <c r="DX102" s="44"/>
      <c r="DY102" s="44"/>
      <c r="DZ102" s="44"/>
      <c r="EA102" s="44"/>
      <c r="EB102" s="44"/>
      <c r="EC102" s="44"/>
      <c r="ED102" s="44"/>
      <c r="EE102" s="44"/>
      <c r="EF102" s="44"/>
      <c r="EG102" s="44"/>
      <c r="EH102" s="44"/>
      <c r="EI102" s="44"/>
      <c r="EJ102" s="44"/>
      <c r="EK102" s="65"/>
      <c r="EU102" s="44">
        <f t="shared" si="139"/>
        <v>772</v>
      </c>
      <c r="EV102" s="44">
        <f t="shared" si="130"/>
        <v>932</v>
      </c>
      <c r="EW102" s="44">
        <f t="shared" si="132"/>
        <v>1731</v>
      </c>
      <c r="EX102" s="44">
        <f t="shared" si="133"/>
        <v>1342.4</v>
      </c>
      <c r="EY102" s="44">
        <f t="shared" si="131"/>
        <v>1312</v>
      </c>
      <c r="EZ102" s="68">
        <f t="shared" ref="EZ102:FK102" si="141">+EY102*0.9</f>
        <v>1180.8</v>
      </c>
      <c r="FA102" s="68">
        <f t="shared" si="141"/>
        <v>1062.72</v>
      </c>
      <c r="FB102" s="68">
        <f t="shared" si="141"/>
        <v>956.44800000000009</v>
      </c>
      <c r="FC102" s="68">
        <f t="shared" si="141"/>
        <v>860.80320000000006</v>
      </c>
      <c r="FD102" s="68">
        <f t="shared" si="141"/>
        <v>774.72288000000003</v>
      </c>
      <c r="FE102" s="68">
        <f t="shared" si="141"/>
        <v>697.2505920000001</v>
      </c>
      <c r="FF102" s="68">
        <f t="shared" si="141"/>
        <v>627.52553280000006</v>
      </c>
      <c r="FG102" s="68">
        <f t="shared" si="141"/>
        <v>564.77297952000004</v>
      </c>
      <c r="FH102" s="68">
        <f t="shared" si="141"/>
        <v>508.29568156800002</v>
      </c>
      <c r="FI102" s="68">
        <f t="shared" si="141"/>
        <v>457.46611341120001</v>
      </c>
      <c r="FJ102" s="68">
        <f t="shared" si="141"/>
        <v>411.71950207008001</v>
      </c>
      <c r="FK102" s="68">
        <f t="shared" si="141"/>
        <v>370.54755186307204</v>
      </c>
    </row>
    <row r="103" spans="2:177">
      <c r="B103" s="4" t="s">
        <v>760</v>
      </c>
      <c r="W103" s="44">
        <v>159</v>
      </c>
      <c r="X103" s="44">
        <v>147</v>
      </c>
      <c r="Y103" s="44">
        <v>158</v>
      </c>
      <c r="Z103" s="44">
        <v>146</v>
      </c>
      <c r="AA103" s="44">
        <v>153</v>
      </c>
      <c r="AB103" s="44">
        <v>179</v>
      </c>
      <c r="AC103" s="44">
        <v>243</v>
      </c>
      <c r="AD103" s="44">
        <v>281</v>
      </c>
      <c r="AE103" s="44">
        <v>303</v>
      </c>
      <c r="AF103" s="44">
        <v>289</v>
      </c>
      <c r="AG103" s="44">
        <v>270</v>
      </c>
      <c r="AH103" s="44">
        <f>1339-675-135-139-83</f>
        <v>307</v>
      </c>
      <c r="AI103" s="68">
        <f>1482-797-143-88-138</f>
        <v>316</v>
      </c>
      <c r="AJ103" s="44">
        <v>304</v>
      </c>
      <c r="AL103" s="44"/>
      <c r="AM103" s="65"/>
      <c r="AO103" s="68"/>
      <c r="AP103" s="62"/>
      <c r="AQ103" s="68"/>
      <c r="AR103" s="68"/>
      <c r="AS103" s="68"/>
      <c r="AT103" s="68"/>
      <c r="AU103" s="68"/>
      <c r="AV103" s="70"/>
      <c r="AW103" s="68"/>
      <c r="AX103" s="68"/>
      <c r="AY103" s="68"/>
      <c r="AZ103" s="68"/>
      <c r="BA103" s="68"/>
      <c r="BB103" s="44"/>
      <c r="BC103" s="65"/>
      <c r="BD103" s="44"/>
      <c r="BE103" s="44"/>
      <c r="BF103" s="65"/>
      <c r="BG103" s="44"/>
      <c r="BH103" s="65"/>
      <c r="BI103" s="44"/>
      <c r="BJ103" s="65"/>
      <c r="BK103" s="65"/>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v>300</v>
      </c>
      <c r="CL103" s="44">
        <v>252</v>
      </c>
      <c r="CM103" s="44">
        <v>405</v>
      </c>
      <c r="CN103" s="115">
        <v>420</v>
      </c>
      <c r="CO103" s="115">
        <v>335</v>
      </c>
      <c r="CP103" s="115">
        <v>292</v>
      </c>
      <c r="CQ103" s="115">
        <v>444</v>
      </c>
      <c r="CR103" s="115">
        <v>367</v>
      </c>
      <c r="CS103" s="115">
        <v>301</v>
      </c>
      <c r="CT103" s="115">
        <v>358</v>
      </c>
      <c r="CU103" s="115">
        <v>455</v>
      </c>
      <c r="CV103" s="115">
        <v>474</v>
      </c>
      <c r="CW103" s="115">
        <v>355</v>
      </c>
      <c r="CX103" s="115">
        <v>372</v>
      </c>
      <c r="CY103" s="115">
        <v>380.8</v>
      </c>
      <c r="CZ103" s="115">
        <v>367.4</v>
      </c>
      <c r="DA103" s="115">
        <v>374</v>
      </c>
      <c r="DB103" s="115">
        <v>348</v>
      </c>
      <c r="DC103" s="115">
        <v>188</v>
      </c>
      <c r="DD103" s="115">
        <v>269</v>
      </c>
      <c r="DE103" s="115">
        <v>270</v>
      </c>
      <c r="DF103" s="115">
        <v>272</v>
      </c>
      <c r="DG103" s="115">
        <v>205</v>
      </c>
      <c r="DH103" s="115">
        <v>234</v>
      </c>
      <c r="DI103" s="115"/>
      <c r="DJ103" s="115"/>
      <c r="DK103" s="115"/>
      <c r="DL103" s="115"/>
      <c r="DM103" s="115"/>
      <c r="DN103" s="115"/>
      <c r="DO103" s="115"/>
      <c r="DP103" s="44"/>
      <c r="DQ103" s="44"/>
      <c r="DU103" s="44"/>
      <c r="DV103" s="44"/>
      <c r="DW103" s="44"/>
      <c r="DX103" s="44"/>
      <c r="DY103" s="44"/>
      <c r="DZ103" s="44"/>
      <c r="EA103" s="44"/>
      <c r="EB103" s="44"/>
      <c r="EC103" s="44"/>
      <c r="ED103" s="44">
        <v>609</v>
      </c>
      <c r="EE103" s="44">
        <v>856</v>
      </c>
      <c r="EF103" s="44">
        <v>1172</v>
      </c>
      <c r="EG103" s="44">
        <v>1232</v>
      </c>
      <c r="EH103" s="44">
        <v>1104</v>
      </c>
      <c r="EI103" s="44">
        <f>EH103*1.02</f>
        <v>1126.08</v>
      </c>
      <c r="EJ103" s="44">
        <f t="shared" ref="EJ103:EJ108" si="142">SUM(AR103:AU103)</f>
        <v>0</v>
      </c>
      <c r="EK103" s="70"/>
      <c r="EL103" s="68"/>
      <c r="EM103" s="68"/>
      <c r="EN103" s="68"/>
      <c r="EO103" s="68"/>
      <c r="EP103" s="68"/>
      <c r="EQ103" s="68"/>
      <c r="ER103" s="68"/>
      <c r="ES103" s="68"/>
      <c r="ET103" s="68"/>
      <c r="EU103" s="44">
        <f t="shared" si="139"/>
        <v>1452</v>
      </c>
      <c r="EV103" s="44">
        <f t="shared" si="130"/>
        <v>1470</v>
      </c>
      <c r="EW103" s="44">
        <f t="shared" si="132"/>
        <v>1656</v>
      </c>
      <c r="EX103" s="44">
        <f t="shared" si="133"/>
        <v>1470.2</v>
      </c>
      <c r="EY103" s="44">
        <f t="shared" si="131"/>
        <v>999</v>
      </c>
      <c r="EZ103" s="68">
        <f t="shared" ref="EZ103:FK103" si="143">+EY103*0.9</f>
        <v>899.1</v>
      </c>
      <c r="FA103" s="68">
        <f t="shared" si="143"/>
        <v>809.19</v>
      </c>
      <c r="FB103" s="68">
        <f t="shared" si="143"/>
        <v>728.27100000000007</v>
      </c>
      <c r="FC103" s="68">
        <f t="shared" si="143"/>
        <v>655.4439000000001</v>
      </c>
      <c r="FD103" s="68">
        <f t="shared" si="143"/>
        <v>589.89951000000008</v>
      </c>
      <c r="FE103" s="68">
        <f t="shared" si="143"/>
        <v>530.90955900000006</v>
      </c>
      <c r="FF103" s="68">
        <f t="shared" si="143"/>
        <v>477.81860310000008</v>
      </c>
      <c r="FG103" s="68">
        <f t="shared" si="143"/>
        <v>430.03674279000006</v>
      </c>
      <c r="FH103" s="68">
        <f t="shared" si="143"/>
        <v>387.03306851100007</v>
      </c>
      <c r="FI103" s="68">
        <f t="shared" si="143"/>
        <v>348.32976165990004</v>
      </c>
      <c r="FJ103" s="68">
        <f t="shared" si="143"/>
        <v>313.49678549391007</v>
      </c>
      <c r="FK103" s="68">
        <f t="shared" si="143"/>
        <v>282.14710694451907</v>
      </c>
      <c r="FL103" s="68"/>
      <c r="FM103" s="68"/>
      <c r="FN103" s="68"/>
      <c r="FO103" s="68"/>
      <c r="FP103" s="68"/>
      <c r="FQ103" s="83"/>
      <c r="FR103" s="68"/>
      <c r="FS103" s="84"/>
      <c r="FT103" s="68"/>
    </row>
    <row r="104" spans="2:177">
      <c r="B104" s="4" t="s">
        <v>765</v>
      </c>
      <c r="AA104" s="37">
        <v>10</v>
      </c>
      <c r="AB104" s="37">
        <v>48</v>
      </c>
      <c r="AC104" s="37">
        <v>80</v>
      </c>
      <c r="AD104" s="37">
        <v>75</v>
      </c>
      <c r="AE104" s="44">
        <v>68</v>
      </c>
      <c r="AF104" s="44">
        <v>78</v>
      </c>
      <c r="AG104" s="44">
        <v>70</v>
      </c>
      <c r="AH104" s="44">
        <f>57+981-349+245+265</f>
        <v>1199</v>
      </c>
      <c r="AI104" s="68">
        <f>242+133+1068-342+257-203</f>
        <v>1155</v>
      </c>
      <c r="AJ104" s="44"/>
      <c r="AK104" s="44">
        <f>213+921+874+262-200+507-229-86-63+629-386-231+1073-402-157-106-103+545-446+73+1590-807-155-148-101-85-80-67+4467-2897-1131-132-77-48-73</f>
        <v>2944</v>
      </c>
      <c r="AL104" s="44">
        <f>1043-2+264+266-204+1+997+212+304+177+157+14+95</f>
        <v>3324</v>
      </c>
      <c r="AM104" s="65">
        <f>900+1104+246-197+187+268+149+134+13+99</f>
        <v>2903</v>
      </c>
      <c r="AN104" s="44">
        <f>1017+232-191+1+540-238-86-75-36+660-394-255+835-167-166-118-110+627-471+1643-706-271-165-123-88-79-67+4769-3123-1158-139-80-69</f>
        <v>1949</v>
      </c>
      <c r="AO104" s="44">
        <f>1102+246-198+376-374+233+257+285+169+138+14+98</f>
        <v>2346</v>
      </c>
      <c r="AP104" s="68">
        <f>396-391+261-209+1127+282+200+277+197+142+14+135</f>
        <v>2431</v>
      </c>
      <c r="AQ104" s="68">
        <f>1164+307+245-201+366-360+286+265+151+135+14+171</f>
        <v>2543</v>
      </c>
      <c r="AR104" s="68">
        <f>347+1025+400-389+253-202+278+278+148+114+12+173</f>
        <v>2437</v>
      </c>
      <c r="AS104" s="68">
        <f>318+962+413-402+271-216-40+301+280+158+108+14+168</f>
        <v>2335</v>
      </c>
      <c r="AT104" s="68">
        <f>383+863+283-224+464-453-75+355+300+167+109+16+177</f>
        <v>2365</v>
      </c>
      <c r="AU104" s="68">
        <f>325+758+413-405+258-206-52+299+292+144+85+11+151</f>
        <v>2073</v>
      </c>
      <c r="AV104" s="70">
        <f>361+619-54+306+92+167+314+12+185+305-238+444-436</f>
        <v>2077</v>
      </c>
      <c r="AW104" s="44">
        <f>289+294-AW32+459-AW63+337+186+283+335+143+81+13+176</f>
        <v>1921</v>
      </c>
      <c r="AX104" s="44">
        <f>2052-AX79-AX80-AX82-AX67-AX94</f>
        <v>1591</v>
      </c>
      <c r="AY104" s="65">
        <f>252-197+531+413-407+228+333+279+124+75+24+131-22</f>
        <v>1764</v>
      </c>
      <c r="AZ104" s="44">
        <f>263-207+404-395+772-18+171+230+75+64+18+136</f>
        <v>1513</v>
      </c>
      <c r="BA104" s="44">
        <f>811+266+293-232+444-436-18+178+232+82+64+24+124</f>
        <v>1832</v>
      </c>
      <c r="BB104" s="44">
        <f>2787+122-17</f>
        <v>2892</v>
      </c>
      <c r="BC104" s="70">
        <f>2523+103</f>
        <v>2626</v>
      </c>
      <c r="BD104" s="44">
        <f>2604+64</f>
        <v>2668</v>
      </c>
      <c r="BE104" s="44">
        <f>76+1978-5</f>
        <v>2049</v>
      </c>
      <c r="BF104" s="65">
        <f>2375+77</f>
        <v>2452</v>
      </c>
      <c r="BG104" s="44">
        <f>2255+81-2</f>
        <v>2334</v>
      </c>
      <c r="BH104" s="65">
        <f>2454+75</f>
        <v>2529</v>
      </c>
      <c r="BI104" s="68">
        <f>1710+54</f>
        <v>1764</v>
      </c>
      <c r="BJ104" s="65">
        <v>1747</v>
      </c>
      <c r="BK104" s="65">
        <f>2037</f>
        <v>2037</v>
      </c>
      <c r="BL104" s="44">
        <f>1869+65</f>
        <v>1934</v>
      </c>
      <c r="BM104" s="44">
        <f>1643+62</f>
        <v>1705</v>
      </c>
      <c r="BN104" s="44">
        <f>2096+68</f>
        <v>2164</v>
      </c>
      <c r="BO104" s="44">
        <f>1878+53</f>
        <v>1931</v>
      </c>
      <c r="BP104" s="44">
        <f>1839+63</f>
        <v>1902</v>
      </c>
      <c r="BQ104" s="44">
        <f>1923+113-67</f>
        <v>1969</v>
      </c>
      <c r="BR104" s="44">
        <f>1855+135-65</f>
        <v>1925</v>
      </c>
      <c r="BS104" s="44">
        <f>1884+113-57</f>
        <v>1940</v>
      </c>
      <c r="BT104" s="44">
        <f>1802+134-71</f>
        <v>1865</v>
      </c>
      <c r="BU104" s="44">
        <f t="shared" ref="BU104:BV104" si="144">+BQ104*0.99</f>
        <v>1949.31</v>
      </c>
      <c r="BV104" s="44">
        <f t="shared" si="144"/>
        <v>1905.75</v>
      </c>
      <c r="BW104" s="44"/>
      <c r="BX104" s="44"/>
      <c r="BY104" s="44"/>
      <c r="BZ104" s="44"/>
      <c r="CA104" s="44"/>
      <c r="CB104" s="44"/>
      <c r="CC104" s="44"/>
      <c r="CD104" s="44"/>
      <c r="CE104" s="44"/>
      <c r="CF104" s="44"/>
      <c r="CG104" s="44"/>
      <c r="CH104" s="44"/>
      <c r="CI104" s="44"/>
      <c r="CJ104" s="44"/>
      <c r="CK104" s="44">
        <f>411+727</f>
        <v>1138</v>
      </c>
      <c r="CL104" s="44">
        <f>673+761</f>
        <v>1434</v>
      </c>
      <c r="CM104" s="44">
        <f>523+559</f>
        <v>1082</v>
      </c>
      <c r="CN104" s="115">
        <f>544+587</f>
        <v>1131</v>
      </c>
      <c r="CO104" s="115">
        <f>379+597</f>
        <v>976</v>
      </c>
      <c r="CP104" s="115">
        <f>634+654</f>
        <v>1288</v>
      </c>
      <c r="CQ104" s="115">
        <f>480+492</f>
        <v>972</v>
      </c>
      <c r="CR104" s="115">
        <f>498+476</f>
        <v>974</v>
      </c>
      <c r="CS104" s="115">
        <v>411</v>
      </c>
      <c r="CT104" s="115">
        <v>453</v>
      </c>
      <c r="CU104" s="115">
        <v>484.3</v>
      </c>
      <c r="CV104" s="115">
        <v>482</v>
      </c>
      <c r="CW104" s="115">
        <v>426</v>
      </c>
      <c r="CX104" s="115">
        <v>416</v>
      </c>
      <c r="CY104" s="115">
        <v>422.8</v>
      </c>
      <c r="CZ104" s="115">
        <v>424.4</v>
      </c>
      <c r="DA104" s="115">
        <v>451.4</v>
      </c>
      <c r="DB104" s="115">
        <v>452</v>
      </c>
      <c r="DC104" s="115">
        <f t="shared" ref="DC104" si="145">+DB104</f>
        <v>452</v>
      </c>
      <c r="DD104" s="115">
        <v>463</v>
      </c>
      <c r="DE104" s="115">
        <v>452</v>
      </c>
      <c r="DF104" s="115">
        <v>457</v>
      </c>
      <c r="DG104" s="115">
        <v>770</v>
      </c>
      <c r="DH104" s="115">
        <v>651</v>
      </c>
      <c r="DI104" s="115"/>
      <c r="DJ104" s="115"/>
      <c r="DK104" s="115"/>
      <c r="DL104" s="115"/>
      <c r="DM104" s="115"/>
      <c r="DN104" s="115"/>
      <c r="DO104" s="115"/>
      <c r="DP104" s="44"/>
      <c r="DQ104" s="44"/>
      <c r="DU104" s="44"/>
      <c r="DV104" s="44"/>
      <c r="DW104" s="44"/>
      <c r="DX104" s="44"/>
      <c r="DY104" s="44"/>
      <c r="DZ104" s="44"/>
      <c r="EA104" s="44"/>
      <c r="EB104" s="44"/>
      <c r="EC104" s="44"/>
      <c r="ED104" s="44">
        <v>6</v>
      </c>
      <c r="EE104" s="44">
        <f>1797+213</f>
        <v>2010</v>
      </c>
      <c r="EF104" s="44">
        <f>189+2390</f>
        <v>2579</v>
      </c>
      <c r="EG104" s="44">
        <f>1+241+2461</f>
        <v>2703</v>
      </c>
      <c r="EH104" s="44">
        <f>2600+8+190</f>
        <v>2798</v>
      </c>
      <c r="EI104" s="44">
        <f>EH104*1.03</f>
        <v>2881.94</v>
      </c>
      <c r="EJ104" s="44"/>
      <c r="EK104" s="65">
        <f>SUM(AY104:BB104)</f>
        <v>8001</v>
      </c>
      <c r="EL104" s="44">
        <f>SUM(BC104:BF104)</f>
        <v>9795</v>
      </c>
      <c r="EM104" s="44">
        <f>SUM(BG104:BJ104)</f>
        <v>8374</v>
      </c>
      <c r="EN104" s="44">
        <f>SUM(BK104:BN104)</f>
        <v>7840</v>
      </c>
      <c r="EO104" s="44">
        <f>SUM(BO104:BR104)</f>
        <v>7727</v>
      </c>
      <c r="EP104" s="44">
        <f>SUM(BS104:BV104)</f>
        <v>7660.0599999999995</v>
      </c>
      <c r="EQ104" s="44">
        <f t="shared" ref="EQ104:ET104" si="146">EP104*0.95</f>
        <v>7277.0569999999989</v>
      </c>
      <c r="ER104" s="44">
        <f t="shared" si="146"/>
        <v>6913.2041499999987</v>
      </c>
      <c r="ES104" s="44">
        <f t="shared" si="146"/>
        <v>6567.5439424999986</v>
      </c>
      <c r="ET104" s="44">
        <f t="shared" si="146"/>
        <v>6239.1667453749988</v>
      </c>
      <c r="EU104" s="44">
        <f t="shared" si="139"/>
        <v>4477</v>
      </c>
      <c r="EV104" s="44">
        <f t="shared" si="130"/>
        <v>2810</v>
      </c>
      <c r="EW104" s="44">
        <f t="shared" si="132"/>
        <v>1808.3</v>
      </c>
      <c r="EX104" s="44">
        <f t="shared" si="133"/>
        <v>1750.6</v>
      </c>
      <c r="EY104" s="44">
        <f t="shared" si="131"/>
        <v>1824</v>
      </c>
      <c r="EZ104" s="68">
        <f t="shared" ref="EZ104:FK104" si="147">+EY104*0.9</f>
        <v>1641.6000000000001</v>
      </c>
      <c r="FA104" s="68">
        <f t="shared" si="147"/>
        <v>1477.44</v>
      </c>
      <c r="FB104" s="68">
        <f t="shared" si="147"/>
        <v>1329.6960000000001</v>
      </c>
      <c r="FC104" s="68">
        <f t="shared" si="147"/>
        <v>1196.7264000000002</v>
      </c>
      <c r="FD104" s="68">
        <f t="shared" si="147"/>
        <v>1077.0537600000002</v>
      </c>
      <c r="FE104" s="68">
        <f t="shared" si="147"/>
        <v>969.34838400000024</v>
      </c>
      <c r="FF104" s="68">
        <f t="shared" si="147"/>
        <v>872.41354560000025</v>
      </c>
      <c r="FG104" s="68">
        <f t="shared" si="147"/>
        <v>785.17219104000026</v>
      </c>
      <c r="FH104" s="68">
        <f t="shared" si="147"/>
        <v>706.65497193600027</v>
      </c>
      <c r="FI104" s="68">
        <f t="shared" si="147"/>
        <v>635.98947474240026</v>
      </c>
      <c r="FJ104" s="68">
        <f t="shared" si="147"/>
        <v>572.39052726816021</v>
      </c>
      <c r="FK104" s="68">
        <f t="shared" si="147"/>
        <v>515.15147454134421</v>
      </c>
      <c r="FQ104" s="81">
        <f>EL104*0.4</f>
        <v>3918</v>
      </c>
      <c r="FR104" s="44">
        <f>EQ104*0.4</f>
        <v>2910.8227999999999</v>
      </c>
      <c r="FS104" s="82">
        <f>ER104*0.4</f>
        <v>2765.2816599999996</v>
      </c>
    </row>
    <row r="105" spans="2:177">
      <c r="B105" s="14" t="s">
        <v>1363</v>
      </c>
      <c r="W105" s="44"/>
      <c r="X105" s="44"/>
      <c r="Y105" s="44"/>
      <c r="Z105" s="44"/>
      <c r="AA105" s="44"/>
      <c r="AB105" s="44"/>
      <c r="AC105" s="44"/>
      <c r="AD105" s="44"/>
      <c r="AE105" s="44"/>
      <c r="AF105" s="44"/>
      <c r="AG105" s="44"/>
      <c r="AH105" s="44"/>
      <c r="AI105" s="68"/>
      <c r="AJ105" s="44"/>
      <c r="AL105" s="44"/>
      <c r="AM105" s="65"/>
      <c r="AO105" s="68"/>
      <c r="AP105" s="62"/>
      <c r="AQ105" s="68"/>
      <c r="AR105" s="68"/>
      <c r="AS105" s="68"/>
      <c r="AT105" s="68"/>
      <c r="AU105" s="68"/>
      <c r="AV105" s="70"/>
      <c r="AW105" s="68"/>
      <c r="AX105" s="68"/>
      <c r="AY105" s="68"/>
      <c r="AZ105" s="68"/>
      <c r="BA105" s="68"/>
      <c r="BB105" s="44"/>
      <c r="BC105" s="65"/>
      <c r="BD105" s="44"/>
      <c r="BE105" s="44"/>
      <c r="BF105" s="65"/>
      <c r="BG105" s="44"/>
      <c r="BH105" s="65"/>
      <c r="BI105" s="44"/>
      <c r="BJ105" s="65"/>
      <c r="BK105" s="65"/>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v>669</v>
      </c>
      <c r="CL105" s="44">
        <v>673</v>
      </c>
      <c r="CM105" s="44">
        <v>620</v>
      </c>
      <c r="CN105" s="115">
        <v>544</v>
      </c>
      <c r="CO105" s="115">
        <v>656</v>
      </c>
      <c r="CP105" s="115">
        <v>634</v>
      </c>
      <c r="CQ105" s="115">
        <v>684</v>
      </c>
      <c r="CR105" s="115">
        <v>603</v>
      </c>
      <c r="CS105" s="115">
        <v>529</v>
      </c>
      <c r="CT105" s="115">
        <v>695</v>
      </c>
      <c r="CU105" s="115">
        <v>700.3</v>
      </c>
      <c r="CV105" s="115">
        <v>613</v>
      </c>
      <c r="CW105" s="115">
        <v>577</v>
      </c>
      <c r="CX105" s="115">
        <v>597</v>
      </c>
      <c r="CY105" s="115">
        <v>582.79999999999995</v>
      </c>
      <c r="CZ105" s="115">
        <v>537.4</v>
      </c>
      <c r="DA105" s="115">
        <v>586.4</v>
      </c>
      <c r="DB105" s="115">
        <v>561</v>
      </c>
      <c r="DC105" s="115">
        <v>1197</v>
      </c>
      <c r="DD105" s="115">
        <v>606</v>
      </c>
      <c r="DE105" s="115">
        <v>527</v>
      </c>
      <c r="DF105" s="115">
        <v>558</v>
      </c>
      <c r="DG105" s="115">
        <v>1149</v>
      </c>
      <c r="DH105" s="115">
        <v>1114</v>
      </c>
      <c r="DI105" s="115"/>
      <c r="DJ105" s="115"/>
      <c r="DK105" s="115"/>
      <c r="DL105" s="115"/>
      <c r="DM105" s="115"/>
      <c r="DN105" s="115"/>
      <c r="DO105" s="115"/>
      <c r="DP105" s="44"/>
      <c r="DQ105" s="44"/>
      <c r="DU105" s="44"/>
      <c r="DV105" s="44"/>
      <c r="DW105" s="44"/>
      <c r="DX105" s="44"/>
      <c r="DY105" s="44"/>
      <c r="DZ105" s="44"/>
      <c r="EA105" s="44"/>
      <c r="EB105" s="44"/>
      <c r="EC105" s="44"/>
      <c r="ED105" s="44"/>
      <c r="EE105" s="44"/>
      <c r="EF105" s="44"/>
      <c r="EG105" s="44"/>
      <c r="EH105" s="44"/>
      <c r="EI105" s="44"/>
      <c r="EJ105" s="44"/>
      <c r="EK105" s="70"/>
      <c r="EL105" s="68"/>
      <c r="EM105" s="68"/>
      <c r="EN105" s="68"/>
      <c r="EO105" s="68"/>
      <c r="EP105" s="68"/>
      <c r="EQ105" s="68"/>
      <c r="ER105" s="68"/>
      <c r="ES105" s="68"/>
      <c r="ET105" s="68"/>
      <c r="EU105" s="44">
        <f t="shared" si="139"/>
        <v>2454</v>
      </c>
      <c r="EV105" s="44">
        <f t="shared" si="130"/>
        <v>2511</v>
      </c>
      <c r="EW105" s="44">
        <f t="shared" si="132"/>
        <v>2487.3000000000002</v>
      </c>
      <c r="EX105" s="44">
        <f t="shared" si="133"/>
        <v>2267.6</v>
      </c>
      <c r="EY105" s="44">
        <f t="shared" si="131"/>
        <v>2888</v>
      </c>
      <c r="EZ105" s="68">
        <f>+EY105*0.9</f>
        <v>2599.2000000000003</v>
      </c>
      <c r="FA105" s="68">
        <f t="shared" ref="FA105:FK105" si="148">+EZ105*0.9</f>
        <v>2339.2800000000002</v>
      </c>
      <c r="FB105" s="68">
        <f t="shared" si="148"/>
        <v>2105.3520000000003</v>
      </c>
      <c r="FC105" s="68">
        <f t="shared" si="148"/>
        <v>1894.8168000000003</v>
      </c>
      <c r="FD105" s="68">
        <f t="shared" si="148"/>
        <v>1705.3351200000002</v>
      </c>
      <c r="FE105" s="68">
        <f t="shared" si="148"/>
        <v>1534.8016080000002</v>
      </c>
      <c r="FF105" s="68">
        <f t="shared" si="148"/>
        <v>1381.3214472000002</v>
      </c>
      <c r="FG105" s="68">
        <f t="shared" si="148"/>
        <v>1243.1893024800002</v>
      </c>
      <c r="FH105" s="68">
        <f t="shared" si="148"/>
        <v>1118.8703722320001</v>
      </c>
      <c r="FI105" s="68">
        <f t="shared" si="148"/>
        <v>1006.9833350088002</v>
      </c>
      <c r="FJ105" s="68">
        <f t="shared" si="148"/>
        <v>906.28500150792013</v>
      </c>
      <c r="FK105" s="68">
        <f t="shared" si="148"/>
        <v>815.65650135712815</v>
      </c>
      <c r="FL105" s="68"/>
      <c r="FM105" s="68"/>
      <c r="FN105" s="68"/>
      <c r="FO105" s="68"/>
      <c r="FP105" s="68"/>
      <c r="FQ105" s="83"/>
      <c r="FR105" s="68"/>
      <c r="FS105" s="84"/>
      <c r="FT105" s="68"/>
    </row>
    <row r="106" spans="2:177">
      <c r="B106" s="4" t="s">
        <v>761</v>
      </c>
      <c r="W106" s="44">
        <v>64</v>
      </c>
      <c r="X106" s="44">
        <v>50</v>
      </c>
      <c r="Y106" s="44">
        <v>72</v>
      </c>
      <c r="Z106" s="44">
        <v>55</v>
      </c>
      <c r="AA106" s="44">
        <v>89</v>
      </c>
      <c r="AB106" s="44">
        <v>119</v>
      </c>
      <c r="AC106" s="44">
        <v>141</v>
      </c>
      <c r="AD106" s="44">
        <v>155</v>
      </c>
      <c r="AE106" s="44">
        <v>137</v>
      </c>
      <c r="AF106" s="44">
        <v>143</v>
      </c>
      <c r="AG106" s="44">
        <v>153</v>
      </c>
      <c r="AH106" s="44">
        <f>1607-1008-417</f>
        <v>182</v>
      </c>
      <c r="AI106" s="68">
        <f>637-411-56</f>
        <v>170</v>
      </c>
      <c r="AJ106" s="44">
        <v>45</v>
      </c>
      <c r="AK106" s="44"/>
      <c r="AL106" s="44"/>
      <c r="AM106" s="65"/>
      <c r="AN106" s="44"/>
      <c r="AO106" s="68"/>
      <c r="AP106" s="68"/>
      <c r="AQ106" s="68"/>
      <c r="AR106" s="68"/>
      <c r="AS106" s="68"/>
      <c r="AT106" s="68"/>
      <c r="AU106" s="68"/>
      <c r="AV106" s="70"/>
      <c r="AW106" s="68"/>
      <c r="AX106" s="68"/>
      <c r="AY106" s="68"/>
      <c r="AZ106" s="68"/>
      <c r="BA106" s="68"/>
      <c r="BB106" s="44"/>
      <c r="BC106" s="65"/>
      <c r="BD106" s="44"/>
      <c r="BE106" s="44"/>
      <c r="BF106" s="65"/>
      <c r="BG106" s="44"/>
      <c r="BH106" s="65"/>
      <c r="BI106" s="44"/>
      <c r="BJ106" s="65"/>
      <c r="BK106" s="65"/>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115"/>
      <c r="CO106" s="115"/>
      <c r="CP106" s="115"/>
      <c r="CQ106" s="115"/>
      <c r="CR106" s="115"/>
      <c r="CS106" s="115"/>
      <c r="CT106" s="115"/>
      <c r="CU106" s="115"/>
      <c r="CV106" s="115"/>
      <c r="CW106" s="115"/>
      <c r="CX106" s="115"/>
      <c r="CY106" s="115"/>
      <c r="CZ106" s="115"/>
      <c r="DA106" s="115"/>
      <c r="DB106" s="115"/>
      <c r="DC106" s="115"/>
      <c r="DD106" s="115"/>
      <c r="DE106" s="115"/>
      <c r="DF106" s="115"/>
      <c r="DG106" s="115"/>
      <c r="DH106" s="115"/>
      <c r="DI106" s="115"/>
      <c r="DJ106" s="115"/>
      <c r="DK106" s="115"/>
      <c r="DL106" s="115"/>
      <c r="DM106" s="115"/>
      <c r="DN106" s="115"/>
      <c r="DO106" s="115"/>
      <c r="DP106" s="44"/>
      <c r="DQ106" s="44"/>
      <c r="DU106" s="44"/>
      <c r="DV106" s="44"/>
      <c r="DW106" s="44"/>
      <c r="DX106" s="44"/>
      <c r="DY106" s="44"/>
      <c r="DZ106" s="44"/>
      <c r="EA106" s="44"/>
      <c r="EB106" s="44"/>
      <c r="EC106" s="44"/>
      <c r="ED106" s="44">
        <v>241</v>
      </c>
      <c r="EE106" s="44">
        <v>504</v>
      </c>
      <c r="EF106" s="44">
        <v>1910</v>
      </c>
      <c r="EG106" s="44">
        <v>656</v>
      </c>
      <c r="EH106" s="44">
        <v>672</v>
      </c>
      <c r="EI106" s="44">
        <f>SUM(AQ106:AT106)</f>
        <v>0</v>
      </c>
      <c r="EJ106" s="44">
        <f t="shared" si="142"/>
        <v>0</v>
      </c>
      <c r="EK106" s="65"/>
      <c r="EU106" s="44">
        <f t="shared" si="139"/>
        <v>0</v>
      </c>
      <c r="EV106" s="44">
        <f t="shared" si="130"/>
        <v>0</v>
      </c>
      <c r="EW106" s="44">
        <f t="shared" si="132"/>
        <v>0</v>
      </c>
      <c r="EX106" s="44">
        <f t="shared" si="133"/>
        <v>0</v>
      </c>
      <c r="EY106" s="44">
        <f t="shared" si="131"/>
        <v>0</v>
      </c>
    </row>
    <row r="107" spans="2:177">
      <c r="B107" s="4" t="s">
        <v>762</v>
      </c>
      <c r="W107" s="47">
        <v>111</v>
      </c>
      <c r="X107" s="47">
        <v>108</v>
      </c>
      <c r="Y107" s="47">
        <v>134</v>
      </c>
      <c r="Z107" s="47">
        <v>140</v>
      </c>
      <c r="AA107" s="47">
        <v>96</v>
      </c>
      <c r="AB107" s="47">
        <v>152</v>
      </c>
      <c r="AC107" s="47">
        <v>209</v>
      </c>
      <c r="AD107" s="47">
        <v>208</v>
      </c>
      <c r="AE107" s="47">
        <v>166</v>
      </c>
      <c r="AF107" s="47">
        <v>157</v>
      </c>
      <c r="AG107" s="47">
        <v>175</v>
      </c>
      <c r="AH107" s="47">
        <f>2020-959-143-11-481-106-87-54</f>
        <v>179</v>
      </c>
      <c r="AI107" s="74">
        <f>1591-845-20-138-182-85-102-53</f>
        <v>166</v>
      </c>
      <c r="AJ107" s="47">
        <v>157</v>
      </c>
      <c r="AK107" s="47"/>
      <c r="AL107" s="47"/>
      <c r="AM107" s="66"/>
      <c r="AN107" s="47"/>
      <c r="AO107" s="68"/>
      <c r="AP107" s="74"/>
      <c r="AQ107" s="68"/>
      <c r="AR107" s="68"/>
      <c r="AS107" s="68"/>
      <c r="AT107" s="68"/>
      <c r="AU107" s="68"/>
      <c r="AV107" s="70"/>
      <c r="AW107" s="68"/>
      <c r="AX107" s="68"/>
      <c r="AY107" s="68"/>
      <c r="AZ107" s="68"/>
      <c r="BA107" s="68"/>
      <c r="BB107" s="44"/>
      <c r="BC107" s="65"/>
      <c r="BD107" s="44"/>
      <c r="BE107" s="44"/>
      <c r="BF107" s="65"/>
      <c r="BG107" s="44"/>
      <c r="BH107" s="65"/>
      <c r="BI107" s="44"/>
      <c r="BJ107" s="65"/>
      <c r="BK107" s="65"/>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115"/>
      <c r="CO107" s="115"/>
      <c r="CP107" s="115"/>
      <c r="CQ107" s="115"/>
      <c r="CR107" s="115"/>
      <c r="CS107" s="115"/>
      <c r="CT107" s="115"/>
      <c r="CU107" s="115"/>
      <c r="CV107" s="115"/>
      <c r="CW107" s="115"/>
      <c r="CX107" s="115"/>
      <c r="CY107" s="115"/>
      <c r="CZ107" s="115"/>
      <c r="DA107" s="115"/>
      <c r="DB107" s="115"/>
      <c r="DC107" s="115"/>
      <c r="DD107" s="115"/>
      <c r="DE107" s="115"/>
      <c r="DF107" s="115"/>
      <c r="DG107" s="115"/>
      <c r="DH107" s="115"/>
      <c r="DI107" s="115"/>
      <c r="DJ107" s="115"/>
      <c r="DK107" s="115"/>
      <c r="DL107" s="115"/>
      <c r="DM107" s="115"/>
      <c r="DN107" s="115"/>
      <c r="DO107" s="115"/>
      <c r="DP107" s="44"/>
      <c r="DQ107" s="44"/>
      <c r="ED107" s="37">
        <v>493</v>
      </c>
      <c r="EE107" s="47">
        <v>628</v>
      </c>
      <c r="EF107" s="47">
        <v>674</v>
      </c>
      <c r="EG107" s="47">
        <v>628</v>
      </c>
      <c r="EH107" s="47">
        <v>558</v>
      </c>
      <c r="EI107" s="44">
        <f>SUM(AQ107:AT107)</f>
        <v>0</v>
      </c>
      <c r="EJ107" s="44">
        <f t="shared" si="142"/>
        <v>0</v>
      </c>
      <c r="EK107" s="65"/>
      <c r="EU107" s="44">
        <f t="shared" si="139"/>
        <v>0</v>
      </c>
      <c r="EV107" s="44">
        <f t="shared" si="130"/>
        <v>0</v>
      </c>
      <c r="EW107" s="44">
        <f t="shared" si="132"/>
        <v>0</v>
      </c>
      <c r="EX107" s="44">
        <f t="shared" si="133"/>
        <v>0</v>
      </c>
      <c r="EY107" s="44">
        <f t="shared" si="131"/>
        <v>0</v>
      </c>
    </row>
    <row r="108" spans="2:177">
      <c r="B108" s="4" t="s">
        <v>763</v>
      </c>
      <c r="W108" s="44">
        <v>80</v>
      </c>
      <c r="X108" s="44">
        <v>94</v>
      </c>
      <c r="Y108" s="44">
        <v>104</v>
      </c>
      <c r="Z108" s="44">
        <v>61</v>
      </c>
      <c r="AA108" s="44">
        <v>0</v>
      </c>
      <c r="AB108" s="44">
        <v>8</v>
      </c>
      <c r="AC108" s="44">
        <v>14</v>
      </c>
      <c r="AD108" s="44">
        <v>14</v>
      </c>
      <c r="AE108" s="44">
        <v>14</v>
      </c>
      <c r="AF108" s="44">
        <v>12</v>
      </c>
      <c r="AG108" s="44">
        <v>13</v>
      </c>
      <c r="AH108" s="44">
        <f>769-469-285</f>
        <v>15</v>
      </c>
      <c r="AI108" s="68">
        <f>702-438-252</f>
        <v>12</v>
      </c>
      <c r="AJ108" s="44">
        <v>13</v>
      </c>
      <c r="AK108" s="44"/>
      <c r="AL108" s="44"/>
      <c r="AM108" s="65"/>
      <c r="AN108" s="44"/>
      <c r="AO108" s="68"/>
      <c r="AP108" s="68"/>
      <c r="AQ108" s="68"/>
      <c r="AR108" s="68"/>
      <c r="AS108" s="68"/>
      <c r="AT108" s="68"/>
      <c r="AU108" s="68"/>
      <c r="AV108" s="70"/>
      <c r="AW108" s="68"/>
      <c r="AX108" s="68"/>
      <c r="AY108" s="68"/>
      <c r="AZ108" s="68"/>
      <c r="BA108" s="68"/>
      <c r="BB108" s="44"/>
      <c r="BC108" s="65"/>
      <c r="BD108" s="44"/>
      <c r="BE108" s="44"/>
      <c r="BF108" s="65"/>
      <c r="BG108" s="44"/>
      <c r="BH108" s="65"/>
      <c r="BI108" s="44"/>
      <c r="BJ108" s="65"/>
      <c r="BK108" s="65"/>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115"/>
      <c r="CO108" s="115"/>
      <c r="CP108" s="115"/>
      <c r="CQ108" s="115"/>
      <c r="CR108" s="115"/>
      <c r="CS108" s="115"/>
      <c r="CT108" s="115"/>
      <c r="CU108" s="115"/>
      <c r="CV108" s="115"/>
      <c r="CW108" s="115"/>
      <c r="CX108" s="115"/>
      <c r="CY108" s="115"/>
      <c r="CZ108" s="115"/>
      <c r="DA108" s="115"/>
      <c r="DB108" s="115"/>
      <c r="DC108" s="115"/>
      <c r="DD108" s="115"/>
      <c r="DE108" s="115"/>
      <c r="DF108" s="115"/>
      <c r="DG108" s="115"/>
      <c r="DH108" s="115"/>
      <c r="DI108" s="115"/>
      <c r="DJ108" s="115"/>
      <c r="DK108" s="115"/>
      <c r="DL108" s="115"/>
      <c r="DM108" s="115"/>
      <c r="DN108" s="115"/>
      <c r="DO108" s="115"/>
      <c r="DP108" s="44"/>
      <c r="DQ108" s="44"/>
      <c r="DU108" s="44"/>
      <c r="DV108" s="44"/>
      <c r="DW108" s="44"/>
      <c r="DX108" s="44"/>
      <c r="DY108" s="44"/>
      <c r="DZ108" s="44"/>
      <c r="EA108" s="44"/>
      <c r="EB108" s="44"/>
      <c r="EC108" s="44"/>
      <c r="ED108" s="44">
        <v>339</v>
      </c>
      <c r="EE108" s="44">
        <v>36</v>
      </c>
      <c r="EF108" s="44">
        <v>52</v>
      </c>
      <c r="EG108" s="44">
        <v>51</v>
      </c>
      <c r="EH108" s="44">
        <v>52</v>
      </c>
      <c r="EI108" s="44">
        <f>SUM(AQ108:AT108)</f>
        <v>0</v>
      </c>
      <c r="EJ108" s="44">
        <f t="shared" si="142"/>
        <v>0</v>
      </c>
      <c r="EK108" s="65"/>
      <c r="EU108" s="44">
        <f t="shared" si="139"/>
        <v>0</v>
      </c>
      <c r="EV108" s="44">
        <f t="shared" si="130"/>
        <v>0</v>
      </c>
      <c r="EW108" s="44">
        <f t="shared" si="132"/>
        <v>0</v>
      </c>
      <c r="EX108" s="44">
        <f t="shared" si="133"/>
        <v>0</v>
      </c>
      <c r="EY108" s="44">
        <f t="shared" si="131"/>
        <v>0</v>
      </c>
    </row>
    <row r="109" spans="2:177">
      <c r="B109" s="14" t="s">
        <v>766</v>
      </c>
      <c r="AE109" s="44"/>
      <c r="AF109" s="44"/>
      <c r="AG109" s="44"/>
      <c r="AH109" s="44"/>
      <c r="AI109" s="68"/>
      <c r="AJ109" s="44"/>
      <c r="AK109" s="68" t="s">
        <v>605</v>
      </c>
      <c r="AL109" s="68" t="s">
        <v>605</v>
      </c>
      <c r="AM109" s="68" t="s">
        <v>605</v>
      </c>
      <c r="AN109" s="68" t="s">
        <v>605</v>
      </c>
      <c r="AO109" s="68" t="s">
        <v>605</v>
      </c>
      <c r="AP109" s="68" t="s">
        <v>605</v>
      </c>
      <c r="AQ109" s="73" t="s">
        <v>767</v>
      </c>
      <c r="AR109" s="73" t="s">
        <v>655</v>
      </c>
      <c r="AS109" s="73" t="s">
        <v>645</v>
      </c>
      <c r="AT109" s="73" t="s">
        <v>768</v>
      </c>
      <c r="AU109" s="73" t="s">
        <v>769</v>
      </c>
      <c r="AV109" s="75" t="s">
        <v>770</v>
      </c>
      <c r="AW109" s="73" t="s">
        <v>645</v>
      </c>
      <c r="AY109" s="75" t="s">
        <v>771</v>
      </c>
      <c r="AZ109" s="73" t="s">
        <v>772</v>
      </c>
      <c r="BA109" s="73" t="s">
        <v>772</v>
      </c>
      <c r="BB109" s="44">
        <v>494</v>
      </c>
      <c r="BC109" s="65">
        <v>663</v>
      </c>
      <c r="BD109" s="44">
        <v>678</v>
      </c>
      <c r="BE109" s="44">
        <v>673</v>
      </c>
      <c r="BF109" s="65">
        <v>758</v>
      </c>
      <c r="BG109" s="44">
        <v>745</v>
      </c>
      <c r="BH109" s="65">
        <v>721</v>
      </c>
      <c r="BI109" s="44">
        <v>774</v>
      </c>
      <c r="BJ109" s="65">
        <v>817</v>
      </c>
      <c r="BK109" s="70">
        <v>735</v>
      </c>
      <c r="BL109" s="44">
        <v>768</v>
      </c>
      <c r="BM109" s="44">
        <v>780</v>
      </c>
      <c r="BN109" s="44">
        <v>936</v>
      </c>
      <c r="BO109" s="44">
        <v>811</v>
      </c>
      <c r="BP109" s="44">
        <v>800</v>
      </c>
      <c r="BQ109" s="44">
        <v>788</v>
      </c>
      <c r="BR109" s="44">
        <v>943</v>
      </c>
      <c r="BS109" s="44">
        <v>761</v>
      </c>
      <c r="BT109" s="44">
        <v>912</v>
      </c>
      <c r="BU109" s="44">
        <f t="shared" ref="BU109:BV109" si="149">+BQ109*1.01</f>
        <v>795.88</v>
      </c>
      <c r="BV109" s="44">
        <f t="shared" si="149"/>
        <v>952.43000000000006</v>
      </c>
      <c r="BW109" s="44"/>
      <c r="BX109" s="44"/>
      <c r="BY109" s="44"/>
      <c r="BZ109" s="44"/>
      <c r="CA109" s="44"/>
      <c r="CB109" s="44"/>
      <c r="CC109" s="44"/>
      <c r="CD109" s="44"/>
      <c r="CE109" s="44"/>
      <c r="CF109" s="44"/>
      <c r="CG109" s="44"/>
      <c r="CH109" s="44"/>
      <c r="CI109" s="44"/>
      <c r="CJ109" s="44"/>
      <c r="CK109" s="44">
        <v>839</v>
      </c>
      <c r="CL109" s="44">
        <v>974</v>
      </c>
      <c r="CM109" s="44">
        <v>858</v>
      </c>
      <c r="CN109" s="115">
        <v>862</v>
      </c>
      <c r="CO109" s="115">
        <v>377</v>
      </c>
      <c r="CP109" s="115">
        <v>0</v>
      </c>
      <c r="CQ109" s="115">
        <v>0</v>
      </c>
      <c r="CR109" s="115">
        <v>0</v>
      </c>
      <c r="CS109" s="115"/>
      <c r="CT109" s="115"/>
      <c r="CU109" s="115"/>
      <c r="CV109" s="115"/>
      <c r="CW109" s="115"/>
      <c r="CX109" s="115"/>
      <c r="CY109" s="115"/>
      <c r="CZ109" s="115"/>
      <c r="DA109" s="115"/>
      <c r="DB109" s="115"/>
      <c r="DC109" s="115"/>
      <c r="DD109" s="115"/>
      <c r="DE109" s="115"/>
      <c r="DF109" s="115"/>
      <c r="DG109" s="115"/>
      <c r="DH109" s="115"/>
      <c r="DI109" s="115"/>
      <c r="DJ109" s="115"/>
      <c r="DK109" s="115"/>
      <c r="DL109" s="115"/>
      <c r="DM109" s="115"/>
      <c r="DN109" s="115"/>
      <c r="DO109" s="115"/>
      <c r="DP109" s="44"/>
      <c r="DQ109" s="44"/>
      <c r="DU109" s="44"/>
      <c r="DV109" s="44"/>
      <c r="DW109" s="44"/>
      <c r="DX109" s="44"/>
      <c r="DY109" s="44"/>
      <c r="DZ109" s="44"/>
      <c r="EA109" s="44"/>
      <c r="EB109" s="44"/>
      <c r="EC109" s="44"/>
      <c r="ED109" s="44"/>
      <c r="EE109" s="44"/>
      <c r="EF109" s="44"/>
      <c r="EG109" s="44"/>
      <c r="EH109" s="73" t="s">
        <v>773</v>
      </c>
      <c r="EI109" s="73" t="s">
        <v>774</v>
      </c>
      <c r="EJ109" s="73" t="s">
        <v>775</v>
      </c>
      <c r="EK109" s="75">
        <f t="shared" ref="EK109:EK112" si="150">SUM(AY109:BB109)</f>
        <v>494</v>
      </c>
      <c r="EL109" s="44">
        <f t="shared" ref="EL109:EL110" si="151">SUM(BC109:BF109)</f>
        <v>2772</v>
      </c>
      <c r="EM109" s="44">
        <f>SUM(BG109:BJ109)</f>
        <v>3057</v>
      </c>
      <c r="EN109" s="44">
        <f>SUM(BK109:BN109)</f>
        <v>3219</v>
      </c>
      <c r="EO109" s="44">
        <f>SUM(BO109:BR109)</f>
        <v>3342</v>
      </c>
      <c r="EP109" s="44">
        <f>SUM(BS109:BV109)</f>
        <v>3421.3100000000004</v>
      </c>
      <c r="EQ109" s="44">
        <f t="shared" ref="EQ109:ET109" si="152">EP109*1.03</f>
        <v>3523.9493000000007</v>
      </c>
      <c r="ER109" s="44">
        <f t="shared" si="152"/>
        <v>3629.6677790000008</v>
      </c>
      <c r="ES109" s="44">
        <f t="shared" si="152"/>
        <v>3738.5578123700011</v>
      </c>
      <c r="ET109" s="44">
        <f t="shared" si="152"/>
        <v>3850.7145467411015</v>
      </c>
      <c r="EU109" s="44">
        <f t="shared" si="139"/>
        <v>2097</v>
      </c>
      <c r="EV109" s="44">
        <f t="shared" si="130"/>
        <v>0</v>
      </c>
      <c r="EW109" s="44">
        <f t="shared" si="132"/>
        <v>0</v>
      </c>
      <c r="EX109" s="44">
        <f t="shared" si="133"/>
        <v>0</v>
      </c>
      <c r="EY109" s="44">
        <f t="shared" si="131"/>
        <v>0</v>
      </c>
      <c r="FQ109" s="81">
        <f t="shared" ref="FQ109" si="153">EL109*0.3</f>
        <v>831.6</v>
      </c>
      <c r="FR109" s="44">
        <f>EQ109*0.3</f>
        <v>1057.1847900000002</v>
      </c>
      <c r="FS109" s="82">
        <f>ER109*0.3</f>
        <v>1088.9003337000001</v>
      </c>
    </row>
    <row r="110" spans="2:177">
      <c r="B110" s="14" t="s">
        <v>776</v>
      </c>
      <c r="AE110" s="44"/>
      <c r="AF110" s="44"/>
      <c r="AG110" s="44"/>
      <c r="AH110" s="44"/>
      <c r="AI110" s="68"/>
      <c r="AJ110" s="44"/>
      <c r="AK110" s="68" t="s">
        <v>605</v>
      </c>
      <c r="AL110" s="68" t="s">
        <v>605</v>
      </c>
      <c r="AM110" s="68" t="s">
        <v>605</v>
      </c>
      <c r="AN110" s="68" t="s">
        <v>605</v>
      </c>
      <c r="AO110" s="68" t="s">
        <v>605</v>
      </c>
      <c r="AP110" s="68" t="s">
        <v>605</v>
      </c>
      <c r="AQ110" s="73" t="s">
        <v>777</v>
      </c>
      <c r="AR110" s="73" t="s">
        <v>778</v>
      </c>
      <c r="AS110" s="73" t="s">
        <v>779</v>
      </c>
      <c r="AT110" s="73" t="s">
        <v>780</v>
      </c>
      <c r="AU110" s="73" t="s">
        <v>781</v>
      </c>
      <c r="AV110" s="75" t="s">
        <v>782</v>
      </c>
      <c r="AW110" s="73" t="s">
        <v>783</v>
      </c>
      <c r="AX110" s="73" t="s">
        <v>784</v>
      </c>
      <c r="AY110" s="75" t="s">
        <v>785</v>
      </c>
      <c r="AZ110" s="73" t="s">
        <v>786</v>
      </c>
      <c r="BA110" s="73" t="s">
        <v>786</v>
      </c>
      <c r="BB110" s="44">
        <v>191</v>
      </c>
      <c r="BC110" s="65">
        <v>458</v>
      </c>
      <c r="BD110" s="44">
        <v>476</v>
      </c>
      <c r="BE110" s="44">
        <v>441</v>
      </c>
      <c r="BF110" s="65">
        <v>492</v>
      </c>
      <c r="BG110" s="44">
        <v>470</v>
      </c>
      <c r="BH110" s="65">
        <v>493</v>
      </c>
      <c r="BI110" s="44">
        <v>577</v>
      </c>
      <c r="BJ110" s="65">
        <f>598+89</f>
        <v>687</v>
      </c>
      <c r="BK110" s="65">
        <f>513+66</f>
        <v>579</v>
      </c>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115"/>
      <c r="CO110" s="115"/>
      <c r="CP110" s="115"/>
      <c r="CQ110" s="115"/>
      <c r="CR110" s="115"/>
      <c r="CS110" s="115"/>
      <c r="CT110" s="115"/>
      <c r="CU110" s="115"/>
      <c r="CV110" s="115"/>
      <c r="CW110" s="115"/>
      <c r="CX110" s="115"/>
      <c r="CY110" s="115"/>
      <c r="CZ110" s="115"/>
      <c r="DA110" s="115"/>
      <c r="DB110" s="115"/>
      <c r="DC110" s="115"/>
      <c r="DD110" s="115"/>
      <c r="DE110" s="115"/>
      <c r="DF110" s="115"/>
      <c r="DG110" s="115"/>
      <c r="DH110" s="115"/>
      <c r="DI110" s="115"/>
      <c r="DJ110" s="115"/>
      <c r="DK110" s="115"/>
      <c r="DL110" s="115"/>
      <c r="DM110" s="115"/>
      <c r="DN110" s="115"/>
      <c r="DO110" s="115"/>
      <c r="DP110" s="44"/>
      <c r="DQ110" s="44"/>
      <c r="DU110" s="44"/>
      <c r="DV110" s="44"/>
      <c r="DW110" s="44"/>
      <c r="DX110" s="44"/>
      <c r="DY110" s="44"/>
      <c r="DZ110" s="44"/>
      <c r="EA110" s="44"/>
      <c r="EB110" s="44"/>
      <c r="EC110" s="44"/>
      <c r="ED110" s="44"/>
      <c r="EE110" s="44"/>
      <c r="EF110" s="44"/>
      <c r="EG110" s="44"/>
      <c r="EH110" s="73" t="s">
        <v>787</v>
      </c>
      <c r="EI110" s="73" t="s">
        <v>788</v>
      </c>
      <c r="EJ110" s="73" t="s">
        <v>789</v>
      </c>
      <c r="EK110" s="75">
        <f t="shared" si="150"/>
        <v>191</v>
      </c>
      <c r="EL110" s="44">
        <f t="shared" si="151"/>
        <v>1867</v>
      </c>
      <c r="EM110" s="44">
        <f>SUM(BG110:BJ110)</f>
        <v>2227</v>
      </c>
      <c r="EN110" s="44">
        <f>SUM(BK110:BN110)</f>
        <v>579</v>
      </c>
      <c r="EU110" s="44">
        <f t="shared" si="139"/>
        <v>0</v>
      </c>
      <c r="EV110" s="44">
        <f t="shared" si="130"/>
        <v>0</v>
      </c>
      <c r="EW110" s="44">
        <f t="shared" si="132"/>
        <v>0</v>
      </c>
      <c r="EX110" s="44">
        <f t="shared" si="133"/>
        <v>0</v>
      </c>
      <c r="EY110" s="44">
        <f t="shared" si="131"/>
        <v>0</v>
      </c>
      <c r="FQ110" s="81">
        <f t="shared" ref="FQ110:FQ111" si="154">EL110*0.3</f>
        <v>560.1</v>
      </c>
    </row>
    <row r="111" spans="2:177">
      <c r="B111" s="14" t="s">
        <v>790</v>
      </c>
      <c r="AE111" s="44"/>
      <c r="AF111" s="44"/>
      <c r="AG111" s="44"/>
      <c r="AH111" s="44"/>
      <c r="AI111" s="68"/>
      <c r="AJ111" s="44"/>
      <c r="AK111" s="44">
        <v>267</v>
      </c>
      <c r="AL111" s="44">
        <v>308</v>
      </c>
      <c r="AM111" s="44">
        <v>324</v>
      </c>
      <c r="AN111" s="44">
        <v>324</v>
      </c>
      <c r="AO111" s="44">
        <v>336</v>
      </c>
      <c r="AP111" s="68">
        <v>390</v>
      </c>
      <c r="AQ111" s="73">
        <v>398</v>
      </c>
      <c r="AR111" s="73">
        <v>392</v>
      </c>
      <c r="AS111" s="73">
        <v>457</v>
      </c>
      <c r="AT111" s="73">
        <v>542</v>
      </c>
      <c r="AU111" s="73">
        <v>488</v>
      </c>
      <c r="AV111" s="75">
        <v>563</v>
      </c>
      <c r="AW111" s="73">
        <v>571</v>
      </c>
      <c r="AX111" s="73">
        <v>629</v>
      </c>
      <c r="AY111" s="75">
        <v>582</v>
      </c>
      <c r="AZ111" s="73">
        <v>598</v>
      </c>
      <c r="BA111" s="73">
        <v>692</v>
      </c>
      <c r="BB111" s="44">
        <v>1053</v>
      </c>
      <c r="BC111" s="65">
        <v>1004</v>
      </c>
      <c r="BD111" s="44">
        <v>1061</v>
      </c>
      <c r="BE111" s="44">
        <v>1042</v>
      </c>
      <c r="BF111" s="65">
        <v>977</v>
      </c>
      <c r="BG111" s="44">
        <v>884</v>
      </c>
      <c r="BH111" s="65">
        <v>875</v>
      </c>
      <c r="BI111" s="44">
        <v>919</v>
      </c>
      <c r="BJ111" s="65">
        <v>952</v>
      </c>
      <c r="BK111" s="65">
        <v>836</v>
      </c>
      <c r="BL111" s="44">
        <v>862</v>
      </c>
      <c r="BM111" s="44">
        <v>879</v>
      </c>
      <c r="BN111" s="44">
        <v>915</v>
      </c>
      <c r="BO111" s="44">
        <v>747</v>
      </c>
      <c r="BP111" s="44">
        <v>756</v>
      </c>
      <c r="BQ111" s="44">
        <v>684</v>
      </c>
      <c r="BR111" s="44">
        <v>441</v>
      </c>
      <c r="BS111" s="44">
        <v>213</v>
      </c>
      <c r="BT111" s="44">
        <v>235</v>
      </c>
      <c r="BU111" s="44">
        <f>+BT111</f>
        <v>235</v>
      </c>
      <c r="BV111" s="44">
        <f>+BU111</f>
        <v>235</v>
      </c>
      <c r="BW111" s="44"/>
      <c r="BX111" s="44"/>
      <c r="BY111" s="44"/>
      <c r="BZ111" s="44"/>
      <c r="CA111" s="44"/>
      <c r="CB111" s="44"/>
      <c r="CC111" s="44"/>
      <c r="CD111" s="44"/>
      <c r="CE111" s="44"/>
      <c r="CF111" s="44"/>
      <c r="CG111" s="44"/>
      <c r="CH111" s="44"/>
      <c r="CI111" s="44"/>
      <c r="CJ111" s="44"/>
      <c r="CK111" s="44"/>
      <c r="CL111" s="44"/>
      <c r="CM111" s="44"/>
      <c r="CN111" s="115"/>
      <c r="CO111" s="115"/>
      <c r="CP111" s="115"/>
      <c r="CQ111" s="115"/>
      <c r="CR111" s="115"/>
      <c r="CS111" s="115"/>
      <c r="CT111" s="115"/>
      <c r="CU111" s="115"/>
      <c r="CV111" s="115"/>
      <c r="CW111" s="115"/>
      <c r="CX111" s="115"/>
      <c r="CY111" s="115"/>
      <c r="CZ111" s="115"/>
      <c r="DA111" s="115"/>
      <c r="DB111" s="115"/>
      <c r="DC111" s="115"/>
      <c r="DD111" s="115"/>
      <c r="DE111" s="115"/>
      <c r="DF111" s="115"/>
      <c r="DG111" s="115"/>
      <c r="DH111" s="115"/>
      <c r="DI111" s="115"/>
      <c r="DJ111" s="115"/>
      <c r="DK111" s="115"/>
      <c r="DL111" s="115"/>
      <c r="DM111" s="115"/>
      <c r="DN111" s="115"/>
      <c r="DO111" s="115"/>
      <c r="DP111" s="44"/>
      <c r="DQ111" s="44"/>
      <c r="DU111" s="44"/>
      <c r="DV111" s="44"/>
      <c r="DW111" s="44"/>
      <c r="DX111" s="44"/>
      <c r="DY111" s="44"/>
      <c r="DZ111" s="44"/>
      <c r="EA111" s="44"/>
      <c r="EB111" s="44"/>
      <c r="EC111" s="44"/>
      <c r="ED111" s="44"/>
      <c r="EE111" s="62">
        <v>759</v>
      </c>
      <c r="EF111" s="62">
        <v>722</v>
      </c>
      <c r="EG111" s="68">
        <v>1065</v>
      </c>
      <c r="EH111" s="68">
        <v>1374</v>
      </c>
      <c r="EI111" s="68">
        <f>EH111*1.1</f>
        <v>1511.4</v>
      </c>
      <c r="EJ111" s="44">
        <f t="shared" ref="EJ111" si="155">SUM(AR111:AU111)</f>
        <v>1879</v>
      </c>
      <c r="EK111" s="65">
        <f t="shared" si="150"/>
        <v>2925</v>
      </c>
      <c r="EL111" s="44">
        <f>SUM(BC111:BF111)</f>
        <v>4084</v>
      </c>
      <c r="EM111" s="44">
        <f>SUM(BG111:BJ111)</f>
        <v>3630</v>
      </c>
      <c r="EN111" s="44">
        <f>SUM(BK111:BN111)</f>
        <v>3492</v>
      </c>
      <c r="EO111" s="44">
        <f>SUM(BO111:BR111)</f>
        <v>2628</v>
      </c>
      <c r="EP111" s="44">
        <f t="shared" ref="EP111:EP112" si="156">SUM(BS111:BV111)</f>
        <v>918</v>
      </c>
      <c r="EQ111" s="44">
        <f t="shared" ref="EQ111:ET111" si="157">+EP111*0.99</f>
        <v>908.81999999999994</v>
      </c>
      <c r="ER111" s="44">
        <f t="shared" si="157"/>
        <v>899.73179999999991</v>
      </c>
      <c r="ES111" s="44">
        <f t="shared" si="157"/>
        <v>890.73448199999984</v>
      </c>
      <c r="ET111" s="44">
        <f t="shared" si="157"/>
        <v>881.8271371799998</v>
      </c>
      <c r="EU111" s="44">
        <f t="shared" si="139"/>
        <v>0</v>
      </c>
      <c r="EV111" s="44">
        <f t="shared" si="130"/>
        <v>0</v>
      </c>
      <c r="EW111" s="44">
        <f t="shared" si="132"/>
        <v>0</v>
      </c>
      <c r="EX111" s="44">
        <f t="shared" si="133"/>
        <v>0</v>
      </c>
      <c r="EY111" s="44">
        <f t="shared" si="131"/>
        <v>0</v>
      </c>
      <c r="FQ111" s="81">
        <f t="shared" si="154"/>
        <v>1225.2</v>
      </c>
      <c r="FR111" s="44">
        <f>EQ111*0.3</f>
        <v>272.64599999999996</v>
      </c>
      <c r="FS111" s="82">
        <f>ER111*0.3</f>
        <v>269.91953999999998</v>
      </c>
      <c r="FU111" s="14" t="s">
        <v>791</v>
      </c>
    </row>
    <row r="112" spans="2:177">
      <c r="B112" s="14" t="s">
        <v>792</v>
      </c>
      <c r="C112" s="44"/>
      <c r="D112" s="44"/>
      <c r="E112" s="44"/>
      <c r="F112" s="44"/>
      <c r="G112" s="44"/>
      <c r="H112" s="44"/>
      <c r="I112" s="44"/>
      <c r="J112" s="44"/>
      <c r="K112" s="44"/>
      <c r="L112" s="44"/>
      <c r="M112" s="44"/>
      <c r="N112" s="44"/>
      <c r="O112" s="44"/>
      <c r="P112" s="44"/>
      <c r="Q112" s="44"/>
      <c r="R112" s="44"/>
      <c r="S112" s="44"/>
      <c r="T112" s="44">
        <v>247</v>
      </c>
      <c r="AE112" s="44"/>
      <c r="AF112" s="44"/>
      <c r="AG112" s="44"/>
      <c r="AH112" s="44">
        <v>566</v>
      </c>
      <c r="AI112" s="68">
        <v>496</v>
      </c>
      <c r="AJ112" s="68"/>
      <c r="AK112" s="68">
        <v>503</v>
      </c>
      <c r="AL112" s="68">
        <v>630</v>
      </c>
      <c r="AM112" s="44">
        <v>511</v>
      </c>
      <c r="AN112" s="44">
        <v>583</v>
      </c>
      <c r="AO112" s="44">
        <v>562</v>
      </c>
      <c r="AP112" s="68">
        <v>655</v>
      </c>
      <c r="AQ112" s="68">
        <v>586</v>
      </c>
      <c r="AR112" s="68">
        <v>632</v>
      </c>
      <c r="AS112" s="68">
        <v>636</v>
      </c>
      <c r="AT112" s="68">
        <v>785</v>
      </c>
      <c r="AU112" s="68">
        <v>619</v>
      </c>
      <c r="AV112" s="70">
        <v>715</v>
      </c>
      <c r="AW112" s="68">
        <f>708</f>
        <v>708</v>
      </c>
      <c r="AX112" s="68">
        <f>783+119-35</f>
        <v>867</v>
      </c>
      <c r="AY112" s="70">
        <v>537</v>
      </c>
      <c r="AZ112" s="68">
        <f>648+273</f>
        <v>921</v>
      </c>
      <c r="BA112" s="68">
        <f>678</f>
        <v>678</v>
      </c>
      <c r="BB112" s="68">
        <v>901</v>
      </c>
      <c r="BC112" s="70">
        <v>846</v>
      </c>
      <c r="BD112" s="44">
        <v>893</v>
      </c>
      <c r="BE112" s="44">
        <v>860</v>
      </c>
      <c r="BF112" s="65">
        <v>976</v>
      </c>
      <c r="BG112" s="44">
        <v>982</v>
      </c>
      <c r="BH112" s="65">
        <v>1055</v>
      </c>
      <c r="BI112" s="44">
        <v>1041</v>
      </c>
      <c r="BJ112" s="65">
        <v>1106</v>
      </c>
      <c r="BK112" s="65">
        <v>1026</v>
      </c>
      <c r="BL112" s="44">
        <v>1085</v>
      </c>
      <c r="BM112" s="44">
        <v>1017</v>
      </c>
      <c r="BN112" s="44">
        <v>1171</v>
      </c>
      <c r="BO112" s="44">
        <v>1090</v>
      </c>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115"/>
      <c r="CO112" s="115"/>
      <c r="CP112" s="115"/>
      <c r="CQ112" s="115"/>
      <c r="CR112" s="115"/>
      <c r="CS112" s="115"/>
      <c r="CT112" s="115"/>
      <c r="CU112" s="115"/>
      <c r="CV112" s="115"/>
      <c r="CW112" s="115"/>
      <c r="CX112" s="115"/>
      <c r="CY112" s="115"/>
      <c r="CZ112" s="115"/>
      <c r="DA112" s="115"/>
      <c r="DB112" s="115"/>
      <c r="DC112" s="115"/>
      <c r="DD112" s="115"/>
      <c r="DE112" s="115"/>
      <c r="DF112" s="115"/>
      <c r="DG112" s="115"/>
      <c r="DH112" s="115"/>
      <c r="DI112" s="115"/>
      <c r="DJ112" s="115"/>
      <c r="DK112" s="115"/>
      <c r="DL112" s="115"/>
      <c r="DM112" s="115"/>
      <c r="DN112" s="115"/>
      <c r="DO112" s="115"/>
      <c r="DP112" s="44"/>
      <c r="DQ112" s="44"/>
      <c r="DU112" s="44"/>
      <c r="DV112" s="44"/>
      <c r="DW112" s="44"/>
      <c r="DX112" s="44"/>
      <c r="DY112" s="44"/>
      <c r="DZ112" s="44"/>
      <c r="EA112" s="44"/>
      <c r="EB112" s="44"/>
      <c r="EC112" s="44"/>
      <c r="ED112" s="44">
        <v>1118</v>
      </c>
      <c r="EE112" s="44">
        <f>1598+764</f>
        <v>2362</v>
      </c>
      <c r="EF112" s="44">
        <f>1953+914</f>
        <v>2867</v>
      </c>
      <c r="EG112" s="44">
        <f>2206+930</f>
        <v>3136</v>
      </c>
      <c r="EH112" s="44">
        <f>2311+977</f>
        <v>3288</v>
      </c>
      <c r="EI112" s="44">
        <f>EH112*1.05</f>
        <v>3452.4</v>
      </c>
      <c r="EJ112" s="44">
        <f>SUM(AR112:AU112)</f>
        <v>2672</v>
      </c>
      <c r="EK112" s="65">
        <f t="shared" si="150"/>
        <v>3037</v>
      </c>
      <c r="EL112" s="44">
        <f>SUM(BC112:BF112)</f>
        <v>3575</v>
      </c>
      <c r="EM112" s="44">
        <f>SUM(BG112:BJ112)</f>
        <v>4184</v>
      </c>
      <c r="EN112" s="44">
        <f>SUM(BK112:BN112)</f>
        <v>4299</v>
      </c>
      <c r="EO112" s="44">
        <f>SUM(BO112:BR112)</f>
        <v>1090</v>
      </c>
      <c r="EP112" s="44">
        <f t="shared" si="156"/>
        <v>0</v>
      </c>
      <c r="EQ112" s="44">
        <f>+EP112*1.03</f>
        <v>0</v>
      </c>
      <c r="ER112" s="44">
        <f>+EQ112*1.03</f>
        <v>0</v>
      </c>
      <c r="ES112" s="44">
        <f>+ER112*1.03</f>
        <v>0</v>
      </c>
      <c r="ET112" s="44">
        <f t="shared" ref="ET112" si="158">+ES112*1.03</f>
        <v>0</v>
      </c>
      <c r="EU112" s="44">
        <f t="shared" si="139"/>
        <v>0</v>
      </c>
      <c r="EV112" s="44">
        <f>SUM(CQ112:CT112)</f>
        <v>0</v>
      </c>
      <c r="EW112" s="44">
        <f t="shared" si="132"/>
        <v>0</v>
      </c>
      <c r="EX112" s="44">
        <f t="shared" si="133"/>
        <v>0</v>
      </c>
      <c r="EY112" s="44">
        <f t="shared" si="131"/>
        <v>0</v>
      </c>
      <c r="FQ112" s="81">
        <f>EL112*0.4</f>
        <v>1430</v>
      </c>
      <c r="FR112" s="44">
        <f>EQ112*0.4</f>
        <v>0</v>
      </c>
      <c r="FS112" s="82">
        <f>ER112*0.4</f>
        <v>0</v>
      </c>
    </row>
    <row r="113" spans="2:213">
      <c r="B113" s="5" t="s">
        <v>793</v>
      </c>
      <c r="C113" s="45">
        <f t="shared" ref="C113:AH113" si="159">SUM(C5:C112)</f>
        <v>1816</v>
      </c>
      <c r="D113" s="45">
        <f t="shared" si="159"/>
        <v>1685</v>
      </c>
      <c r="E113" s="45">
        <f t="shared" si="159"/>
        <v>1961</v>
      </c>
      <c r="F113" s="45">
        <f t="shared" si="159"/>
        <v>2277</v>
      </c>
      <c r="G113" s="45">
        <f t="shared" si="159"/>
        <v>2596</v>
      </c>
      <c r="H113" s="45">
        <f t="shared" si="159"/>
        <v>2716</v>
      </c>
      <c r="I113" s="45">
        <f t="shared" si="159"/>
        <v>2711</v>
      </c>
      <c r="J113" s="45">
        <f t="shared" si="159"/>
        <v>3244</v>
      </c>
      <c r="K113" s="45">
        <f t="shared" si="159"/>
        <v>3345</v>
      </c>
      <c r="L113" s="45">
        <f t="shared" si="159"/>
        <v>3340</v>
      </c>
      <c r="M113" s="45">
        <f t="shared" si="159"/>
        <v>3598</v>
      </c>
      <c r="N113" s="45">
        <f t="shared" si="159"/>
        <v>4121</v>
      </c>
      <c r="O113" s="45">
        <f t="shared" si="159"/>
        <v>4056</v>
      </c>
      <c r="P113" s="45">
        <f t="shared" si="159"/>
        <v>3947</v>
      </c>
      <c r="Q113" s="45">
        <f t="shared" si="159"/>
        <v>4199</v>
      </c>
      <c r="R113" s="45">
        <f t="shared" si="159"/>
        <v>4872</v>
      </c>
      <c r="S113" s="45">
        <f t="shared" si="159"/>
        <v>4759</v>
      </c>
      <c r="T113" s="45">
        <f t="shared" si="159"/>
        <v>4704</v>
      </c>
      <c r="U113" s="45">
        <f t="shared" si="159"/>
        <v>4819</v>
      </c>
      <c r="V113" s="45">
        <f t="shared" si="159"/>
        <v>5657</v>
      </c>
      <c r="W113" s="45">
        <f t="shared" si="159"/>
        <v>7344</v>
      </c>
      <c r="X113" s="45">
        <f t="shared" si="159"/>
        <v>7023</v>
      </c>
      <c r="Y113" s="45">
        <f t="shared" si="159"/>
        <v>7726</v>
      </c>
      <c r="Z113" s="45">
        <f t="shared" si="159"/>
        <v>8825</v>
      </c>
      <c r="AA113" s="45">
        <f t="shared" si="159"/>
        <v>8279.7999999999993</v>
      </c>
      <c r="AB113" s="45">
        <f t="shared" si="159"/>
        <v>7374.9</v>
      </c>
      <c r="AC113" s="45">
        <f t="shared" si="159"/>
        <v>9413.5</v>
      </c>
      <c r="AD113" s="45">
        <f t="shared" si="159"/>
        <v>10650.4</v>
      </c>
      <c r="AE113" s="45">
        <f t="shared" si="159"/>
        <v>9672.4</v>
      </c>
      <c r="AF113" s="45">
        <f t="shared" si="159"/>
        <v>9384.1</v>
      </c>
      <c r="AG113" s="45">
        <f t="shared" si="159"/>
        <v>9920.7999999999993</v>
      </c>
      <c r="AH113" s="45">
        <f t="shared" si="159"/>
        <v>13508.3</v>
      </c>
      <c r="AI113" s="45">
        <f t="shared" ref="AI113:BN113" si="160">SUM(AI5:AI112)</f>
        <v>12481.1</v>
      </c>
      <c r="AJ113" s="45">
        <f t="shared" si="160"/>
        <v>9245.2999999999993</v>
      </c>
      <c r="AK113" s="45">
        <f t="shared" si="160"/>
        <v>12582.1</v>
      </c>
      <c r="AL113" s="45">
        <f t="shared" si="160"/>
        <v>13992.8</v>
      </c>
      <c r="AM113" s="45">
        <f t="shared" si="160"/>
        <v>13091.6</v>
      </c>
      <c r="AN113" s="45">
        <f t="shared" si="160"/>
        <v>12259.2</v>
      </c>
      <c r="AO113" s="45">
        <f t="shared" si="160"/>
        <v>12789.8</v>
      </c>
      <c r="AP113" s="45">
        <f t="shared" si="160"/>
        <v>13104.7</v>
      </c>
      <c r="AQ113" s="45">
        <f t="shared" si="160"/>
        <v>12474</v>
      </c>
      <c r="AR113" s="45">
        <f t="shared" si="160"/>
        <v>11084</v>
      </c>
      <c r="AS113" s="45">
        <f t="shared" si="160"/>
        <v>11950</v>
      </c>
      <c r="AT113" s="45">
        <f t="shared" si="160"/>
        <v>12990</v>
      </c>
      <c r="AU113" s="45">
        <f t="shared" si="160"/>
        <v>12501.803</v>
      </c>
      <c r="AV113" s="45">
        <f t="shared" si="160"/>
        <v>12765.654</v>
      </c>
      <c r="AW113" s="45">
        <f t="shared" si="160"/>
        <v>12159</v>
      </c>
      <c r="AX113" s="45">
        <f t="shared" si="160"/>
        <v>12311</v>
      </c>
      <c r="AY113" s="45">
        <f t="shared" si="160"/>
        <v>11599.65</v>
      </c>
      <c r="AZ113" s="45">
        <f t="shared" si="160"/>
        <v>11749.615</v>
      </c>
      <c r="BA113" s="45">
        <f t="shared" si="160"/>
        <v>11603</v>
      </c>
      <c r="BB113" s="45">
        <f t="shared" si="160"/>
        <v>16520</v>
      </c>
      <c r="BC113" s="45">
        <f t="shared" si="160"/>
        <v>17113</v>
      </c>
      <c r="BD113" s="45">
        <f t="shared" si="160"/>
        <v>17607</v>
      </c>
      <c r="BE113" s="45">
        <f t="shared" si="160"/>
        <v>16729</v>
      </c>
      <c r="BF113" s="45">
        <f t="shared" si="160"/>
        <v>18290</v>
      </c>
      <c r="BG113" s="45">
        <f t="shared" si="160"/>
        <v>16565</v>
      </c>
      <c r="BH113" s="45">
        <f t="shared" si="160"/>
        <v>17751</v>
      </c>
      <c r="BI113" s="45">
        <f t="shared" si="160"/>
        <v>17242</v>
      </c>
      <c r="BJ113" s="45">
        <f t="shared" si="160"/>
        <v>16746</v>
      </c>
      <c r="BK113" s="45">
        <f t="shared" si="160"/>
        <v>15429</v>
      </c>
      <c r="BL113" s="45">
        <f t="shared" si="160"/>
        <v>15057</v>
      </c>
      <c r="BM113" s="45">
        <f t="shared" si="160"/>
        <v>13976</v>
      </c>
      <c r="BN113" s="45">
        <f t="shared" si="160"/>
        <v>15245</v>
      </c>
      <c r="BO113" s="45">
        <f t="shared" ref="BO113:CT113" si="161">SUM(BO5:BO112)</f>
        <v>13500</v>
      </c>
      <c r="BP113" s="45">
        <f t="shared" si="161"/>
        <v>12973</v>
      </c>
      <c r="BQ113" s="45">
        <f t="shared" si="161"/>
        <v>12576</v>
      </c>
      <c r="BR113" s="45">
        <f t="shared" si="161"/>
        <v>13493</v>
      </c>
      <c r="BS113" s="45">
        <f t="shared" si="161"/>
        <v>11296</v>
      </c>
      <c r="BT113" s="45">
        <f t="shared" si="161"/>
        <v>12702</v>
      </c>
      <c r="BU113" s="45">
        <f t="shared" si="161"/>
        <v>11783.369999999999</v>
      </c>
      <c r="BV113" s="45">
        <f t="shared" si="161"/>
        <v>12741.41</v>
      </c>
      <c r="BW113" s="45"/>
      <c r="BX113" s="45"/>
      <c r="BY113" s="45"/>
      <c r="BZ113" s="45"/>
      <c r="CA113" s="45"/>
      <c r="CB113" s="45"/>
      <c r="CC113" s="45"/>
      <c r="CD113" s="45"/>
      <c r="CE113" s="45"/>
      <c r="CF113" s="45"/>
      <c r="CG113" s="45"/>
      <c r="CH113" s="45"/>
      <c r="CI113" s="45"/>
      <c r="CJ113" s="121">
        <f t="shared" ref="CJ113:DH113" si="162">SUM(CJ3:CJ112)</f>
        <v>0</v>
      </c>
      <c r="CK113" s="121">
        <f t="shared" si="162"/>
        <v>13297</v>
      </c>
      <c r="CL113" s="121">
        <f t="shared" si="162"/>
        <v>14012</v>
      </c>
      <c r="CM113" s="121">
        <f t="shared" si="162"/>
        <v>13081</v>
      </c>
      <c r="CN113" s="121">
        <f t="shared" si="162"/>
        <v>12963</v>
      </c>
      <c r="CO113" s="121">
        <f t="shared" si="162"/>
        <v>12682</v>
      </c>
      <c r="CP113" s="121">
        <f t="shared" si="162"/>
        <v>12734</v>
      </c>
      <c r="CQ113" s="121">
        <f t="shared" si="162"/>
        <v>12033</v>
      </c>
      <c r="CR113" s="121">
        <f t="shared" si="162"/>
        <v>11799</v>
      </c>
      <c r="CS113" s="121">
        <f t="shared" si="162"/>
        <v>10277</v>
      </c>
      <c r="CT113" s="121">
        <f t="shared" si="162"/>
        <v>11629</v>
      </c>
      <c r="CU113" s="121">
        <f t="shared" si="162"/>
        <v>14515.599999999999</v>
      </c>
      <c r="CV113" s="121">
        <f t="shared" si="162"/>
        <v>18899</v>
      </c>
      <c r="CW113" s="121">
        <f t="shared" si="162"/>
        <v>24091</v>
      </c>
      <c r="CX113" s="121">
        <f t="shared" si="162"/>
        <v>23836</v>
      </c>
      <c r="CY113" s="121">
        <f t="shared" si="162"/>
        <v>25661.399999999998</v>
      </c>
      <c r="CZ113" s="121">
        <f t="shared" si="162"/>
        <v>27742.80000000001</v>
      </c>
      <c r="DA113" s="121">
        <f t="shared" si="162"/>
        <v>22725.800000000003</v>
      </c>
      <c r="DB113" s="121">
        <f t="shared" si="162"/>
        <v>24376</v>
      </c>
      <c r="DC113" s="121">
        <f t="shared" si="162"/>
        <v>18150</v>
      </c>
      <c r="DD113" s="121">
        <f t="shared" si="162"/>
        <v>12733</v>
      </c>
      <c r="DE113" s="121">
        <f t="shared" si="162"/>
        <v>13233</v>
      </c>
      <c r="DF113" s="121">
        <f t="shared" si="162"/>
        <v>14249</v>
      </c>
      <c r="DG113" s="121">
        <f t="shared" si="162"/>
        <v>14881</v>
      </c>
      <c r="DH113" s="121">
        <f t="shared" si="162"/>
        <v>12991</v>
      </c>
      <c r="DI113" s="121"/>
      <c r="DJ113" s="121"/>
      <c r="DK113" s="121"/>
      <c r="DL113" s="121"/>
      <c r="DM113" s="121"/>
      <c r="DN113" s="121"/>
      <c r="DO113" s="121"/>
      <c r="DP113" s="45"/>
      <c r="DQ113" s="45"/>
      <c r="DU113" s="45"/>
      <c r="DV113" s="45">
        <v>7977</v>
      </c>
      <c r="DW113" s="45">
        <v>10021</v>
      </c>
      <c r="DX113" s="45">
        <v>11306</v>
      </c>
      <c r="DY113" s="45">
        <v>12504</v>
      </c>
      <c r="DZ113" s="45">
        <v>13544</v>
      </c>
      <c r="EA113" s="45">
        <v>27376.093693693692</v>
      </c>
      <c r="EB113" s="45">
        <v>29574</v>
      </c>
      <c r="EC113" s="45">
        <v>26593</v>
      </c>
      <c r="ED113" s="45">
        <f t="shared" ref="ED113:EN113" si="163">SUM(ED68:ED112)</f>
        <v>22254</v>
      </c>
      <c r="EE113" s="45">
        <f t="shared" si="163"/>
        <v>30232</v>
      </c>
      <c r="EF113" s="45">
        <f t="shared" si="163"/>
        <v>35261</v>
      </c>
      <c r="EG113" s="45">
        <f t="shared" si="163"/>
        <v>34369</v>
      </c>
      <c r="EH113" s="45">
        <f t="shared" si="163"/>
        <v>36444</v>
      </c>
      <c r="EI113" s="45">
        <f t="shared" si="163"/>
        <v>33469.42</v>
      </c>
      <c r="EJ113" s="45">
        <f t="shared" si="163"/>
        <v>27953</v>
      </c>
      <c r="EK113" s="45">
        <f t="shared" si="163"/>
        <v>36779</v>
      </c>
      <c r="EL113" s="45">
        <f t="shared" si="163"/>
        <v>43686</v>
      </c>
      <c r="EM113" s="45">
        <f t="shared" si="163"/>
        <v>41620</v>
      </c>
      <c r="EN113" s="45">
        <f t="shared" si="163"/>
        <v>34396.199999999997</v>
      </c>
      <c r="EO113" s="45">
        <f t="shared" ref="EO113:ET113" si="164">SUM(EO5:EO112)</f>
        <v>51247</v>
      </c>
      <c r="EP113" s="45">
        <f t="shared" si="164"/>
        <v>48522.78</v>
      </c>
      <c r="EQ113" s="45">
        <f t="shared" si="164"/>
        <v>42071.249900000003</v>
      </c>
      <c r="ER113" s="45">
        <f t="shared" si="164"/>
        <v>31074.791678999998</v>
      </c>
      <c r="ES113" s="45">
        <f t="shared" si="164"/>
        <v>29059.533359869998</v>
      </c>
      <c r="ET113" s="45">
        <f t="shared" si="164"/>
        <v>23889.756463466103</v>
      </c>
      <c r="EU113" s="45">
        <f t="shared" ref="EU113:FK113" si="165">SUM(EU3:EU112)</f>
        <v>51460</v>
      </c>
      <c r="EV113" s="45">
        <f t="shared" si="165"/>
        <v>45738</v>
      </c>
      <c r="EW113" s="45">
        <f t="shared" si="165"/>
        <v>81341.600000000006</v>
      </c>
      <c r="EX113" s="45">
        <f t="shared" si="165"/>
        <v>100043.99999999999</v>
      </c>
      <c r="EY113" s="45">
        <f t="shared" si="165"/>
        <v>56794</v>
      </c>
      <c r="EZ113" s="45">
        <f t="shared" si="165"/>
        <v>47602.07</v>
      </c>
      <c r="FA113" s="45">
        <f t="shared" si="165"/>
        <v>44341.438300000002</v>
      </c>
      <c r="FB113" s="45">
        <f t="shared" si="165"/>
        <v>39677.307910999996</v>
      </c>
      <c r="FC113" s="45">
        <f t="shared" si="165"/>
        <v>35863.896010540011</v>
      </c>
      <c r="FD113" s="45">
        <f t="shared" si="165"/>
        <v>33159.8709506144</v>
      </c>
      <c r="FE113" s="45">
        <f t="shared" si="165"/>
        <v>24604.134719582606</v>
      </c>
      <c r="FF113" s="45">
        <f t="shared" si="165"/>
        <v>22274.280342039481</v>
      </c>
      <c r="FG113" s="45">
        <f t="shared" si="165"/>
        <v>18467.317080149165</v>
      </c>
      <c r="FH113" s="45">
        <f t="shared" si="165"/>
        <v>17177.328677387395</v>
      </c>
      <c r="FI113" s="45">
        <f t="shared" si="165"/>
        <v>16092.699564767638</v>
      </c>
      <c r="FJ113" s="45">
        <f t="shared" si="165"/>
        <v>15164.535669959723</v>
      </c>
      <c r="FK113" s="45">
        <f t="shared" si="165"/>
        <v>14366.676805692863</v>
      </c>
      <c r="FL113" s="45"/>
      <c r="FM113" s="45"/>
      <c r="FN113" s="45"/>
      <c r="FO113" s="45"/>
      <c r="FP113" s="45"/>
      <c r="FQ113" s="87"/>
      <c r="FR113" s="45"/>
      <c r="FS113" s="88"/>
      <c r="FT113" s="45"/>
      <c r="FU113" s="26"/>
    </row>
    <row r="114" spans="2:213">
      <c r="B114" s="4" t="s">
        <v>794</v>
      </c>
      <c r="C114" s="68"/>
      <c r="D114" s="68"/>
      <c r="E114" s="68"/>
      <c r="F114" s="68"/>
      <c r="G114" s="68"/>
      <c r="H114" s="68"/>
      <c r="I114" s="68"/>
      <c r="J114" s="68"/>
      <c r="K114" s="68"/>
      <c r="L114" s="68"/>
      <c r="M114" s="68"/>
      <c r="N114" s="68"/>
      <c r="O114" s="68"/>
      <c r="P114" s="68"/>
      <c r="Q114" s="68"/>
      <c r="R114" s="68"/>
      <c r="S114" s="68"/>
      <c r="T114" s="68">
        <v>1150</v>
      </c>
      <c r="W114" s="68">
        <v>940</v>
      </c>
      <c r="X114" s="68">
        <v>1197</v>
      </c>
      <c r="Y114" s="68">
        <v>1314</v>
      </c>
      <c r="Z114" s="68">
        <v>1178</v>
      </c>
      <c r="AA114" s="68">
        <v>1058</v>
      </c>
      <c r="AB114" s="68">
        <f>1980-392</f>
        <v>1588</v>
      </c>
      <c r="AC114" s="68">
        <f>3285-1278</f>
        <v>2007</v>
      </c>
      <c r="AD114" s="68">
        <f>3266-1077</f>
        <v>2189</v>
      </c>
      <c r="AE114" s="68">
        <v>1794</v>
      </c>
      <c r="AF114" s="68">
        <v>1752</v>
      </c>
      <c r="AG114" s="68">
        <v>1640</v>
      </c>
      <c r="AH114" s="68">
        <v>2316</v>
      </c>
      <c r="AI114" s="68">
        <f>2191-4-56</f>
        <v>2131</v>
      </c>
      <c r="AK114" s="68">
        <v>1908</v>
      </c>
      <c r="AL114" s="68">
        <v>2346</v>
      </c>
      <c r="AM114" s="68">
        <v>1671</v>
      </c>
      <c r="AN114" s="68">
        <v>1686</v>
      </c>
      <c r="AO114" s="68">
        <v>1962</v>
      </c>
      <c r="AP114" s="68">
        <v>2217</v>
      </c>
      <c r="AQ114" s="44">
        <f>1887-94</f>
        <v>1793</v>
      </c>
      <c r="AR114" s="44">
        <f>2109-170-45</f>
        <v>1894</v>
      </c>
      <c r="AS114" s="44">
        <v>1810</v>
      </c>
      <c r="AT114" s="44">
        <v>2266</v>
      </c>
      <c r="AU114" s="44">
        <v>1800</v>
      </c>
      <c r="AV114" s="44">
        <v>2036</v>
      </c>
      <c r="AW114" s="44">
        <v>1760</v>
      </c>
      <c r="AX114" s="44">
        <f>1444</f>
        <v>1444</v>
      </c>
      <c r="AY114" s="44">
        <f>1408-94</f>
        <v>1314</v>
      </c>
      <c r="AZ114" s="44">
        <v>1686</v>
      </c>
      <c r="BA114" s="44">
        <v>1787</v>
      </c>
      <c r="BB114" s="44">
        <v>2886</v>
      </c>
      <c r="BC114" s="44">
        <v>2935</v>
      </c>
      <c r="BD114" s="44">
        <v>2951</v>
      </c>
      <c r="BE114" s="44">
        <v>2959</v>
      </c>
      <c r="BF114" s="44">
        <v>3775</v>
      </c>
      <c r="BG114" s="44">
        <v>3092</v>
      </c>
      <c r="BH114" s="44">
        <v>3257</v>
      </c>
      <c r="BI114" s="44">
        <v>3325</v>
      </c>
      <c r="BJ114" s="65">
        <v>3362</v>
      </c>
      <c r="BK114" s="65">
        <v>2885</v>
      </c>
      <c r="BL114" s="44">
        <v>2665</v>
      </c>
      <c r="BM114" s="44">
        <v>2565</v>
      </c>
      <c r="BN114" s="44">
        <v>3106</v>
      </c>
      <c r="BO114" s="44">
        <v>2615</v>
      </c>
      <c r="BP114" s="44">
        <v>2194</v>
      </c>
      <c r="BQ114" s="44">
        <v>2178</v>
      </c>
      <c r="BR114" s="44">
        <v>2672</v>
      </c>
      <c r="BS114" s="44">
        <v>1986</v>
      </c>
      <c r="BT114" s="44">
        <v>2320</v>
      </c>
      <c r="BU114" s="44">
        <f t="shared" ref="BU114:BV114" si="166">+BU113-BU115</f>
        <v>2356.6739999999991</v>
      </c>
      <c r="BV114" s="44">
        <f t="shared" si="166"/>
        <v>2548.2819999999992</v>
      </c>
      <c r="BW114" s="44"/>
      <c r="BX114" s="44"/>
      <c r="BY114" s="44"/>
      <c r="BZ114" s="44"/>
      <c r="CA114" s="44"/>
      <c r="CB114" s="44"/>
      <c r="CC114" s="44"/>
      <c r="CD114" s="44"/>
      <c r="CE114" s="44"/>
      <c r="CF114" s="44"/>
      <c r="CG114" s="44"/>
      <c r="CH114" s="44"/>
      <c r="CI114" s="44"/>
      <c r="CJ114" s="44"/>
      <c r="CK114" s="44">
        <v>2673</v>
      </c>
      <c r="CL114" s="44">
        <v>3044</v>
      </c>
      <c r="CM114" s="115">
        <v>2415</v>
      </c>
      <c r="CN114" s="115">
        <v>2556</v>
      </c>
      <c r="CO114" s="115">
        <v>2459</v>
      </c>
      <c r="CP114" s="115">
        <v>2600</v>
      </c>
      <c r="CQ114" s="115">
        <v>2350</v>
      </c>
      <c r="CR114" s="115">
        <v>2236</v>
      </c>
      <c r="CS114" s="115">
        <v>2007</v>
      </c>
      <c r="CT114" s="115">
        <v>2842</v>
      </c>
      <c r="CU114" s="115">
        <v>4127</v>
      </c>
      <c r="CV114" s="115">
        <v>6949</v>
      </c>
      <c r="CW114" s="115">
        <v>9899</v>
      </c>
      <c r="CX114" s="115">
        <v>9710</v>
      </c>
      <c r="CY114" s="115">
        <v>9958</v>
      </c>
      <c r="CZ114" s="115">
        <v>8625</v>
      </c>
      <c r="DA114" s="115">
        <v>6038</v>
      </c>
      <c r="DB114" s="115">
        <v>9475</v>
      </c>
      <c r="DC114" s="115">
        <f>+DC113-DC115</f>
        <v>4719</v>
      </c>
      <c r="DD114" s="115">
        <f t="shared" ref="DD114:DF114" si="167">+DD113-DD115</f>
        <v>3310.58</v>
      </c>
      <c r="DE114" s="115">
        <f t="shared" si="167"/>
        <v>3440.58</v>
      </c>
      <c r="DF114" s="115">
        <f t="shared" si="167"/>
        <v>3704.74</v>
      </c>
      <c r="DG114" s="115"/>
      <c r="DH114" s="115"/>
      <c r="DI114" s="115"/>
      <c r="DJ114" s="115"/>
      <c r="DK114" s="115"/>
      <c r="DL114" s="115"/>
      <c r="DM114" s="115"/>
      <c r="DN114" s="115"/>
      <c r="DO114" s="115"/>
      <c r="DP114" s="44"/>
      <c r="DQ114" s="44"/>
      <c r="DU114" s="45"/>
      <c r="DV114" s="45">
        <v>1722</v>
      </c>
      <c r="DW114" s="44">
        <v>2164</v>
      </c>
      <c r="DX114" s="44">
        <v>2176</v>
      </c>
      <c r="DY114" s="44">
        <v>2274</v>
      </c>
      <c r="DZ114" s="44">
        <v>2094</v>
      </c>
      <c r="EA114" s="44">
        <v>5464</v>
      </c>
      <c r="EB114" s="44">
        <v>4907</v>
      </c>
      <c r="EC114" s="44">
        <v>3823</v>
      </c>
      <c r="ED114" s="44">
        <v>4014</v>
      </c>
      <c r="EE114" s="44">
        <v>6842</v>
      </c>
      <c r="EF114" s="44">
        <v>6391</v>
      </c>
      <c r="EG114" s="44">
        <v>7232</v>
      </c>
      <c r="EH114" s="44">
        <v>7640</v>
      </c>
      <c r="EI114" s="44"/>
      <c r="EJ114" s="44"/>
      <c r="EK114" s="44">
        <f>EK113-EK115</f>
        <v>-7020.2649999999994</v>
      </c>
      <c r="EL114" s="44">
        <f>EL113-EL115</f>
        <v>-13433</v>
      </c>
      <c r="EM114" s="44">
        <f t="shared" ref="EM114" si="168">EM113-EM115</f>
        <v>-13648</v>
      </c>
      <c r="EN114" s="44">
        <f>EN113-EN115</f>
        <v>-14089.800000000003</v>
      </c>
      <c r="EO114" s="44">
        <f>EO113-EO115</f>
        <v>8364</v>
      </c>
      <c r="EV114" s="44">
        <f>SUM(CQ114:CT114)</f>
        <v>9435</v>
      </c>
      <c r="EW114" s="44">
        <f>SUM(CU114:CX114)</f>
        <v>30685</v>
      </c>
      <c r="EX114" s="44">
        <f>SUM(CY114:DB114)</f>
        <v>34096</v>
      </c>
      <c r="EY114" s="44">
        <f>SUM(DC114:DF114)</f>
        <v>15174.9</v>
      </c>
      <c r="EZ114" s="44">
        <f>+EZ113-EZ115</f>
        <v>12852.558900000004</v>
      </c>
      <c r="FA114" s="44">
        <f t="shared" ref="FA114:FF114" si="169">+FA113-FA115</f>
        <v>11528.773957999998</v>
      </c>
      <c r="FB114" s="44">
        <f t="shared" si="169"/>
        <v>9919.3269777499991</v>
      </c>
      <c r="FC114" s="44">
        <f t="shared" si="169"/>
        <v>8607.3350425296012</v>
      </c>
      <c r="FD114" s="44">
        <f t="shared" si="169"/>
        <v>7626.7703186413128</v>
      </c>
      <c r="FE114" s="44">
        <f t="shared" si="169"/>
        <v>5412.9096383081742</v>
      </c>
      <c r="FF114" s="44">
        <f t="shared" si="169"/>
        <v>4677.5988718282897</v>
      </c>
    </row>
    <row r="115" spans="2:213">
      <c r="B115" s="4" t="s">
        <v>795</v>
      </c>
      <c r="C115" s="68"/>
      <c r="D115" s="68"/>
      <c r="E115" s="68"/>
      <c r="F115" s="68"/>
      <c r="G115" s="68"/>
      <c r="H115" s="68"/>
      <c r="I115" s="68"/>
      <c r="J115" s="68"/>
      <c r="K115" s="68"/>
      <c r="L115" s="68"/>
      <c r="M115" s="68"/>
      <c r="N115" s="68"/>
      <c r="O115" s="68"/>
      <c r="P115" s="68"/>
      <c r="Q115" s="68"/>
      <c r="R115" s="68"/>
      <c r="S115" s="68"/>
      <c r="T115" s="68">
        <f>T113-T114</f>
        <v>3554</v>
      </c>
      <c r="W115" s="68">
        <f>W113-W114</f>
        <v>6404</v>
      </c>
      <c r="X115" s="68">
        <f>X113-X114</f>
        <v>5826</v>
      </c>
      <c r="Y115" s="68">
        <f>Y113-Y114</f>
        <v>6412</v>
      </c>
      <c r="Z115" s="68">
        <f>Z113-Z114</f>
        <v>7647</v>
      </c>
      <c r="AA115" s="68">
        <f t="shared" ref="AA115:AI115" si="170">AA113-AA114</f>
        <v>7221.7999999999993</v>
      </c>
      <c r="AB115" s="68">
        <f t="shared" si="170"/>
        <v>5786.9</v>
      </c>
      <c r="AC115" s="68">
        <f t="shared" si="170"/>
        <v>7406.5</v>
      </c>
      <c r="AD115" s="68">
        <f t="shared" si="170"/>
        <v>8461.4</v>
      </c>
      <c r="AE115" s="68">
        <f t="shared" si="170"/>
        <v>7878.4</v>
      </c>
      <c r="AF115" s="68">
        <f t="shared" si="170"/>
        <v>7632.1</v>
      </c>
      <c r="AG115" s="68">
        <f t="shared" si="170"/>
        <v>8280.7999999999993</v>
      </c>
      <c r="AH115" s="68">
        <f t="shared" si="170"/>
        <v>11192.3</v>
      </c>
      <c r="AI115" s="68">
        <f t="shared" si="170"/>
        <v>10350.1</v>
      </c>
      <c r="AK115" s="68">
        <f t="shared" ref="AK115:AL115" si="171">AK113-AK114</f>
        <v>10674.1</v>
      </c>
      <c r="AL115" s="68">
        <f t="shared" si="171"/>
        <v>11646.8</v>
      </c>
      <c r="AM115" s="68">
        <f t="shared" ref="AM115:AS115" si="172">AM113-AM114</f>
        <v>11420.6</v>
      </c>
      <c r="AN115" s="68">
        <f t="shared" si="172"/>
        <v>10573.2</v>
      </c>
      <c r="AO115" s="68">
        <f t="shared" si="172"/>
        <v>10827.8</v>
      </c>
      <c r="AP115" s="68">
        <f t="shared" si="172"/>
        <v>10887.7</v>
      </c>
      <c r="AQ115" s="44">
        <f t="shared" si="172"/>
        <v>10681</v>
      </c>
      <c r="AR115" s="44">
        <f t="shared" si="172"/>
        <v>9190</v>
      </c>
      <c r="AS115" s="44">
        <f t="shared" si="172"/>
        <v>10140</v>
      </c>
      <c r="AT115" s="44">
        <f t="shared" ref="AT115:BB115" si="173">AT113-AT114</f>
        <v>10724</v>
      </c>
      <c r="AU115" s="44">
        <f t="shared" si="173"/>
        <v>10701.803</v>
      </c>
      <c r="AV115" s="44">
        <f t="shared" si="173"/>
        <v>10729.654</v>
      </c>
      <c r="AW115" s="44">
        <f t="shared" si="173"/>
        <v>10399</v>
      </c>
      <c r="AX115" s="44">
        <f t="shared" si="173"/>
        <v>10867</v>
      </c>
      <c r="AY115" s="44">
        <f t="shared" si="173"/>
        <v>10285.65</v>
      </c>
      <c r="AZ115" s="44">
        <f t="shared" si="173"/>
        <v>10063.615</v>
      </c>
      <c r="BA115" s="44">
        <f t="shared" si="173"/>
        <v>9816</v>
      </c>
      <c r="BB115" s="44">
        <f t="shared" si="173"/>
        <v>13634</v>
      </c>
      <c r="BC115" s="44">
        <f>BC113-BC114</f>
        <v>14178</v>
      </c>
      <c r="BD115" s="44">
        <f>BD113-BD114</f>
        <v>14656</v>
      </c>
      <c r="BE115" s="44">
        <f>+BE113-BE114</f>
        <v>13770</v>
      </c>
      <c r="BF115" s="44">
        <f>+BF113-BF114</f>
        <v>14515</v>
      </c>
      <c r="BG115" s="44">
        <f t="shared" ref="BG115:BL115" si="174">BG113-BG114</f>
        <v>13473</v>
      </c>
      <c r="BH115" s="44">
        <f t="shared" si="174"/>
        <v>14494</v>
      </c>
      <c r="BI115" s="44">
        <f t="shared" si="174"/>
        <v>13917</v>
      </c>
      <c r="BJ115" s="65">
        <f t="shared" si="174"/>
        <v>13384</v>
      </c>
      <c r="BK115" s="65">
        <f t="shared" si="174"/>
        <v>12544</v>
      </c>
      <c r="BL115" s="44">
        <f t="shared" si="174"/>
        <v>12392</v>
      </c>
      <c r="BM115" s="44">
        <f t="shared" ref="BM115:BR115" si="175">+BM113-BM114</f>
        <v>11411</v>
      </c>
      <c r="BN115" s="44">
        <f t="shared" si="175"/>
        <v>12139</v>
      </c>
      <c r="BO115" s="44">
        <f t="shared" si="175"/>
        <v>10885</v>
      </c>
      <c r="BP115" s="44">
        <f t="shared" si="175"/>
        <v>10779</v>
      </c>
      <c r="BQ115" s="44">
        <f t="shared" si="175"/>
        <v>10398</v>
      </c>
      <c r="BR115" s="44">
        <f t="shared" si="175"/>
        <v>10821</v>
      </c>
      <c r="BS115" s="44">
        <f>+BS113-BS114</f>
        <v>9310</v>
      </c>
      <c r="BT115" s="44">
        <f>+BT113-BT114</f>
        <v>10382</v>
      </c>
      <c r="BU115" s="44">
        <f t="shared" ref="BU115:BV115" si="176">+BU113*0.8</f>
        <v>9426.6959999999999</v>
      </c>
      <c r="BV115" s="44">
        <f t="shared" si="176"/>
        <v>10193.128000000001</v>
      </c>
      <c r="BW115" s="44"/>
      <c r="BX115" s="44"/>
      <c r="BY115" s="44"/>
      <c r="BZ115" s="44"/>
      <c r="CA115" s="44"/>
      <c r="CB115" s="44"/>
      <c r="CC115" s="44"/>
      <c r="CD115" s="44"/>
      <c r="CE115" s="44"/>
      <c r="CF115" s="44"/>
      <c r="CG115" s="44"/>
      <c r="CH115" s="44"/>
      <c r="CI115" s="44"/>
      <c r="CJ115" s="44"/>
      <c r="CK115" s="44">
        <f t="shared" ref="CK115:CS115" si="177">+CK113-CK114</f>
        <v>10624</v>
      </c>
      <c r="CL115" s="44">
        <f t="shared" si="177"/>
        <v>10968</v>
      </c>
      <c r="CM115" s="115">
        <f t="shared" si="177"/>
        <v>10666</v>
      </c>
      <c r="CN115" s="44">
        <f t="shared" si="177"/>
        <v>10407</v>
      </c>
      <c r="CO115" s="44">
        <f t="shared" si="177"/>
        <v>10223</v>
      </c>
      <c r="CP115" s="115">
        <f t="shared" si="177"/>
        <v>10134</v>
      </c>
      <c r="CQ115" s="115">
        <f t="shared" si="177"/>
        <v>9683</v>
      </c>
      <c r="CR115" s="115">
        <f t="shared" si="177"/>
        <v>9563</v>
      </c>
      <c r="CS115" s="115">
        <f t="shared" si="177"/>
        <v>8270</v>
      </c>
      <c r="CT115" s="115">
        <f t="shared" ref="CT115" si="178">CT113-CT114</f>
        <v>8787</v>
      </c>
      <c r="CU115" s="115">
        <f>CU113-CU114</f>
        <v>10388.599999999999</v>
      </c>
      <c r="CV115" s="115">
        <f>+CV113-CV114</f>
        <v>11950</v>
      </c>
      <c r="CW115" s="115">
        <f>+CW113-CW114</f>
        <v>14192</v>
      </c>
      <c r="CX115" s="115">
        <f>CX113-CX114</f>
        <v>14126</v>
      </c>
      <c r="CY115" s="115">
        <f>CY113-CY114</f>
        <v>15703.399999999998</v>
      </c>
      <c r="CZ115" s="115">
        <f>+CZ113-CZ114</f>
        <v>19117.80000000001</v>
      </c>
      <c r="DA115" s="115">
        <f>+DA113-DA114</f>
        <v>16687.800000000003</v>
      </c>
      <c r="DB115" s="115">
        <f>+DB113-DB114</f>
        <v>14901</v>
      </c>
      <c r="DC115" s="115">
        <f>+DC113*0.74</f>
        <v>13431</v>
      </c>
      <c r="DD115" s="115">
        <f t="shared" ref="DD115:DF115" si="179">+DD113*0.74</f>
        <v>9422.42</v>
      </c>
      <c r="DE115" s="115">
        <f t="shared" si="179"/>
        <v>9792.42</v>
      </c>
      <c r="DF115" s="115">
        <f t="shared" si="179"/>
        <v>10544.26</v>
      </c>
      <c r="DG115" s="115"/>
      <c r="DH115" s="115"/>
      <c r="DI115" s="115"/>
      <c r="DJ115" s="115"/>
      <c r="DK115" s="115"/>
      <c r="DL115" s="115"/>
      <c r="DM115" s="115"/>
      <c r="DN115" s="115"/>
      <c r="DO115" s="115"/>
      <c r="DP115" s="44"/>
      <c r="DQ115" s="44"/>
      <c r="DU115" s="44"/>
      <c r="DV115" s="44">
        <f>DV113-DV114</f>
        <v>6255</v>
      </c>
      <c r="DW115" s="44">
        <f t="shared" ref="DW115:EC115" si="180">DW113-DW114</f>
        <v>7857</v>
      </c>
      <c r="DX115" s="44">
        <f t="shared" si="180"/>
        <v>9130</v>
      </c>
      <c r="DY115" s="44">
        <f t="shared" si="180"/>
        <v>10230</v>
      </c>
      <c r="DZ115" s="44">
        <f t="shared" si="180"/>
        <v>11450</v>
      </c>
      <c r="EA115" s="44">
        <f t="shared" si="180"/>
        <v>21912.093693693692</v>
      </c>
      <c r="EB115" s="44">
        <f t="shared" si="180"/>
        <v>24667</v>
      </c>
      <c r="EC115" s="44">
        <f t="shared" si="180"/>
        <v>22770</v>
      </c>
      <c r="ED115" s="44">
        <f>ED113-ED114</f>
        <v>18240</v>
      </c>
      <c r="EE115" s="44">
        <f>EE113-EE114</f>
        <v>23390</v>
      </c>
      <c r="EF115" s="44">
        <f>EF113-EF114</f>
        <v>28870</v>
      </c>
      <c r="EG115" s="44">
        <f>EG113-EG114</f>
        <v>27137</v>
      </c>
      <c r="EH115" s="44">
        <f>EH113-EH114</f>
        <v>28804</v>
      </c>
      <c r="EI115" s="44">
        <f>+EI113*0.8</f>
        <v>26775.536</v>
      </c>
      <c r="EJ115" s="44">
        <f>SUM(AY115:BB115)</f>
        <v>43799.264999999999</v>
      </c>
      <c r="EK115" s="44">
        <f>SUM(AY115:BB115)</f>
        <v>43799.264999999999</v>
      </c>
      <c r="EL115" s="44">
        <f>SUM(BC115:BF115)</f>
        <v>57119</v>
      </c>
      <c r="EM115" s="44">
        <f>SUM(BG115:BJ115)</f>
        <v>55268</v>
      </c>
      <c r="EN115" s="44">
        <f>SUM(BK115:BN115)</f>
        <v>48486</v>
      </c>
      <c r="EO115" s="44">
        <f>SUM(BO115:BR115)</f>
        <v>42883</v>
      </c>
      <c r="EV115" s="44">
        <f>+EV113-EV114</f>
        <v>36303</v>
      </c>
      <c r="EW115" s="44">
        <f>+EW113-EW114</f>
        <v>50656.600000000006</v>
      </c>
      <c r="EX115" s="44">
        <f>+EX113-EX114</f>
        <v>65947.999999999985</v>
      </c>
      <c r="EY115" s="44">
        <f>+EY113-EY114</f>
        <v>41619.1</v>
      </c>
      <c r="EZ115" s="44">
        <f>+EZ113*0.73</f>
        <v>34749.511099999996</v>
      </c>
      <c r="FA115" s="44">
        <f>+FA113*0.74</f>
        <v>32812.664342000004</v>
      </c>
      <c r="FB115" s="44">
        <f>+FB113*0.75</f>
        <v>29757.980933249997</v>
      </c>
      <c r="FC115" s="44">
        <f>+FC113*0.76</f>
        <v>27256.56096801041</v>
      </c>
      <c r="FD115" s="44">
        <f>+FD113*0.77</f>
        <v>25533.100631973088</v>
      </c>
      <c r="FE115" s="44">
        <f>+FE113*0.78</f>
        <v>19191.225081274431</v>
      </c>
      <c r="FF115" s="44">
        <f>+FF113*0.79</f>
        <v>17596.681470211191</v>
      </c>
    </row>
    <row r="116" spans="2:213">
      <c r="B116" s="4" t="s">
        <v>796</v>
      </c>
      <c r="C116" s="68"/>
      <c r="D116" s="68"/>
      <c r="E116" s="68"/>
      <c r="F116" s="68"/>
      <c r="G116" s="68"/>
      <c r="H116" s="68"/>
      <c r="I116" s="68"/>
      <c r="J116" s="68"/>
      <c r="K116" s="68"/>
      <c r="L116" s="68"/>
      <c r="M116" s="68"/>
      <c r="N116" s="68"/>
      <c r="O116" s="68"/>
      <c r="P116" s="68"/>
      <c r="Q116" s="68"/>
      <c r="R116" s="68"/>
      <c r="S116" s="68"/>
      <c r="T116" s="68">
        <v>2810</v>
      </c>
      <c r="W116" s="68">
        <v>2545</v>
      </c>
      <c r="X116" s="68">
        <v>2983</v>
      </c>
      <c r="Y116" s="68">
        <f>2946-10</f>
        <v>2936</v>
      </c>
      <c r="Z116" s="68">
        <v>2982</v>
      </c>
      <c r="AA116" s="68">
        <v>2740</v>
      </c>
      <c r="AB116" s="68">
        <v>3744</v>
      </c>
      <c r="AC116" s="68">
        <v>3994</v>
      </c>
      <c r="AD116" s="68">
        <v>4629</v>
      </c>
      <c r="AE116" s="68">
        <f>3933</f>
        <v>3933</v>
      </c>
      <c r="AF116" s="68">
        <v>4258</v>
      </c>
      <c r="AG116" s="68">
        <v>4036</v>
      </c>
      <c r="AH116" s="68">
        <v>4676</v>
      </c>
      <c r="AI116" s="68">
        <f>4085-2</f>
        <v>4083</v>
      </c>
      <c r="AK116" s="68">
        <v>3931</v>
      </c>
      <c r="AL116" s="68">
        <v>4755</v>
      </c>
      <c r="AM116" s="68">
        <v>3395</v>
      </c>
      <c r="AN116" s="68">
        <v>3846</v>
      </c>
      <c r="AO116" s="68">
        <v>3751</v>
      </c>
      <c r="AP116" s="68">
        <v>4562</v>
      </c>
      <c r="AQ116" s="44">
        <f>3361-49</f>
        <v>3312</v>
      </c>
      <c r="AR116" s="44">
        <f>3844-79</f>
        <v>3765</v>
      </c>
      <c r="AS116" s="44">
        <v>3638</v>
      </c>
      <c r="AT116" s="44">
        <v>4532</v>
      </c>
      <c r="AU116" s="44">
        <v>3409</v>
      </c>
      <c r="AV116" s="44">
        <v>3696</v>
      </c>
      <c r="AW116" s="44">
        <v>3429</v>
      </c>
      <c r="AX116" s="44">
        <v>3510</v>
      </c>
      <c r="AY116" s="44">
        <f>2876-46</f>
        <v>2830</v>
      </c>
      <c r="AZ116" s="44">
        <v>3264</v>
      </c>
      <c r="BA116" s="44">
        <v>3225</v>
      </c>
      <c r="BB116" s="44">
        <v>5345</v>
      </c>
      <c r="BC116" s="44">
        <v>4375</v>
      </c>
      <c r="BD116" s="44">
        <v>4727</v>
      </c>
      <c r="BE116" s="44">
        <v>4615</v>
      </c>
      <c r="BF116" s="44">
        <v>5743</v>
      </c>
      <c r="BG116" s="44">
        <v>4501</v>
      </c>
      <c r="BH116" s="44">
        <v>4950</v>
      </c>
      <c r="BI116" s="44">
        <v>4560</v>
      </c>
      <c r="BJ116" s="65">
        <v>5347</v>
      </c>
      <c r="BK116" s="65">
        <v>4111</v>
      </c>
      <c r="BL116" s="44">
        <v>3937</v>
      </c>
      <c r="BM116" s="44">
        <v>3729</v>
      </c>
      <c r="BN116" s="44">
        <v>4658</v>
      </c>
      <c r="BO116" s="44">
        <v>3494</v>
      </c>
      <c r="BP116" s="44">
        <v>3550</v>
      </c>
      <c r="BQ116" s="44">
        <v>3351</v>
      </c>
      <c r="BR116" s="44">
        <v>4093</v>
      </c>
      <c r="BS116" s="44">
        <v>3020</v>
      </c>
      <c r="BT116" s="44">
        <v>3486</v>
      </c>
      <c r="BU116" s="44">
        <f t="shared" ref="BU116:BU117" si="181">+BQ116*0.95</f>
        <v>3183.45</v>
      </c>
      <c r="BV116" s="44">
        <f t="shared" ref="BV116:BV117" si="182">+BR116*0.95</f>
        <v>3888.35</v>
      </c>
      <c r="BW116" s="44"/>
      <c r="BX116" s="44"/>
      <c r="BY116" s="44"/>
      <c r="BZ116" s="44"/>
      <c r="CA116" s="44"/>
      <c r="CB116" s="44"/>
      <c r="CC116" s="44"/>
      <c r="CD116" s="44"/>
      <c r="CE116" s="44"/>
      <c r="CF116" s="44"/>
      <c r="CG116" s="44"/>
      <c r="CH116" s="44"/>
      <c r="CI116" s="44"/>
      <c r="CJ116" s="44"/>
      <c r="CK116" s="44">
        <v>3471</v>
      </c>
      <c r="CL116" s="44">
        <v>3968</v>
      </c>
      <c r="CM116" s="115">
        <v>3311</v>
      </c>
      <c r="CN116" s="115">
        <v>3464</v>
      </c>
      <c r="CO116" s="115">
        <v>3196</v>
      </c>
      <c r="CP116" s="115">
        <v>4070</v>
      </c>
      <c r="CQ116" s="115">
        <v>2745</v>
      </c>
      <c r="CR116" s="115">
        <v>2808</v>
      </c>
      <c r="CS116" s="115">
        <v>2658</v>
      </c>
      <c r="CT116" s="115">
        <v>3580</v>
      </c>
      <c r="CU116" s="115">
        <v>2643</v>
      </c>
      <c r="CV116" s="115">
        <v>2778</v>
      </c>
      <c r="CW116" s="115">
        <v>2719</v>
      </c>
      <c r="CX116" s="115">
        <v>3941</v>
      </c>
      <c r="CY116" s="115">
        <v>2496</v>
      </c>
      <c r="CZ116" s="115">
        <v>2900</v>
      </c>
      <c r="DA116" s="115">
        <v>3239</v>
      </c>
      <c r="DB116" s="115">
        <v>4414</v>
      </c>
      <c r="DC116" s="115">
        <f>+CY116*1.05</f>
        <v>2620.8000000000002</v>
      </c>
      <c r="DD116" s="115">
        <f t="shared" ref="DD116:DF116" si="183">+CZ116*1.05</f>
        <v>3045</v>
      </c>
      <c r="DE116" s="115">
        <f t="shared" si="183"/>
        <v>3400.9500000000003</v>
      </c>
      <c r="DF116" s="115">
        <f t="shared" si="183"/>
        <v>4634.7</v>
      </c>
      <c r="DG116" s="115"/>
      <c r="DH116" s="115"/>
      <c r="DI116" s="115"/>
      <c r="DJ116" s="115"/>
      <c r="DK116" s="115"/>
      <c r="DL116" s="115"/>
      <c r="DM116" s="115"/>
      <c r="DN116" s="115"/>
      <c r="DO116" s="115"/>
      <c r="DP116" s="44"/>
      <c r="DQ116" s="44"/>
      <c r="DU116" s="44"/>
      <c r="DV116" s="44">
        <v>3184</v>
      </c>
      <c r="DW116" s="44">
        <v>3855</v>
      </c>
      <c r="DX116" s="44">
        <v>4366</v>
      </c>
      <c r="DY116" s="44">
        <v>4956</v>
      </c>
      <c r="DZ116" s="44">
        <v>5568</v>
      </c>
      <c r="EA116" s="44">
        <v>10810</v>
      </c>
      <c r="EB116" s="44">
        <v>11442</v>
      </c>
      <c r="EC116" s="44">
        <v>9717</v>
      </c>
      <c r="ED116" s="44">
        <v>10829</v>
      </c>
      <c r="EE116" s="44">
        <v>15107</v>
      </c>
      <c r="EF116" s="44">
        <v>15304</v>
      </c>
      <c r="EG116" s="44">
        <v>15313</v>
      </c>
      <c r="EH116" s="44">
        <v>15589</v>
      </c>
      <c r="EI116" s="44">
        <f>SUM(AQ116:AT116)</f>
        <v>15247</v>
      </c>
      <c r="EJ116" s="44">
        <f>SUM(AU116:AX116)</f>
        <v>14044</v>
      </c>
      <c r="EK116" s="44">
        <f>SUM(AY116:BB116)</f>
        <v>14664</v>
      </c>
      <c r="EL116" s="44">
        <f>SUM(BC116:BF116)</f>
        <v>19460</v>
      </c>
      <c r="EM116" s="44">
        <f>SUM(BG116:BJ116)</f>
        <v>19358</v>
      </c>
      <c r="EN116" s="44">
        <f>SUM(BK116:BN116)</f>
        <v>16435</v>
      </c>
      <c r="EO116" s="44">
        <f>SUM(BO116:BR116)</f>
        <v>14488</v>
      </c>
      <c r="EV116" s="44">
        <f>SUM(CQ116:CT116)</f>
        <v>11791</v>
      </c>
      <c r="EW116" s="44">
        <f t="shared" ref="EW116:EW119" si="184">SUM(CU116:CX116)</f>
        <v>12081</v>
      </c>
      <c r="EX116" s="44">
        <f>SUM(CY116:DB116)</f>
        <v>13049</v>
      </c>
      <c r="EY116" s="44">
        <f>SUM(DC116:DF116)</f>
        <v>13701.45</v>
      </c>
      <c r="EZ116" s="44">
        <f>+EY116*0.9</f>
        <v>12331.305</v>
      </c>
      <c r="FA116" s="44">
        <f t="shared" ref="FA116:FF116" si="185">+EZ116*0.9</f>
        <v>11098.174500000001</v>
      </c>
      <c r="FB116" s="44">
        <f t="shared" si="185"/>
        <v>9988.3570500000005</v>
      </c>
      <c r="FC116" s="44">
        <f t="shared" si="185"/>
        <v>8989.521345000001</v>
      </c>
      <c r="FD116" s="44">
        <f t="shared" si="185"/>
        <v>8090.5692105000007</v>
      </c>
      <c r="FE116" s="44">
        <f t="shared" si="185"/>
        <v>7281.5122894500009</v>
      </c>
      <c r="FF116" s="44">
        <f t="shared" si="185"/>
        <v>6553.3610605050008</v>
      </c>
    </row>
    <row r="117" spans="2:213">
      <c r="B117" s="4" t="s">
        <v>797</v>
      </c>
      <c r="C117" s="68"/>
      <c r="D117" s="68"/>
      <c r="E117" s="68"/>
      <c r="F117" s="68"/>
      <c r="G117" s="68"/>
      <c r="H117" s="68"/>
      <c r="I117" s="68"/>
      <c r="J117" s="68"/>
      <c r="K117" s="68"/>
      <c r="L117" s="68"/>
      <c r="M117" s="68"/>
      <c r="N117" s="68"/>
      <c r="O117" s="68"/>
      <c r="P117" s="68"/>
      <c r="Q117" s="68"/>
      <c r="R117" s="68"/>
      <c r="S117" s="68"/>
      <c r="T117" s="68">
        <v>1116</v>
      </c>
      <c r="W117" s="68">
        <v>1181</v>
      </c>
      <c r="X117" s="68">
        <v>1257</v>
      </c>
      <c r="Y117" s="68">
        <v>1263</v>
      </c>
      <c r="Z117" s="68">
        <v>1511</v>
      </c>
      <c r="AA117" s="68">
        <v>1218</v>
      </c>
      <c r="AB117" s="68">
        <v>1713</v>
      </c>
      <c r="AC117" s="68">
        <v>1869</v>
      </c>
      <c r="AD117" s="68">
        <v>2407</v>
      </c>
      <c r="AE117" s="68">
        <f>1649</f>
        <v>1649</v>
      </c>
      <c r="AF117" s="68">
        <f>1806</f>
        <v>1806</v>
      </c>
      <c r="AG117" s="68">
        <v>1888</v>
      </c>
      <c r="AH117" s="68">
        <v>2328</v>
      </c>
      <c r="AI117" s="68">
        <v>1764</v>
      </c>
      <c r="AK117" s="68">
        <v>1783</v>
      </c>
      <c r="AL117" s="68">
        <v>2020</v>
      </c>
      <c r="AM117" s="68">
        <v>1543</v>
      </c>
      <c r="AN117" s="68">
        <v>1702</v>
      </c>
      <c r="AO117" s="68">
        <v>1902</v>
      </c>
      <c r="AP117" s="68">
        <v>2412</v>
      </c>
      <c r="AQ117" s="44">
        <f>1665-31</f>
        <v>1634</v>
      </c>
      <c r="AR117" s="44">
        <f>2165-200-131</f>
        <v>1834</v>
      </c>
      <c r="AS117" s="44">
        <v>1730</v>
      </c>
      <c r="AT117" s="44">
        <v>2160</v>
      </c>
      <c r="AU117" s="44">
        <v>1638</v>
      </c>
      <c r="AV117" s="44">
        <v>1869</v>
      </c>
      <c r="AW117" s="44">
        <v>1769</v>
      </c>
      <c r="AX117" s="44">
        <v>2212</v>
      </c>
      <c r="AY117" s="44">
        <f>1705-33</f>
        <v>1672</v>
      </c>
      <c r="AZ117" s="44">
        <v>1656</v>
      </c>
      <c r="BA117" s="44">
        <v>1619</v>
      </c>
      <c r="BB117" s="44">
        <v>2799</v>
      </c>
      <c r="BC117" s="44">
        <v>2196</v>
      </c>
      <c r="BD117" s="44">
        <v>2182</v>
      </c>
      <c r="BE117" s="44">
        <v>2160</v>
      </c>
      <c r="BF117" s="44">
        <v>2800</v>
      </c>
      <c r="BG117" s="44">
        <v>2017</v>
      </c>
      <c r="BH117" s="44">
        <v>2059</v>
      </c>
      <c r="BI117" s="44">
        <v>2034</v>
      </c>
      <c r="BJ117" s="65">
        <v>2327</v>
      </c>
      <c r="BK117" s="65">
        <v>1755</v>
      </c>
      <c r="BL117" s="44">
        <v>1664</v>
      </c>
      <c r="BM117" s="44">
        <v>1935</v>
      </c>
      <c r="BN117" s="44">
        <v>2000</v>
      </c>
      <c r="BO117" s="44">
        <v>1708</v>
      </c>
      <c r="BP117" s="44">
        <v>1521</v>
      </c>
      <c r="BQ117" s="44">
        <v>1625</v>
      </c>
      <c r="BR117" s="44">
        <v>1790</v>
      </c>
      <c r="BS117" s="44">
        <v>1612</v>
      </c>
      <c r="BT117" s="44">
        <v>1714</v>
      </c>
      <c r="BU117" s="44">
        <f t="shared" si="181"/>
        <v>1543.75</v>
      </c>
      <c r="BV117" s="44">
        <f t="shared" si="182"/>
        <v>1700.5</v>
      </c>
      <c r="BW117" s="44"/>
      <c r="BX117" s="44"/>
      <c r="BY117" s="44"/>
      <c r="BZ117" s="44"/>
      <c r="CA117" s="44"/>
      <c r="CB117" s="44"/>
      <c r="CC117" s="44"/>
      <c r="CD117" s="44"/>
      <c r="CE117" s="44"/>
      <c r="CF117" s="44"/>
      <c r="CG117" s="44"/>
      <c r="CH117" s="44"/>
      <c r="CI117" s="44"/>
      <c r="CJ117" s="44"/>
      <c r="CK117" s="44">
        <v>1998</v>
      </c>
      <c r="CL117" s="44">
        <v>2436</v>
      </c>
      <c r="CM117" s="115">
        <v>1693</v>
      </c>
      <c r="CN117" s="115">
        <v>1825</v>
      </c>
      <c r="CO117" s="115">
        <v>1940</v>
      </c>
      <c r="CP117" s="115">
        <v>2530</v>
      </c>
      <c r="CQ117" s="115">
        <v>1727</v>
      </c>
      <c r="CR117" s="115">
        <v>1895</v>
      </c>
      <c r="CS117" s="115">
        <v>2300</v>
      </c>
      <c r="CT117" s="115">
        <v>3068</v>
      </c>
      <c r="CU117" s="115">
        <v>1992</v>
      </c>
      <c r="CV117" s="115">
        <v>2237</v>
      </c>
      <c r="CW117" s="115">
        <v>2681</v>
      </c>
      <c r="CX117" s="115">
        <v>3503</v>
      </c>
      <c r="CY117" s="115">
        <v>2295</v>
      </c>
      <c r="CZ117" s="115">
        <v>2811</v>
      </c>
      <c r="DA117" s="115">
        <v>2696</v>
      </c>
      <c r="DB117" s="115">
        <v>3615</v>
      </c>
      <c r="DC117" s="115">
        <f t="shared" ref="DC117" si="186">+CY117*1.05</f>
        <v>2409.75</v>
      </c>
      <c r="DD117" s="115">
        <f t="shared" ref="DD117" si="187">+CZ117*1.05</f>
        <v>2951.55</v>
      </c>
      <c r="DE117" s="115">
        <f t="shared" ref="DE117" si="188">+DA117*1.05</f>
        <v>2830.8</v>
      </c>
      <c r="DF117" s="115">
        <f t="shared" ref="DF117" si="189">+DB117*1.05</f>
        <v>3795.75</v>
      </c>
      <c r="DG117" s="115"/>
      <c r="DH117" s="115"/>
      <c r="DI117" s="115"/>
      <c r="DJ117" s="115"/>
      <c r="DK117" s="115"/>
      <c r="DL117" s="115"/>
      <c r="DM117" s="115"/>
      <c r="DN117" s="115"/>
      <c r="DO117" s="115"/>
      <c r="DP117" s="44"/>
      <c r="DQ117" s="44"/>
      <c r="DU117" s="44"/>
      <c r="DV117" s="44">
        <v>1126</v>
      </c>
      <c r="DW117" s="44">
        <v>1442</v>
      </c>
      <c r="DX117" s="44">
        <v>1684</v>
      </c>
      <c r="DY117" s="44">
        <v>1928</v>
      </c>
      <c r="DZ117" s="44">
        <v>2279</v>
      </c>
      <c r="EA117" s="44">
        <v>4036</v>
      </c>
      <c r="EB117" s="44">
        <v>4435</v>
      </c>
      <c r="EC117" s="44">
        <v>4896</v>
      </c>
      <c r="ED117" s="44">
        <v>5153</v>
      </c>
      <c r="EE117" s="44">
        <v>7279</v>
      </c>
      <c r="EF117" s="44">
        <v>7513</v>
      </c>
      <c r="EG117" s="44">
        <v>7256</v>
      </c>
      <c r="EH117" s="44">
        <v>7599</v>
      </c>
      <c r="EI117" s="44">
        <f>SUM(AQ117:AT117)</f>
        <v>7358</v>
      </c>
      <c r="EJ117" s="44">
        <f>SUM(AU117:AX117)</f>
        <v>7488</v>
      </c>
      <c r="EK117" s="44">
        <f>SUM(AY117:BB117)</f>
        <v>7746</v>
      </c>
      <c r="EL117" s="44">
        <f>SUM(BC117:BF117)</f>
        <v>9338</v>
      </c>
      <c r="EM117" s="44">
        <v>8250</v>
      </c>
      <c r="EN117" s="44">
        <f>SUM(BK117:BN117)</f>
        <v>7354</v>
      </c>
      <c r="EV117" s="44">
        <f>SUM(CQ117:CT117)</f>
        <v>8990</v>
      </c>
      <c r="EW117" s="44">
        <f t="shared" si="184"/>
        <v>10413</v>
      </c>
      <c r="EX117" s="44">
        <f>SUM(CY117:DB117)</f>
        <v>11417</v>
      </c>
      <c r="EY117" s="44">
        <f>SUM(DC117:DF117)</f>
        <v>11987.85</v>
      </c>
      <c r="EZ117" s="44">
        <f t="shared" ref="EZ117" si="190">+EY117*0.9</f>
        <v>10789.065000000001</v>
      </c>
    </row>
    <row r="118" spans="2:213">
      <c r="B118" s="4" t="s">
        <v>798</v>
      </c>
      <c r="C118" s="68"/>
      <c r="D118" s="68"/>
      <c r="E118" s="68"/>
      <c r="F118" s="68"/>
      <c r="G118" s="68"/>
      <c r="H118" s="68"/>
      <c r="I118" s="68"/>
      <c r="J118" s="68"/>
      <c r="K118" s="68"/>
      <c r="L118" s="68"/>
      <c r="M118" s="68"/>
      <c r="N118" s="68"/>
      <c r="O118" s="68"/>
      <c r="P118" s="68"/>
      <c r="Q118" s="68"/>
      <c r="R118" s="68"/>
      <c r="S118" s="68"/>
      <c r="T118" s="68">
        <f>T115-T116-T117</f>
        <v>-372</v>
      </c>
      <c r="W118" s="68">
        <f t="shared" ref="W118:AI118" si="191">W115-W116-W117</f>
        <v>2678</v>
      </c>
      <c r="X118" s="68">
        <f t="shared" si="191"/>
        <v>1586</v>
      </c>
      <c r="Y118" s="68">
        <f t="shared" si="191"/>
        <v>2213</v>
      </c>
      <c r="Z118" s="68">
        <f t="shared" si="191"/>
        <v>3154</v>
      </c>
      <c r="AA118" s="68">
        <f t="shared" si="191"/>
        <v>3263.7999999999993</v>
      </c>
      <c r="AB118" s="68">
        <f t="shared" si="191"/>
        <v>329.89999999999964</v>
      </c>
      <c r="AC118" s="68">
        <f t="shared" si="191"/>
        <v>1543.5</v>
      </c>
      <c r="AD118" s="68">
        <f t="shared" si="191"/>
        <v>1425.3999999999996</v>
      </c>
      <c r="AE118" s="68">
        <f t="shared" si="191"/>
        <v>2296.3999999999996</v>
      </c>
      <c r="AF118" s="68">
        <f t="shared" si="191"/>
        <v>1568.1000000000004</v>
      </c>
      <c r="AG118" s="68">
        <f t="shared" si="191"/>
        <v>2356.7999999999993</v>
      </c>
      <c r="AH118" s="68">
        <f t="shared" si="191"/>
        <v>4188.2999999999993</v>
      </c>
      <c r="AI118" s="68">
        <f t="shared" si="191"/>
        <v>4503.1000000000004</v>
      </c>
      <c r="AJ118" s="44"/>
      <c r="AK118" s="44">
        <f t="shared" ref="AK118:BV118" si="192">AK115-AK116-AK117</f>
        <v>4960.1000000000004</v>
      </c>
      <c r="AL118" s="44">
        <f t="shared" si="192"/>
        <v>4871.7999999999993</v>
      </c>
      <c r="AM118" s="44">
        <f t="shared" si="192"/>
        <v>6482.6</v>
      </c>
      <c r="AN118" s="44">
        <f t="shared" si="192"/>
        <v>5025.2000000000007</v>
      </c>
      <c r="AO118" s="44">
        <f t="shared" si="192"/>
        <v>5174.7999999999993</v>
      </c>
      <c r="AP118" s="44">
        <f t="shared" si="192"/>
        <v>3913.7000000000007</v>
      </c>
      <c r="AQ118" s="44">
        <f t="shared" si="192"/>
        <v>5735</v>
      </c>
      <c r="AR118" s="44">
        <f t="shared" si="192"/>
        <v>3591</v>
      </c>
      <c r="AS118" s="44">
        <f t="shared" si="192"/>
        <v>4772</v>
      </c>
      <c r="AT118" s="44">
        <f t="shared" si="192"/>
        <v>4032</v>
      </c>
      <c r="AU118" s="44">
        <f t="shared" si="192"/>
        <v>5654.8029999999999</v>
      </c>
      <c r="AV118" s="44">
        <f t="shared" si="192"/>
        <v>5164.6540000000005</v>
      </c>
      <c r="AW118" s="44">
        <f t="shared" si="192"/>
        <v>5201</v>
      </c>
      <c r="AX118" s="44">
        <f t="shared" si="192"/>
        <v>5145</v>
      </c>
      <c r="AY118" s="44">
        <f t="shared" si="192"/>
        <v>5783.65</v>
      </c>
      <c r="AZ118" s="44">
        <f t="shared" si="192"/>
        <v>5143.6149999999998</v>
      </c>
      <c r="BA118" s="44">
        <f t="shared" si="192"/>
        <v>4972</v>
      </c>
      <c r="BB118" s="44">
        <f t="shared" si="192"/>
        <v>5490</v>
      </c>
      <c r="BC118" s="44">
        <f t="shared" si="192"/>
        <v>7607</v>
      </c>
      <c r="BD118" s="44">
        <f t="shared" si="192"/>
        <v>7747</v>
      </c>
      <c r="BE118" s="44">
        <f t="shared" si="192"/>
        <v>6995</v>
      </c>
      <c r="BF118" s="44">
        <f t="shared" si="192"/>
        <v>5972</v>
      </c>
      <c r="BG118" s="44">
        <f t="shared" si="192"/>
        <v>6955</v>
      </c>
      <c r="BH118" s="44">
        <f t="shared" si="192"/>
        <v>7485</v>
      </c>
      <c r="BI118" s="44">
        <f t="shared" si="192"/>
        <v>7323</v>
      </c>
      <c r="BJ118" s="65">
        <f t="shared" si="192"/>
        <v>5710</v>
      </c>
      <c r="BK118" s="65">
        <f t="shared" si="192"/>
        <v>6678</v>
      </c>
      <c r="BL118" s="65">
        <f t="shared" si="192"/>
        <v>6791</v>
      </c>
      <c r="BM118" s="65">
        <f t="shared" si="192"/>
        <v>5747</v>
      </c>
      <c r="BN118" s="65">
        <f t="shared" si="192"/>
        <v>5481</v>
      </c>
      <c r="BO118" s="65">
        <f t="shared" si="192"/>
        <v>5683</v>
      </c>
      <c r="BP118" s="65">
        <f t="shared" si="192"/>
        <v>5708</v>
      </c>
      <c r="BQ118" s="65">
        <f t="shared" si="192"/>
        <v>5422</v>
      </c>
      <c r="BR118" s="65">
        <f t="shared" si="192"/>
        <v>4938</v>
      </c>
      <c r="BS118" s="65">
        <f t="shared" si="192"/>
        <v>4678</v>
      </c>
      <c r="BT118" s="65">
        <f t="shared" si="192"/>
        <v>5182</v>
      </c>
      <c r="BU118" s="65">
        <f t="shared" si="192"/>
        <v>4699.4960000000001</v>
      </c>
      <c r="BV118" s="65">
        <f t="shared" si="192"/>
        <v>4604.2780000000002</v>
      </c>
      <c r="BW118" s="65"/>
      <c r="BX118" s="65"/>
      <c r="BY118" s="65"/>
      <c r="BZ118" s="65"/>
      <c r="CA118" s="65"/>
      <c r="CB118" s="65"/>
      <c r="CC118" s="65"/>
      <c r="CD118" s="65"/>
      <c r="CE118" s="65"/>
      <c r="CF118" s="65"/>
      <c r="CG118" s="65"/>
      <c r="CH118" s="65"/>
      <c r="CI118" s="65"/>
      <c r="CJ118" s="65"/>
      <c r="CK118" s="115">
        <f t="shared" ref="CK118:CS118" si="193">CK115-CK116-CK117</f>
        <v>5155</v>
      </c>
      <c r="CL118" s="115">
        <f t="shared" si="193"/>
        <v>4564</v>
      </c>
      <c r="CM118" s="115">
        <f t="shared" si="193"/>
        <v>5662</v>
      </c>
      <c r="CN118" s="115">
        <f t="shared" si="193"/>
        <v>5118</v>
      </c>
      <c r="CO118" s="115">
        <f t="shared" si="193"/>
        <v>5087</v>
      </c>
      <c r="CP118" s="115">
        <f t="shared" si="193"/>
        <v>3534</v>
      </c>
      <c r="CQ118" s="115">
        <f t="shared" si="193"/>
        <v>5211</v>
      </c>
      <c r="CR118" s="115">
        <f t="shared" si="193"/>
        <v>4860</v>
      </c>
      <c r="CS118" s="115">
        <f t="shared" si="193"/>
        <v>3312</v>
      </c>
      <c r="CT118" s="115">
        <f t="shared" ref="CT118:DB118" si="194">CT115-CT116-CT117</f>
        <v>2139</v>
      </c>
      <c r="CU118" s="115">
        <f t="shared" si="194"/>
        <v>5753.5999999999985</v>
      </c>
      <c r="CV118" s="115">
        <f t="shared" si="194"/>
        <v>6935</v>
      </c>
      <c r="CW118" s="115">
        <f t="shared" si="194"/>
        <v>8792</v>
      </c>
      <c r="CX118" s="115">
        <f t="shared" si="194"/>
        <v>6682</v>
      </c>
      <c r="CY118" s="115">
        <f t="shared" si="194"/>
        <v>10912.399999999998</v>
      </c>
      <c r="CZ118" s="115">
        <f t="shared" si="194"/>
        <v>13406.80000000001</v>
      </c>
      <c r="DA118" s="115">
        <f t="shared" si="194"/>
        <v>10752.800000000003</v>
      </c>
      <c r="DB118" s="115">
        <f t="shared" si="194"/>
        <v>6872</v>
      </c>
      <c r="DC118" s="115">
        <f t="shared" ref="DC118:DF118" si="195">DC115-DC116-DC117</f>
        <v>8400.4500000000007</v>
      </c>
      <c r="DD118" s="115">
        <f t="shared" si="195"/>
        <v>3425.87</v>
      </c>
      <c r="DE118" s="115">
        <f t="shared" si="195"/>
        <v>3560.6699999999992</v>
      </c>
      <c r="DF118" s="115">
        <f t="shared" si="195"/>
        <v>2113.8100000000004</v>
      </c>
      <c r="DG118" s="115"/>
      <c r="DH118" s="115"/>
      <c r="DI118" s="115"/>
      <c r="DJ118" s="115"/>
      <c r="DK118" s="115"/>
      <c r="DL118" s="115"/>
      <c r="DM118" s="115"/>
      <c r="DN118" s="115"/>
      <c r="DO118" s="115"/>
      <c r="DP118" s="65"/>
      <c r="DQ118" s="65"/>
      <c r="DU118" s="44"/>
      <c r="DV118" s="44">
        <f t="shared" ref="DV118:EN118" si="196">DV115-DV116-DV117</f>
        <v>1945</v>
      </c>
      <c r="DW118" s="44">
        <f t="shared" si="196"/>
        <v>2560</v>
      </c>
      <c r="DX118" s="44">
        <f t="shared" si="196"/>
        <v>3080</v>
      </c>
      <c r="DY118" s="44">
        <f t="shared" si="196"/>
        <v>3346</v>
      </c>
      <c r="DZ118" s="44">
        <f t="shared" si="196"/>
        <v>3603</v>
      </c>
      <c r="EA118" s="44">
        <f t="shared" si="196"/>
        <v>7066.0936936936923</v>
      </c>
      <c r="EB118" s="44">
        <f t="shared" si="196"/>
        <v>8790</v>
      </c>
      <c r="EC118" s="44">
        <f t="shared" si="196"/>
        <v>8157</v>
      </c>
      <c r="ED118" s="44">
        <f t="shared" si="196"/>
        <v>2258</v>
      </c>
      <c r="EE118" s="44">
        <f t="shared" si="196"/>
        <v>1004</v>
      </c>
      <c r="EF118" s="44">
        <f t="shared" si="196"/>
        <v>6053</v>
      </c>
      <c r="EG118" s="44">
        <f t="shared" si="196"/>
        <v>4568</v>
      </c>
      <c r="EH118" s="44">
        <f t="shared" si="196"/>
        <v>5616</v>
      </c>
      <c r="EI118" s="44">
        <f t="shared" si="196"/>
        <v>4170.5360000000001</v>
      </c>
      <c r="EJ118" s="44">
        <f t="shared" si="196"/>
        <v>22267.264999999999</v>
      </c>
      <c r="EK118" s="44">
        <f t="shared" si="196"/>
        <v>21389.264999999999</v>
      </c>
      <c r="EL118" s="68">
        <f t="shared" si="196"/>
        <v>28321</v>
      </c>
      <c r="EM118" s="68">
        <f t="shared" si="196"/>
        <v>27660</v>
      </c>
      <c r="EN118" s="68">
        <f t="shared" si="196"/>
        <v>24697</v>
      </c>
      <c r="EQ118" s="68"/>
      <c r="EV118" s="68">
        <f>+EV115-EV116-EV117</f>
        <v>15522</v>
      </c>
      <c r="EW118" s="68">
        <f>+EW115-EW116-EW117</f>
        <v>28162.600000000006</v>
      </c>
      <c r="EX118" s="68">
        <f>+EX115-EX116-EX117</f>
        <v>41481.999999999985</v>
      </c>
      <c r="EY118" s="68">
        <f t="shared" ref="EY118" si="197">+EY115-EY116-EY117</f>
        <v>15929.799999999997</v>
      </c>
      <c r="EZ118" s="68">
        <f t="shared" ref="EZ118" si="198">+EZ115-EZ116-EZ117</f>
        <v>11629.141099999995</v>
      </c>
      <c r="FA118" s="68">
        <f t="shared" ref="FA118" si="199">+FA115-FA116-FA117</f>
        <v>21714.489842000003</v>
      </c>
      <c r="FB118" s="68">
        <f t="shared" ref="FB118" si="200">+FB115-FB116-FB117</f>
        <v>19769.623883249995</v>
      </c>
      <c r="FC118" s="68">
        <f t="shared" ref="FC118" si="201">+FC115-FC116-FC117</f>
        <v>18267.039623010409</v>
      </c>
      <c r="FD118" s="68">
        <f t="shared" ref="FD118" si="202">+FD115-FD116-FD117</f>
        <v>17442.531421473086</v>
      </c>
      <c r="FE118" s="68">
        <f t="shared" ref="FE118" si="203">+FE115-FE116-FE117</f>
        <v>11909.71279182443</v>
      </c>
      <c r="FF118" s="68">
        <f t="shared" ref="FF118" si="204">+FF115-FF116-FF117</f>
        <v>11043.32040970619</v>
      </c>
      <c r="FG118" s="68"/>
      <c r="FH118" s="68"/>
      <c r="FI118" s="68"/>
      <c r="FJ118" s="68"/>
      <c r="FK118" s="68"/>
      <c r="FL118" s="68"/>
      <c r="FM118" s="68"/>
      <c r="FN118" s="68"/>
      <c r="FO118" s="68"/>
      <c r="FQ118" s="87">
        <f>SUM(FQ1:FQ117)</f>
        <v>32743.599999999999</v>
      </c>
      <c r="FR118" s="45">
        <f>SUM(FR1:FR117)</f>
        <v>18475.907370000001</v>
      </c>
      <c r="FS118" s="88">
        <f>SUM(FS1:FS117)</f>
        <v>15149.6515337</v>
      </c>
    </row>
    <row r="119" spans="2:213">
      <c r="B119" s="4" t="s">
        <v>799</v>
      </c>
      <c r="T119" s="37">
        <v>0</v>
      </c>
      <c r="AP119" s="62"/>
      <c r="BK119" s="69">
        <v>-313</v>
      </c>
      <c r="BL119" s="44">
        <v>-144</v>
      </c>
      <c r="BM119" s="44">
        <v>-186</v>
      </c>
      <c r="BN119" s="44">
        <v>-181</v>
      </c>
      <c r="BO119" s="44">
        <f>-264-43</f>
        <v>-307</v>
      </c>
      <c r="BP119" s="44">
        <f>-99-43</f>
        <v>-142</v>
      </c>
      <c r="BQ119" s="44">
        <v>-42</v>
      </c>
      <c r="BR119" s="44">
        <v>201</v>
      </c>
      <c r="BS119" s="44">
        <f>92-321+248</f>
        <v>19</v>
      </c>
      <c r="BT119" s="44">
        <v>95</v>
      </c>
      <c r="BU119" s="44"/>
      <c r="BV119" s="44"/>
      <c r="BW119" s="44"/>
      <c r="BX119" s="44"/>
      <c r="BY119" s="44"/>
      <c r="BZ119" s="44"/>
      <c r="CA119" s="44"/>
      <c r="CB119" s="44"/>
      <c r="CC119" s="44"/>
      <c r="CD119" s="44"/>
      <c r="CE119" s="44"/>
      <c r="CF119" s="44"/>
      <c r="CG119" s="44"/>
      <c r="CH119" s="44"/>
      <c r="CI119" s="44"/>
      <c r="CJ119" s="44"/>
      <c r="CK119" s="44">
        <v>217</v>
      </c>
      <c r="CL119" s="44">
        <v>-15</v>
      </c>
      <c r="CM119" s="115">
        <v>135</v>
      </c>
      <c r="CN119" s="115">
        <v>100</v>
      </c>
      <c r="CO119" s="115">
        <v>-32</v>
      </c>
      <c r="CP119" s="115">
        <v>97</v>
      </c>
      <c r="CQ119" s="115">
        <v>186</v>
      </c>
      <c r="CR119" s="115">
        <v>361</v>
      </c>
      <c r="CS119" s="115">
        <v>1878</v>
      </c>
      <c r="CT119" s="115">
        <v>-102</v>
      </c>
      <c r="CU119" s="115">
        <f>-336+176+62</f>
        <v>-98</v>
      </c>
      <c r="CV119" s="115">
        <f>-303+212+140</f>
        <v>49</v>
      </c>
      <c r="CW119" s="115">
        <v>1696</v>
      </c>
      <c r="CX119" s="115">
        <v>728</v>
      </c>
      <c r="CY119" s="115">
        <f>-308+173+184</f>
        <v>49</v>
      </c>
      <c r="CZ119" s="115">
        <f>-46+149</f>
        <v>103</v>
      </c>
      <c r="DA119" s="115">
        <v>515</v>
      </c>
      <c r="DB119" s="115">
        <v>656</v>
      </c>
      <c r="DC119" s="115">
        <v>350</v>
      </c>
      <c r="DD119" s="115">
        <v>350</v>
      </c>
      <c r="DE119" s="115">
        <v>350</v>
      </c>
      <c r="DF119" s="115">
        <v>350</v>
      </c>
      <c r="DG119" s="115"/>
      <c r="DH119" s="115"/>
      <c r="DI119" s="115"/>
      <c r="DJ119" s="115"/>
      <c r="DK119" s="115"/>
      <c r="DL119" s="115"/>
      <c r="DM119" s="115"/>
      <c r="DN119" s="115"/>
      <c r="DO119" s="115"/>
      <c r="DP119" s="44"/>
      <c r="DQ119" s="44"/>
      <c r="DV119" s="37">
        <v>-123</v>
      </c>
      <c r="DW119" s="37">
        <v>-158</v>
      </c>
      <c r="DX119" s="37">
        <v>-135</v>
      </c>
      <c r="DY119" s="37">
        <v>-156</v>
      </c>
      <c r="DZ119" s="37">
        <v>-185</v>
      </c>
      <c r="EA119" s="37">
        <v>-427</v>
      </c>
      <c r="EB119" s="37">
        <v>-558</v>
      </c>
      <c r="EC119" s="37">
        <v>-539</v>
      </c>
      <c r="ED119" s="37">
        <v>-382</v>
      </c>
      <c r="EE119" s="37">
        <v>-346</v>
      </c>
      <c r="EF119" s="37">
        <v>-299</v>
      </c>
      <c r="EG119" s="37">
        <v>-300</v>
      </c>
      <c r="EH119" s="44">
        <v>904</v>
      </c>
      <c r="EI119" s="44">
        <f>SUM(AQ121:AT121)</f>
        <v>1538</v>
      </c>
      <c r="EJ119" s="44">
        <f>SUM(AU119:AX119)</f>
        <v>0</v>
      </c>
      <c r="EN119" s="44">
        <f>SUM(BK119:BN119)</f>
        <v>-824</v>
      </c>
      <c r="EV119" s="44">
        <f>SUM(CQ119:CT119)</f>
        <v>2323</v>
      </c>
      <c r="EW119" s="44">
        <f t="shared" si="184"/>
        <v>2375</v>
      </c>
      <c r="EX119" s="44">
        <f>SUM(CY119:DB119)</f>
        <v>1323</v>
      </c>
      <c r="EY119" s="44">
        <f>SUM(DC119:DF119)</f>
        <v>1400</v>
      </c>
      <c r="EZ119" s="44">
        <f>+EY119*0.9</f>
        <v>1260</v>
      </c>
      <c r="FA119" s="44">
        <f t="shared" ref="FA119:FF119" si="205">+EZ119*0.9</f>
        <v>1134</v>
      </c>
      <c r="FB119" s="44">
        <f t="shared" si="205"/>
        <v>1020.6</v>
      </c>
      <c r="FC119" s="44">
        <f t="shared" si="205"/>
        <v>918.54000000000008</v>
      </c>
      <c r="FD119" s="44">
        <f t="shared" si="205"/>
        <v>826.68600000000004</v>
      </c>
      <c r="FE119" s="44">
        <f t="shared" si="205"/>
        <v>744.01740000000007</v>
      </c>
      <c r="FF119" s="44">
        <f t="shared" si="205"/>
        <v>669.61566000000005</v>
      </c>
    </row>
    <row r="120" spans="2:213">
      <c r="B120" s="4" t="s">
        <v>800</v>
      </c>
      <c r="T120" s="37">
        <v>0</v>
      </c>
      <c r="AP120" s="62"/>
      <c r="CM120" s="113"/>
      <c r="DV120" s="37">
        <v>127</v>
      </c>
      <c r="DW120" s="37">
        <v>192</v>
      </c>
      <c r="DX120" s="37">
        <v>165</v>
      </c>
      <c r="DY120" s="37">
        <v>147</v>
      </c>
      <c r="DZ120" s="37">
        <v>136</v>
      </c>
      <c r="EA120" s="37">
        <v>363</v>
      </c>
      <c r="EB120" s="37">
        <v>386</v>
      </c>
      <c r="EC120" s="37">
        <v>266</v>
      </c>
      <c r="ED120" s="37">
        <v>251</v>
      </c>
      <c r="EE120" s="37">
        <v>270</v>
      </c>
      <c r="EF120" s="37">
        <v>299</v>
      </c>
      <c r="EG120" s="37">
        <v>263</v>
      </c>
      <c r="EH120" s="44">
        <v>0</v>
      </c>
      <c r="EI120" s="44">
        <v>0</v>
      </c>
      <c r="EJ120" s="44">
        <v>0</v>
      </c>
      <c r="FU120" s="14"/>
    </row>
    <row r="121" spans="2:213">
      <c r="B121" s="4" t="s">
        <v>801</v>
      </c>
      <c r="T121" s="37">
        <f>-13-9</f>
        <v>-22</v>
      </c>
      <c r="AK121" s="37">
        <v>163</v>
      </c>
      <c r="AL121" s="37">
        <v>323</v>
      </c>
      <c r="AM121" s="37">
        <f>221-4</f>
        <v>217</v>
      </c>
      <c r="AN121" s="37">
        <f>363-3</f>
        <v>360</v>
      </c>
      <c r="AO121" s="37">
        <v>343</v>
      </c>
      <c r="AP121" s="62">
        <v>54</v>
      </c>
      <c r="AQ121" s="37">
        <v>402</v>
      </c>
      <c r="AR121" s="37">
        <f>487-63</f>
        <v>424</v>
      </c>
      <c r="AS121" s="37">
        <v>319</v>
      </c>
      <c r="AT121" s="37">
        <v>393</v>
      </c>
      <c r="AU121" s="37">
        <v>333</v>
      </c>
      <c r="AV121" s="37">
        <v>190</v>
      </c>
      <c r="AW121" s="37">
        <v>220</v>
      </c>
      <c r="AX121" s="37">
        <v>643</v>
      </c>
      <c r="AY121" s="37">
        <v>57</v>
      </c>
      <c r="AZ121" s="37">
        <v>192</v>
      </c>
      <c r="BA121" s="37">
        <v>142</v>
      </c>
      <c r="BB121" s="37">
        <v>-110</v>
      </c>
      <c r="BC121" s="37">
        <v>-210</v>
      </c>
      <c r="BD121" s="37">
        <v>-157</v>
      </c>
      <c r="BE121" s="37">
        <v>-131</v>
      </c>
      <c r="BF121" s="37">
        <v>-107</v>
      </c>
      <c r="BG121" s="37">
        <v>-178</v>
      </c>
      <c r="BH121" s="37">
        <v>-13</v>
      </c>
      <c r="BI121" s="37">
        <v>-246</v>
      </c>
      <c r="BJ121" s="69">
        <v>-105</v>
      </c>
      <c r="CM121" s="113"/>
      <c r="DV121" s="37">
        <v>97</v>
      </c>
      <c r="DW121" s="37">
        <v>181</v>
      </c>
      <c r="DX121" s="37">
        <v>177</v>
      </c>
      <c r="DY121" s="37">
        <v>171</v>
      </c>
      <c r="DZ121" s="37">
        <v>1029</v>
      </c>
      <c r="EA121" s="37">
        <v>59</v>
      </c>
      <c r="EB121" s="37">
        <v>-137</v>
      </c>
      <c r="EC121" s="37">
        <v>-155</v>
      </c>
      <c r="ED121" s="37">
        <v>-84</v>
      </c>
      <c r="EE121" s="37">
        <v>-517</v>
      </c>
      <c r="EF121" s="37">
        <v>-198</v>
      </c>
      <c r="EG121" s="37">
        <v>-400</v>
      </c>
      <c r="EH121" s="44">
        <v>0</v>
      </c>
      <c r="EI121" s="44">
        <v>0</v>
      </c>
      <c r="EJ121" s="44">
        <f>SUM(AU121:AX121)</f>
        <v>1386</v>
      </c>
      <c r="EK121" s="44">
        <f>SUM(AY121:BB121)</f>
        <v>281</v>
      </c>
      <c r="EL121" s="44">
        <f>SUM(BC121:BF121)</f>
        <v>-605</v>
      </c>
      <c r="EM121" s="44">
        <f>EL121</f>
        <v>-605</v>
      </c>
    </row>
    <row r="122" spans="2:213">
      <c r="B122" s="4" t="s">
        <v>802</v>
      </c>
      <c r="C122" s="44"/>
      <c r="D122" s="44"/>
      <c r="E122" s="44"/>
      <c r="F122" s="44"/>
      <c r="G122" s="44"/>
      <c r="H122" s="44"/>
      <c r="I122" s="44"/>
      <c r="J122" s="44"/>
      <c r="K122" s="44"/>
      <c r="L122" s="44"/>
      <c r="M122" s="44"/>
      <c r="N122" s="44"/>
      <c r="O122" s="44"/>
      <c r="P122" s="44"/>
      <c r="Q122" s="44"/>
      <c r="R122" s="44"/>
      <c r="S122" s="44"/>
      <c r="T122" s="44">
        <f>T118+T119-T120+T121</f>
        <v>-394</v>
      </c>
      <c r="AE122" s="44"/>
      <c r="AF122" s="44"/>
      <c r="AG122" s="44"/>
      <c r="AH122" s="44"/>
      <c r="AK122" s="44">
        <f t="shared" ref="AK122:AL122" si="206">AK118+AK121</f>
        <v>5123.1000000000004</v>
      </c>
      <c r="AL122" s="44">
        <f t="shared" si="206"/>
        <v>5194.7999999999993</v>
      </c>
      <c r="AM122" s="44">
        <f t="shared" ref="AM122:AT122" si="207">AM118+AM121</f>
        <v>6699.6</v>
      </c>
      <c r="AN122" s="44">
        <f t="shared" si="207"/>
        <v>5385.2000000000007</v>
      </c>
      <c r="AO122" s="44">
        <f t="shared" si="207"/>
        <v>5517.7999999999993</v>
      </c>
      <c r="AP122" s="68">
        <f t="shared" si="207"/>
        <v>3967.7000000000007</v>
      </c>
      <c r="AQ122" s="68">
        <f t="shared" si="207"/>
        <v>6137</v>
      </c>
      <c r="AR122" s="68">
        <f t="shared" si="207"/>
        <v>4015</v>
      </c>
      <c r="AS122" s="68">
        <f t="shared" si="207"/>
        <v>5091</v>
      </c>
      <c r="AT122" s="68">
        <f t="shared" si="207"/>
        <v>4425</v>
      </c>
      <c r="AU122" s="68">
        <f t="shared" ref="AU122:BB122" si="208">AU118+AU121</f>
        <v>5987.8029999999999</v>
      </c>
      <c r="AV122" s="68">
        <f t="shared" si="208"/>
        <v>5354.6540000000005</v>
      </c>
      <c r="AW122" s="68">
        <f t="shared" si="208"/>
        <v>5421</v>
      </c>
      <c r="AX122" s="68">
        <f t="shared" si="208"/>
        <v>5788</v>
      </c>
      <c r="AY122" s="68">
        <f t="shared" si="208"/>
        <v>5840.65</v>
      </c>
      <c r="AZ122" s="68">
        <f t="shared" si="208"/>
        <v>5335.6149999999998</v>
      </c>
      <c r="BA122" s="68">
        <f t="shared" si="208"/>
        <v>5114</v>
      </c>
      <c r="BB122" s="68">
        <f t="shared" si="208"/>
        <v>5380</v>
      </c>
      <c r="BC122" s="68">
        <f>BC118+BC121</f>
        <v>7397</v>
      </c>
      <c r="BD122" s="68">
        <f>BD118+BD121</f>
        <v>7590</v>
      </c>
      <c r="BE122" s="68">
        <f>BE118+BE121</f>
        <v>6864</v>
      </c>
      <c r="BF122" s="68">
        <f>BF118+BF121</f>
        <v>5865</v>
      </c>
      <c r="BG122" s="68">
        <f>BG118+BG121</f>
        <v>6777</v>
      </c>
      <c r="BH122" s="68">
        <f>BH121+BH118</f>
        <v>7472</v>
      </c>
      <c r="BI122" s="68">
        <f t="shared" ref="BI122:BJ122" si="209">BI121+BI118</f>
        <v>7077</v>
      </c>
      <c r="BJ122" s="70">
        <f t="shared" si="209"/>
        <v>5605</v>
      </c>
      <c r="BK122" s="68">
        <f>BK118+BK119</f>
        <v>6365</v>
      </c>
      <c r="BL122" s="68">
        <f t="shared" ref="BL122:BR122" si="210">BL118+BL119</f>
        <v>6647</v>
      </c>
      <c r="BM122" s="68">
        <f t="shared" si="210"/>
        <v>5561</v>
      </c>
      <c r="BN122" s="68">
        <f t="shared" si="210"/>
        <v>5300</v>
      </c>
      <c r="BO122" s="68">
        <f t="shared" si="210"/>
        <v>5376</v>
      </c>
      <c r="BP122" s="68">
        <f t="shared" si="210"/>
        <v>5566</v>
      </c>
      <c r="BQ122" s="68">
        <f t="shared" si="210"/>
        <v>5380</v>
      </c>
      <c r="BR122" s="68">
        <f t="shared" si="210"/>
        <v>5139</v>
      </c>
      <c r="BS122" s="68">
        <f t="shared" ref="BS122:BV122" si="211">BS118+BS119</f>
        <v>4697</v>
      </c>
      <c r="BT122" s="68">
        <f t="shared" si="211"/>
        <v>5277</v>
      </c>
      <c r="BU122" s="68">
        <f t="shared" si="211"/>
        <v>4699.4960000000001</v>
      </c>
      <c r="BV122" s="68">
        <f t="shared" si="211"/>
        <v>4604.2780000000002</v>
      </c>
      <c r="BW122" s="68"/>
      <c r="BX122" s="68"/>
      <c r="BY122" s="68"/>
      <c r="BZ122" s="68"/>
      <c r="CA122" s="68"/>
      <c r="CB122" s="68"/>
      <c r="CC122" s="68"/>
      <c r="CD122" s="68"/>
      <c r="CE122" s="68"/>
      <c r="CF122" s="68"/>
      <c r="CG122" s="68"/>
      <c r="CH122" s="68"/>
      <c r="CI122" s="68"/>
      <c r="CJ122" s="68"/>
      <c r="CK122" s="122">
        <f t="shared" ref="CK122" si="212">CK118+CK119</f>
        <v>5372</v>
      </c>
      <c r="CL122" s="122">
        <f t="shared" ref="CL122:CN122" si="213">CL118+CL119</f>
        <v>4549</v>
      </c>
      <c r="CM122" s="122">
        <f t="shared" si="213"/>
        <v>5797</v>
      </c>
      <c r="CN122" s="122">
        <f t="shared" si="213"/>
        <v>5218</v>
      </c>
      <c r="CO122" s="122">
        <f t="shared" ref="CO122:CQ122" si="214">CO118+CO119</f>
        <v>5055</v>
      </c>
      <c r="CP122" s="122">
        <f t="shared" si="214"/>
        <v>3631</v>
      </c>
      <c r="CQ122" s="122">
        <f t="shared" si="214"/>
        <v>5397</v>
      </c>
      <c r="CR122" s="122">
        <f t="shared" ref="CR122:CT122" si="215">CR118+CR119</f>
        <v>5221</v>
      </c>
      <c r="CS122" s="122">
        <f t="shared" si="215"/>
        <v>5190</v>
      </c>
      <c r="CT122" s="122">
        <f t="shared" si="215"/>
        <v>2037</v>
      </c>
      <c r="CU122" s="122">
        <f t="shared" ref="CU122:DA122" si="216">CU118+CU119</f>
        <v>5655.5999999999985</v>
      </c>
      <c r="CV122" s="122">
        <f t="shared" si="216"/>
        <v>6984</v>
      </c>
      <c r="CW122" s="122">
        <f t="shared" si="216"/>
        <v>10488</v>
      </c>
      <c r="CX122" s="122">
        <f t="shared" si="216"/>
        <v>7410</v>
      </c>
      <c r="CY122" s="122">
        <f t="shared" si="216"/>
        <v>10961.399999999998</v>
      </c>
      <c r="CZ122" s="122">
        <f t="shared" si="216"/>
        <v>13509.80000000001</v>
      </c>
      <c r="DA122" s="122">
        <f t="shared" si="216"/>
        <v>11267.800000000003</v>
      </c>
      <c r="DB122" s="122">
        <f t="shared" ref="DB122:DF122" si="217">DB118+DB119</f>
        <v>7528</v>
      </c>
      <c r="DC122" s="122">
        <f t="shared" si="217"/>
        <v>8750.4500000000007</v>
      </c>
      <c r="DD122" s="122">
        <f t="shared" si="217"/>
        <v>3775.87</v>
      </c>
      <c r="DE122" s="122">
        <f t="shared" si="217"/>
        <v>3910.6699999999992</v>
      </c>
      <c r="DF122" s="122">
        <f t="shared" si="217"/>
        <v>2463.8100000000004</v>
      </c>
      <c r="DG122" s="122"/>
      <c r="DH122" s="122"/>
      <c r="DI122" s="122"/>
      <c r="DJ122" s="122"/>
      <c r="DK122" s="122"/>
      <c r="DL122" s="122"/>
      <c r="DM122" s="122"/>
      <c r="DN122" s="122"/>
      <c r="DO122" s="122"/>
      <c r="DP122" s="68"/>
      <c r="DQ122" s="68"/>
      <c r="DU122" s="44"/>
      <c r="DV122" s="44">
        <f>DV118+DV119-DV120+DV121</f>
        <v>1792</v>
      </c>
      <c r="DW122" s="44">
        <f t="shared" ref="DW122:ED122" si="218">DW118+DW119-DW120+DW121</f>
        <v>2391</v>
      </c>
      <c r="DX122" s="44">
        <f t="shared" si="218"/>
        <v>2957</v>
      </c>
      <c r="DY122" s="44">
        <f t="shared" si="218"/>
        <v>3214</v>
      </c>
      <c r="DZ122" s="44">
        <f t="shared" si="218"/>
        <v>4311</v>
      </c>
      <c r="EA122" s="44">
        <f t="shared" si="218"/>
        <v>6335.0936936936923</v>
      </c>
      <c r="EB122" s="44">
        <f t="shared" si="218"/>
        <v>7709</v>
      </c>
      <c r="EC122" s="44">
        <f t="shared" si="218"/>
        <v>7197</v>
      </c>
      <c r="ED122" s="44">
        <f t="shared" si="218"/>
        <v>1541</v>
      </c>
      <c r="EE122" s="44">
        <f>EE118+EE119-EE120+EE121</f>
        <v>-129</v>
      </c>
      <c r="EF122" s="44">
        <f>EF118+EF119-EF120+EF121</f>
        <v>5257</v>
      </c>
      <c r="EG122" s="44">
        <f>EG118+EG119-EG120+EG121</f>
        <v>3605</v>
      </c>
      <c r="EH122" s="44">
        <f>EH118+EH119-EH120+EH121</f>
        <v>6520</v>
      </c>
      <c r="EI122" s="44">
        <f t="shared" ref="EI122:EM122" si="219">EI118+EI119-EI120+EI121</f>
        <v>5708.5360000000001</v>
      </c>
      <c r="EJ122" s="44">
        <f>EJ118+EJ119-EJ120+EJ121</f>
        <v>23653.264999999999</v>
      </c>
      <c r="EK122" s="44">
        <f>EK118+EK119-EK120+EK121</f>
        <v>21670.264999999999</v>
      </c>
      <c r="EL122" s="44">
        <f t="shared" si="219"/>
        <v>27716</v>
      </c>
      <c r="EM122" s="44">
        <f t="shared" si="219"/>
        <v>27055</v>
      </c>
      <c r="EN122" s="44">
        <f>EN118+EN119-EN120+EN121</f>
        <v>23873</v>
      </c>
      <c r="EV122" s="44">
        <f>+EV118+EV119</f>
        <v>17845</v>
      </c>
      <c r="EW122" s="44">
        <f>+EW118+EW119</f>
        <v>30537.600000000006</v>
      </c>
      <c r="EX122" s="44">
        <f>+EX118+EX119</f>
        <v>42804.999999999985</v>
      </c>
      <c r="EY122" s="44">
        <f>+EY118+EY119</f>
        <v>17329.799999999996</v>
      </c>
      <c r="EZ122" s="44">
        <f t="shared" ref="EZ122:FF122" si="220">+EZ118+EZ119</f>
        <v>12889.141099999995</v>
      </c>
      <c r="FA122" s="44">
        <f t="shared" si="220"/>
        <v>22848.489842000003</v>
      </c>
      <c r="FB122" s="44">
        <f t="shared" si="220"/>
        <v>20790.223883249993</v>
      </c>
      <c r="FC122" s="44">
        <f t="shared" si="220"/>
        <v>19185.57962301041</v>
      </c>
      <c r="FD122" s="44">
        <f t="shared" si="220"/>
        <v>18269.217421473088</v>
      </c>
      <c r="FE122" s="44">
        <f t="shared" si="220"/>
        <v>12653.73019182443</v>
      </c>
      <c r="FF122" s="44">
        <f t="shared" si="220"/>
        <v>11712.936069706189</v>
      </c>
    </row>
    <row r="123" spans="2:213">
      <c r="B123" s="4" t="s">
        <v>803</v>
      </c>
      <c r="T123" s="37">
        <v>590</v>
      </c>
      <c r="AE123" s="44"/>
      <c r="AF123" s="44"/>
      <c r="AG123" s="44"/>
      <c r="AH123" s="44"/>
      <c r="AK123" s="44">
        <f>591+4</f>
        <v>595</v>
      </c>
      <c r="AL123" s="44">
        <f>610+7</f>
        <v>617</v>
      </c>
      <c r="AM123" s="44">
        <v>262</v>
      </c>
      <c r="AN123" s="44">
        <v>1217</v>
      </c>
      <c r="AO123" s="44">
        <v>717</v>
      </c>
      <c r="AP123" s="68">
        <f>AP122*0.217</f>
        <v>860.99090000000012</v>
      </c>
      <c r="AQ123" s="68">
        <f>689+261+4-9+377</f>
        <v>1322</v>
      </c>
      <c r="AR123" s="68">
        <f>272+992</f>
        <v>1264</v>
      </c>
      <c r="AS123" s="68">
        <v>1099</v>
      </c>
      <c r="AT123" s="68">
        <f>798+36</f>
        <v>834</v>
      </c>
      <c r="AU123" s="68">
        <v>1156</v>
      </c>
      <c r="AV123" s="68">
        <f>925+6</f>
        <v>931</v>
      </c>
      <c r="AW123" s="68">
        <f>1199+6</f>
        <v>1205</v>
      </c>
      <c r="AX123" s="68">
        <f>1349+5</f>
        <v>1354</v>
      </c>
      <c r="AY123" s="68">
        <v>1551</v>
      </c>
      <c r="AZ123" s="68">
        <f>1271+5</f>
        <v>1276</v>
      </c>
      <c r="BA123" s="68">
        <f>1616+3</f>
        <v>1619</v>
      </c>
      <c r="BB123" s="68">
        <v>1508</v>
      </c>
      <c r="BC123" s="68">
        <f>2110+9</f>
        <v>2119</v>
      </c>
      <c r="BD123" s="68">
        <v>2301</v>
      </c>
      <c r="BE123" s="68">
        <f>1892+5</f>
        <v>1897</v>
      </c>
      <c r="BF123" s="68">
        <v>1326</v>
      </c>
      <c r="BG123" s="68">
        <f>1866+12</f>
        <v>1878</v>
      </c>
      <c r="BH123" s="68">
        <f>1937+8</f>
        <v>1945</v>
      </c>
      <c r="BI123" s="68">
        <v>2160</v>
      </c>
      <c r="BJ123" s="70">
        <v>1678</v>
      </c>
      <c r="BK123" s="70">
        <v>1821</v>
      </c>
      <c r="BL123" s="68">
        <v>1903</v>
      </c>
      <c r="BM123" s="68">
        <v>1564</v>
      </c>
      <c r="BN123" s="68">
        <v>1579</v>
      </c>
      <c r="BO123" s="68">
        <f>1446+19</f>
        <v>1465</v>
      </c>
      <c r="BP123" s="68">
        <f>1553+10</f>
        <v>1563</v>
      </c>
      <c r="BQ123" s="68">
        <f>1473+11+9</f>
        <v>1493</v>
      </c>
      <c r="BR123" s="68">
        <f>1411+5+57</f>
        <v>1473</v>
      </c>
      <c r="BS123" s="68">
        <v>1227</v>
      </c>
      <c r="BT123" s="68">
        <v>1459</v>
      </c>
      <c r="BU123" s="68">
        <f t="shared" ref="BU123:BV123" si="221">+BU122*0.27</f>
        <v>1268.86392</v>
      </c>
      <c r="BV123" s="68">
        <f t="shared" si="221"/>
        <v>1243.15506</v>
      </c>
      <c r="BW123" s="68"/>
      <c r="BX123" s="68"/>
      <c r="BY123" s="68"/>
      <c r="BZ123" s="68"/>
      <c r="CA123" s="68"/>
      <c r="CB123" s="68"/>
      <c r="CC123" s="68"/>
      <c r="CD123" s="68"/>
      <c r="CE123" s="68"/>
      <c r="CF123" s="68"/>
      <c r="CG123" s="68"/>
      <c r="CH123" s="68"/>
      <c r="CI123" s="68"/>
      <c r="CJ123" s="68"/>
      <c r="CK123" s="68">
        <f>712+8</f>
        <v>720</v>
      </c>
      <c r="CL123" s="68">
        <v>683</v>
      </c>
      <c r="CM123" s="122">
        <f>875+6</f>
        <v>881</v>
      </c>
      <c r="CN123" s="122">
        <f>923+10</f>
        <v>933</v>
      </c>
      <c r="CO123" s="122">
        <f>763+4</f>
        <v>767</v>
      </c>
      <c r="CP123" s="122">
        <f>398+10</f>
        <v>408</v>
      </c>
      <c r="CQ123" s="122">
        <f>799+9</f>
        <v>808</v>
      </c>
      <c r="CR123" s="122">
        <f>741+8</f>
        <v>749</v>
      </c>
      <c r="CS123" s="122">
        <v>347</v>
      </c>
      <c r="CT123" s="122">
        <v>-80</v>
      </c>
      <c r="CU123" s="122">
        <v>1001</v>
      </c>
      <c r="CV123" s="122">
        <v>1285</v>
      </c>
      <c r="CW123" s="122">
        <f>331+1587</f>
        <v>1918</v>
      </c>
      <c r="CX123" s="122">
        <v>804</v>
      </c>
      <c r="CY123" s="122">
        <v>1975</v>
      </c>
      <c r="CZ123" s="122">
        <v>2120</v>
      </c>
      <c r="DA123" s="122">
        <f>356+109</f>
        <v>465</v>
      </c>
      <c r="DB123" s="122">
        <f>230+8-2+576</f>
        <v>812</v>
      </c>
      <c r="DC123" s="122">
        <f t="shared" ref="DC123:DF123" si="222">+DC122*0.15</f>
        <v>1312.5675000000001</v>
      </c>
      <c r="DD123" s="122">
        <f t="shared" si="222"/>
        <v>566.38049999999998</v>
      </c>
      <c r="DE123" s="122">
        <f t="shared" si="222"/>
        <v>586.6004999999999</v>
      </c>
      <c r="DF123" s="122">
        <f t="shared" si="222"/>
        <v>369.57150000000007</v>
      </c>
      <c r="DG123" s="122"/>
      <c r="DH123" s="122"/>
      <c r="DI123" s="122"/>
      <c r="DJ123" s="122"/>
      <c r="DK123" s="122"/>
      <c r="DL123" s="122"/>
      <c r="DM123" s="122"/>
      <c r="DN123" s="122"/>
      <c r="DO123" s="122"/>
      <c r="DP123" s="68"/>
      <c r="DQ123" s="68"/>
      <c r="DU123" s="44"/>
      <c r="DV123" s="44">
        <v>549</v>
      </c>
      <c r="DW123" s="44">
        <v>738</v>
      </c>
      <c r="DX123" s="44">
        <v>869</v>
      </c>
      <c r="DY123" s="44">
        <v>865</v>
      </c>
      <c r="DZ123" s="44">
        <v>642</v>
      </c>
      <c r="EA123" s="44">
        <v>1968</v>
      </c>
      <c r="EB123" s="44">
        <v>2049</v>
      </c>
      <c r="EC123" s="44">
        <v>2433</v>
      </c>
      <c r="ED123" s="44">
        <v>2842</v>
      </c>
      <c r="EE123" s="44">
        <v>3524</v>
      </c>
      <c r="EF123" s="44">
        <v>4489</v>
      </c>
      <c r="EG123" s="44">
        <v>4400</v>
      </c>
      <c r="EH123" s="44">
        <v>4229</v>
      </c>
      <c r="EI123" s="44">
        <f>EI122*EI132</f>
        <v>1198.7925599999999</v>
      </c>
      <c r="EJ123" s="44">
        <f>SUM(AU123:AX123)</f>
        <v>4646</v>
      </c>
      <c r="EK123" s="44">
        <f>SUM(AY123:BB123)</f>
        <v>5954</v>
      </c>
      <c r="EL123" s="44">
        <f>SUM(BC123:BF123)</f>
        <v>7643</v>
      </c>
      <c r="EM123" s="44">
        <f t="shared" ref="EM123:EN123" si="223">EM122*EM132</f>
        <v>7845.95</v>
      </c>
      <c r="EN123" s="44">
        <f t="shared" si="223"/>
        <v>6923.1699999999992</v>
      </c>
      <c r="EV123" s="44">
        <f>SUM(CQ123:CT123)</f>
        <v>1824</v>
      </c>
      <c r="EW123" s="44">
        <f t="shared" ref="EW123" si="224">SUM(CU123:CX123)</f>
        <v>5008</v>
      </c>
      <c r="EX123" s="44">
        <f>SUM(CY123:DB123)</f>
        <v>5372</v>
      </c>
      <c r="EY123" s="44">
        <f>SUM(DC123:DF123)</f>
        <v>2835.12</v>
      </c>
      <c r="EZ123" s="44">
        <f>+EZ122*0.15</f>
        <v>1933.3711649999991</v>
      </c>
      <c r="FA123" s="44">
        <f t="shared" ref="FA123:FF123" si="225">+FA122*0.15</f>
        <v>3427.2734763000003</v>
      </c>
      <c r="FB123" s="44">
        <f t="shared" si="225"/>
        <v>3118.5335824874987</v>
      </c>
      <c r="FC123" s="44">
        <f t="shared" si="225"/>
        <v>2877.8369434515612</v>
      </c>
      <c r="FD123" s="44">
        <f t="shared" si="225"/>
        <v>2740.3826132209629</v>
      </c>
      <c r="FE123" s="44">
        <f t="shared" si="225"/>
        <v>1898.0595287736644</v>
      </c>
      <c r="FF123" s="44">
        <f t="shared" si="225"/>
        <v>1756.9404104559283</v>
      </c>
      <c r="FQ123" s="44"/>
      <c r="FS123" s="44"/>
    </row>
    <row r="124" spans="2:213">
      <c r="B124" s="4" t="s">
        <v>804</v>
      </c>
      <c r="S124" s="44"/>
      <c r="T124" s="44">
        <f>T122-T123</f>
        <v>-984</v>
      </c>
      <c r="AE124" s="44">
        <f>AE122-AE123</f>
        <v>0</v>
      </c>
      <c r="AF124" s="44">
        <f>AF122-AF123</f>
        <v>0</v>
      </c>
      <c r="AG124" s="44">
        <f>AG122-AG123</f>
        <v>0</v>
      </c>
      <c r="AH124" s="44">
        <f>AH122-AH123</f>
        <v>0</v>
      </c>
      <c r="AI124" s="44">
        <f>AQ122-AQ123</f>
        <v>4815</v>
      </c>
      <c r="AJ124" s="44"/>
      <c r="AK124" s="44">
        <f t="shared" ref="AK124:AL124" si="226">AK122-AK123</f>
        <v>4528.1000000000004</v>
      </c>
      <c r="AL124" s="44">
        <f t="shared" si="226"/>
        <v>4577.7999999999993</v>
      </c>
      <c r="AM124" s="44">
        <f t="shared" ref="AM124:AT124" si="227">AM122-AM123</f>
        <v>6437.6</v>
      </c>
      <c r="AN124" s="44">
        <f t="shared" si="227"/>
        <v>4168.2000000000007</v>
      </c>
      <c r="AO124" s="44">
        <f t="shared" si="227"/>
        <v>4800.7999999999993</v>
      </c>
      <c r="AP124" s="44">
        <f t="shared" si="227"/>
        <v>3106.7091000000005</v>
      </c>
      <c r="AQ124" s="44">
        <f t="shared" si="227"/>
        <v>4815</v>
      </c>
      <c r="AR124" s="44">
        <f t="shared" si="227"/>
        <v>2751</v>
      </c>
      <c r="AS124" s="44">
        <f t="shared" si="227"/>
        <v>3992</v>
      </c>
      <c r="AT124" s="44">
        <f t="shared" si="227"/>
        <v>3591</v>
      </c>
      <c r="AU124" s="44">
        <f t="shared" ref="AU124:BB124" si="228">AU122-AU123</f>
        <v>4831.8029999999999</v>
      </c>
      <c r="AV124" s="44">
        <f t="shared" si="228"/>
        <v>4423.6540000000005</v>
      </c>
      <c r="AW124" s="44">
        <f t="shared" si="228"/>
        <v>4216</v>
      </c>
      <c r="AX124" s="44">
        <f t="shared" si="228"/>
        <v>4434</v>
      </c>
      <c r="AY124" s="44">
        <f t="shared" si="228"/>
        <v>4289.6499999999996</v>
      </c>
      <c r="AZ124" s="44">
        <f t="shared" si="228"/>
        <v>4059.6149999999998</v>
      </c>
      <c r="BA124" s="44">
        <f t="shared" si="228"/>
        <v>3495</v>
      </c>
      <c r="BB124" s="44">
        <f t="shared" si="228"/>
        <v>3872</v>
      </c>
      <c r="BC124" s="44">
        <f t="shared" ref="BC124:BJ124" si="229">BC122-BC123</f>
        <v>5278</v>
      </c>
      <c r="BD124" s="44">
        <f t="shared" si="229"/>
        <v>5289</v>
      </c>
      <c r="BE124" s="44">
        <f t="shared" si="229"/>
        <v>4967</v>
      </c>
      <c r="BF124" s="44">
        <f t="shared" si="229"/>
        <v>4539</v>
      </c>
      <c r="BG124" s="44">
        <f t="shared" si="229"/>
        <v>4899</v>
      </c>
      <c r="BH124" s="44">
        <f t="shared" si="229"/>
        <v>5527</v>
      </c>
      <c r="BI124" s="44">
        <f t="shared" si="229"/>
        <v>4917</v>
      </c>
      <c r="BJ124" s="65">
        <f t="shared" si="229"/>
        <v>3927</v>
      </c>
      <c r="BK124" s="65">
        <f>BK122-BK123</f>
        <v>4544</v>
      </c>
      <c r="BL124" s="65">
        <f t="shared" ref="BL124:BN124" si="230">BL122-BL123</f>
        <v>4744</v>
      </c>
      <c r="BM124" s="65">
        <f t="shared" si="230"/>
        <v>3997</v>
      </c>
      <c r="BN124" s="65">
        <f t="shared" si="230"/>
        <v>3721</v>
      </c>
      <c r="BO124" s="65">
        <f t="shared" ref="BO124:BR124" si="231">BO122-BO123</f>
        <v>3911</v>
      </c>
      <c r="BP124" s="65">
        <f t="shared" si="231"/>
        <v>4003</v>
      </c>
      <c r="BQ124" s="65">
        <f t="shared" si="231"/>
        <v>3887</v>
      </c>
      <c r="BR124" s="65">
        <f t="shared" si="231"/>
        <v>3666</v>
      </c>
      <c r="BS124" s="65">
        <f t="shared" ref="BS124:BV124" si="232">BS122-BS123</f>
        <v>3470</v>
      </c>
      <c r="BT124" s="65">
        <f t="shared" si="232"/>
        <v>3818</v>
      </c>
      <c r="BU124" s="65">
        <f t="shared" si="232"/>
        <v>3430.6320800000003</v>
      </c>
      <c r="BV124" s="65">
        <f t="shared" si="232"/>
        <v>3361.1229400000002</v>
      </c>
      <c r="BW124" s="65"/>
      <c r="BX124" s="65"/>
      <c r="BY124" s="65"/>
      <c r="BZ124" s="65"/>
      <c r="CA124" s="65"/>
      <c r="CB124" s="65"/>
      <c r="CC124" s="65"/>
      <c r="CD124" s="65"/>
      <c r="CE124" s="65"/>
      <c r="CF124" s="65"/>
      <c r="CG124" s="65"/>
      <c r="CH124" s="65"/>
      <c r="CI124" s="65"/>
      <c r="CJ124" s="65"/>
      <c r="CK124" s="65">
        <f>+CK122-CK123</f>
        <v>4652</v>
      </c>
      <c r="CL124" s="65">
        <f>+CL122-CL123</f>
        <v>3866</v>
      </c>
      <c r="CM124" s="115">
        <f t="shared" ref="CM124:CN124" si="233">CM122-CM123</f>
        <v>4916</v>
      </c>
      <c r="CN124" s="115">
        <f t="shared" si="233"/>
        <v>4285</v>
      </c>
      <c r="CO124" s="115">
        <f>+CO122-CO123</f>
        <v>4288</v>
      </c>
      <c r="CP124" s="115">
        <f>+CP122-CP123</f>
        <v>3223</v>
      </c>
      <c r="CQ124" s="115">
        <f t="shared" ref="CQ124" si="234">CQ122-CQ123</f>
        <v>4589</v>
      </c>
      <c r="CR124" s="115">
        <f t="shared" ref="CR124:CT124" si="235">CR122-CR123</f>
        <v>4472</v>
      </c>
      <c r="CS124" s="115">
        <f t="shared" si="235"/>
        <v>4843</v>
      </c>
      <c r="CT124" s="115">
        <f t="shared" si="235"/>
        <v>2117</v>
      </c>
      <c r="CU124" s="115">
        <f>CU122-CU123</f>
        <v>4654.5999999999985</v>
      </c>
      <c r="CV124" s="115">
        <f>CV122-CV123</f>
        <v>5699</v>
      </c>
      <c r="CW124" s="115">
        <f>+CW122-CW123</f>
        <v>8570</v>
      </c>
      <c r="CX124" s="115">
        <f>CX122-CX123</f>
        <v>6606</v>
      </c>
      <c r="CY124" s="115">
        <f>CY122-CY123</f>
        <v>8986.3999999999978</v>
      </c>
      <c r="CZ124" s="115">
        <f>CZ122-CZ123</f>
        <v>11389.80000000001</v>
      </c>
      <c r="DA124" s="115">
        <f>DA122-DA123</f>
        <v>10802.800000000003</v>
      </c>
      <c r="DB124" s="115">
        <f t="shared" ref="DB124:DF124" si="236">DB122-DB123</f>
        <v>6716</v>
      </c>
      <c r="DC124" s="115">
        <f t="shared" si="236"/>
        <v>7437.8825000000006</v>
      </c>
      <c r="DD124" s="115">
        <f t="shared" si="236"/>
        <v>3209.4894999999997</v>
      </c>
      <c r="DE124" s="115">
        <f t="shared" si="236"/>
        <v>3324.0694999999992</v>
      </c>
      <c r="DF124" s="115">
        <f t="shared" si="236"/>
        <v>2094.2385000000004</v>
      </c>
      <c r="DG124" s="115"/>
      <c r="DH124" s="115"/>
      <c r="DI124" s="115"/>
      <c r="DJ124" s="115"/>
      <c r="DK124" s="115"/>
      <c r="DL124" s="115"/>
      <c r="DM124" s="115"/>
      <c r="DN124" s="115"/>
      <c r="DO124" s="115"/>
      <c r="DP124" s="65"/>
      <c r="DQ124" s="65"/>
      <c r="DU124" s="44"/>
      <c r="DV124" s="44">
        <f t="shared" ref="DV124:EM124" si="237">DV122-DV123</f>
        <v>1243</v>
      </c>
      <c r="DW124" s="44">
        <f t="shared" si="237"/>
        <v>1653</v>
      </c>
      <c r="DX124" s="44">
        <f t="shared" si="237"/>
        <v>2088</v>
      </c>
      <c r="DY124" s="44">
        <f t="shared" si="237"/>
        <v>2349</v>
      </c>
      <c r="DZ124" s="44">
        <f t="shared" si="237"/>
        <v>3669</v>
      </c>
      <c r="EA124" s="44">
        <f t="shared" si="237"/>
        <v>4367.0936936936923</v>
      </c>
      <c r="EB124" s="44">
        <f t="shared" si="237"/>
        <v>5660</v>
      </c>
      <c r="EC124" s="44">
        <f t="shared" si="237"/>
        <v>4764</v>
      </c>
      <c r="ED124" s="44">
        <f t="shared" si="237"/>
        <v>-1301</v>
      </c>
      <c r="EE124" s="44">
        <f t="shared" si="237"/>
        <v>-3653</v>
      </c>
      <c r="EF124" s="44">
        <f t="shared" si="237"/>
        <v>768</v>
      </c>
      <c r="EG124" s="44">
        <f t="shared" si="237"/>
        <v>-795</v>
      </c>
      <c r="EH124" s="44">
        <f t="shared" si="237"/>
        <v>2291</v>
      </c>
      <c r="EI124" s="44">
        <f t="shared" si="237"/>
        <v>4509.7434400000002</v>
      </c>
      <c r="EJ124" s="44">
        <f>EJ122-EJ123</f>
        <v>19007.264999999999</v>
      </c>
      <c r="EK124" s="44">
        <f>EK122-EK123</f>
        <v>15716.264999999999</v>
      </c>
      <c r="EL124" s="44">
        <f t="shared" si="237"/>
        <v>20073</v>
      </c>
      <c r="EM124" s="44">
        <f t="shared" si="237"/>
        <v>19209.05</v>
      </c>
      <c r="EN124" s="44">
        <f>EN122-EN123</f>
        <v>16949.830000000002</v>
      </c>
      <c r="EV124" s="44">
        <f>+EV122-EV123</f>
        <v>16021</v>
      </c>
      <c r="EW124" s="44">
        <f>+EW122-EW123</f>
        <v>25529.600000000006</v>
      </c>
      <c r="EX124" s="44">
        <f>+EX122-EX123</f>
        <v>37432.999999999985</v>
      </c>
      <c r="EY124" s="44">
        <f>+EY122-EY123</f>
        <v>14494.679999999997</v>
      </c>
      <c r="EZ124" s="44">
        <f t="shared" ref="EZ124:FF124" si="238">+EZ122-EZ123</f>
        <v>10955.769934999997</v>
      </c>
      <c r="FA124" s="44">
        <f t="shared" si="238"/>
        <v>19421.216365700002</v>
      </c>
      <c r="FB124" s="44">
        <f t="shared" si="238"/>
        <v>17671.690300762493</v>
      </c>
      <c r="FC124" s="44">
        <f t="shared" si="238"/>
        <v>16307.742679558849</v>
      </c>
      <c r="FD124" s="44">
        <f t="shared" si="238"/>
        <v>15528.834808252124</v>
      </c>
      <c r="FE124" s="44">
        <f t="shared" si="238"/>
        <v>10755.670663050765</v>
      </c>
      <c r="FF124" s="44">
        <f t="shared" si="238"/>
        <v>9955.9956592502604</v>
      </c>
      <c r="FG124" s="19"/>
      <c r="FH124" s="19"/>
      <c r="FI124" s="19"/>
      <c r="FJ124" s="19"/>
      <c r="FK124" s="19"/>
      <c r="FL124" s="19"/>
      <c r="FM124" s="19"/>
      <c r="FN124" s="19">
        <f>EW124*(1+$FR$148)</f>
        <v>25019.008000000005</v>
      </c>
      <c r="FO124" s="19">
        <f t="shared" ref="FO124:HE124" si="239">FN124*(1+$FR$148)</f>
        <v>24518.627840000005</v>
      </c>
      <c r="FP124" s="19">
        <f t="shared" si="239"/>
        <v>24028.255283200004</v>
      </c>
      <c r="FQ124" s="19">
        <f t="shared" si="239"/>
        <v>23547.690177536002</v>
      </c>
      <c r="FR124" s="19">
        <f t="shared" si="239"/>
        <v>23076.736373985281</v>
      </c>
      <c r="FS124" s="19">
        <f t="shared" si="239"/>
        <v>22615.201646505575</v>
      </c>
      <c r="FT124" s="19">
        <f t="shared" si="239"/>
        <v>22162.897613575464</v>
      </c>
      <c r="FU124" s="19">
        <f t="shared" si="239"/>
        <v>21719.639661303954</v>
      </c>
      <c r="FV124" s="19">
        <f t="shared" si="239"/>
        <v>21285.246868077873</v>
      </c>
      <c r="FW124" s="19">
        <f t="shared" si="239"/>
        <v>20859.541930716314</v>
      </c>
      <c r="FX124" s="19">
        <f t="shared" si="239"/>
        <v>20442.351092101988</v>
      </c>
      <c r="FY124" s="19">
        <f t="shared" si="239"/>
        <v>20033.504070259947</v>
      </c>
      <c r="FZ124" s="19">
        <f t="shared" si="239"/>
        <v>19632.833988854749</v>
      </c>
      <c r="GA124" s="19">
        <f t="shared" si="239"/>
        <v>19240.177309077655</v>
      </c>
      <c r="GB124" s="19">
        <f t="shared" si="239"/>
        <v>18855.373762896103</v>
      </c>
      <c r="GC124" s="19">
        <f t="shared" si="239"/>
        <v>18478.26628763818</v>
      </c>
      <c r="GD124" s="19">
        <f t="shared" si="239"/>
        <v>18108.700961885417</v>
      </c>
      <c r="GE124" s="19">
        <f t="shared" si="239"/>
        <v>17746.52694264771</v>
      </c>
      <c r="GF124" s="19">
        <f t="shared" si="239"/>
        <v>17391.596403794756</v>
      </c>
      <c r="GG124" s="19">
        <f t="shared" si="239"/>
        <v>17043.764475718861</v>
      </c>
      <c r="GH124" s="19">
        <f t="shared" si="239"/>
        <v>16702.889186204484</v>
      </c>
      <c r="GI124" s="19">
        <f t="shared" si="239"/>
        <v>16368.831402480393</v>
      </c>
      <c r="GJ124" s="19">
        <f t="shared" si="239"/>
        <v>16041.454774430786</v>
      </c>
      <c r="GK124" s="19">
        <f t="shared" si="239"/>
        <v>15720.62567894217</v>
      </c>
      <c r="GL124" s="19">
        <f t="shared" si="239"/>
        <v>15406.213165363326</v>
      </c>
      <c r="GM124" s="19">
        <f t="shared" si="239"/>
        <v>15098.088902056059</v>
      </c>
      <c r="GN124" s="19">
        <f t="shared" si="239"/>
        <v>14796.127124014938</v>
      </c>
      <c r="GO124" s="19">
        <f t="shared" si="239"/>
        <v>14500.204581534639</v>
      </c>
      <c r="GP124" s="19">
        <f t="shared" si="239"/>
        <v>14210.200489903946</v>
      </c>
      <c r="GQ124" s="19">
        <f t="shared" si="239"/>
        <v>13925.996480105867</v>
      </c>
      <c r="GR124" s="19">
        <f t="shared" si="239"/>
        <v>13647.476550503749</v>
      </c>
      <c r="GS124" s="19">
        <f t="shared" si="239"/>
        <v>13374.527019493673</v>
      </c>
      <c r="GT124" s="19">
        <f t="shared" si="239"/>
        <v>13107.036479103799</v>
      </c>
      <c r="GU124" s="19">
        <f t="shared" si="239"/>
        <v>12844.895749521724</v>
      </c>
      <c r="GV124" s="19">
        <f t="shared" si="239"/>
        <v>12587.997834531288</v>
      </c>
      <c r="GW124" s="19">
        <f t="shared" si="239"/>
        <v>12336.237877840662</v>
      </c>
      <c r="GX124" s="19">
        <f t="shared" si="239"/>
        <v>12089.513120283849</v>
      </c>
      <c r="GY124" s="19">
        <f t="shared" si="239"/>
        <v>11847.722857878172</v>
      </c>
      <c r="GZ124" s="19">
        <f t="shared" si="239"/>
        <v>11610.768400720608</v>
      </c>
      <c r="HA124" s="19">
        <f t="shared" si="239"/>
        <v>11378.553032706195</v>
      </c>
      <c r="HB124" s="19">
        <f t="shared" si="239"/>
        <v>11150.981972052072</v>
      </c>
      <c r="HC124" s="19">
        <f t="shared" si="239"/>
        <v>10927.96233261103</v>
      </c>
      <c r="HD124" s="19">
        <f t="shared" si="239"/>
        <v>10709.403085958809</v>
      </c>
      <c r="HE124" s="19">
        <f t="shared" si="239"/>
        <v>10495.215024239633</v>
      </c>
    </row>
    <row r="125" spans="2:213" s="5" customFormat="1">
      <c r="B125" s="5" t="s">
        <v>805</v>
      </c>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3"/>
      <c r="AF125" s="53"/>
      <c r="AG125" s="53"/>
      <c r="AH125" s="53"/>
      <c r="AI125" s="52"/>
      <c r="AJ125" s="52"/>
      <c r="AK125" s="48">
        <f t="shared" ref="AK125:AL125" si="240">AK124/AK126</f>
        <v>0.61339745326469797</v>
      </c>
      <c r="AL125" s="48">
        <f t="shared" si="240"/>
        <v>0.62130836047774152</v>
      </c>
      <c r="AM125" s="48">
        <f t="shared" ref="AM125:AT125" si="241">AM124/AM126</f>
        <v>0.87897323866739496</v>
      </c>
      <c r="AN125" s="48">
        <f t="shared" si="241"/>
        <v>0.57059548254620129</v>
      </c>
      <c r="AO125" s="48">
        <f t="shared" si="241"/>
        <v>0.66401106500691554</v>
      </c>
      <c r="AP125" s="48">
        <f t="shared" si="241"/>
        <v>0.43323233858597132</v>
      </c>
      <c r="AQ125" s="48">
        <f t="shared" si="241"/>
        <v>0.68056537102473502</v>
      </c>
      <c r="AR125" s="48">
        <f t="shared" si="241"/>
        <v>0.39356223175965666</v>
      </c>
      <c r="AS125" s="48">
        <f t="shared" si="241"/>
        <v>0.57905425007252687</v>
      </c>
      <c r="AT125" s="48">
        <f t="shared" si="241"/>
        <v>0.5287102473498233</v>
      </c>
      <c r="AU125" s="48">
        <f t="shared" ref="AU125:AZ125" si="242">AU124/AU126</f>
        <v>0.71455235137533268</v>
      </c>
      <c r="AV125" s="48">
        <f t="shared" si="242"/>
        <v>0.65555038529934806</v>
      </c>
      <c r="AW125" s="48">
        <f t="shared" si="242"/>
        <v>0.62589073634204273</v>
      </c>
      <c r="AX125" s="48">
        <f t="shared" si="242"/>
        <v>0.65796112182816446</v>
      </c>
      <c r="AY125" s="48">
        <f t="shared" si="242"/>
        <v>0.63522138308899745</v>
      </c>
      <c r="AZ125" s="48">
        <f t="shared" si="242"/>
        <v>0.60124629739336488</v>
      </c>
      <c r="BA125" s="48">
        <f t="shared" ref="BA125:BF125" si="243">BA124/BA126</f>
        <v>0.51685891748003554</v>
      </c>
      <c r="BB125" s="48">
        <f t="shared" si="243"/>
        <v>0.49343698228622401</v>
      </c>
      <c r="BC125" s="48">
        <f t="shared" si="243"/>
        <v>0.65435159930572773</v>
      </c>
      <c r="BD125" s="48">
        <f>BD124/BD126</f>
        <v>0.65522794846382559</v>
      </c>
      <c r="BE125" s="48">
        <f t="shared" si="243"/>
        <v>0.61533696729435083</v>
      </c>
      <c r="BF125" s="48">
        <f t="shared" si="243"/>
        <v>0.56399105367793245</v>
      </c>
      <c r="BG125" s="48">
        <f>BG124/BG126</f>
        <v>0.60970752955818297</v>
      </c>
      <c r="BH125" s="48">
        <f>BH124/BH126</f>
        <v>0.69653434152488969</v>
      </c>
      <c r="BI125" s="48">
        <f t="shared" ref="BI125:BJ125" si="244">BI124/BI126</f>
        <v>0.62957746478873244</v>
      </c>
      <c r="BJ125" s="105">
        <f t="shared" si="244"/>
        <v>0.51086249512163395</v>
      </c>
      <c r="BK125" s="105">
        <f>BK124/BK126</f>
        <v>0.5980521189786786</v>
      </c>
      <c r="BL125" s="105">
        <f>BL124/BL126</f>
        <v>0.62942815443810529</v>
      </c>
      <c r="BM125" s="105">
        <f t="shared" ref="BM125:BN125" si="245">BM124/BM126</f>
        <v>0.53236547682472035</v>
      </c>
      <c r="BN125" s="105">
        <f t="shared" si="245"/>
        <v>0.50317782285327928</v>
      </c>
      <c r="BO125" s="105">
        <f t="shared" ref="BO125:BR125" si="246">BO124/BO126</f>
        <v>0.53803824460035765</v>
      </c>
      <c r="BP125" s="105">
        <f t="shared" si="246"/>
        <v>0.56245609104959959</v>
      </c>
      <c r="BQ125" s="105">
        <f t="shared" si="246"/>
        <v>0.583984375</v>
      </c>
      <c r="BR125" s="105">
        <f t="shared" si="246"/>
        <v>0.55943842514878683</v>
      </c>
      <c r="BS125" s="105">
        <f t="shared" ref="BS125:BV125" si="247">BS124/BS126</f>
        <v>0.5358245830759728</v>
      </c>
      <c r="BT125" s="105">
        <f t="shared" si="247"/>
        <v>0.59248913718187457</v>
      </c>
      <c r="BU125" s="105">
        <f t="shared" si="247"/>
        <v>0.52352084236227692</v>
      </c>
      <c r="BV125" s="105">
        <f t="shared" si="247"/>
        <v>0.51291361819014192</v>
      </c>
      <c r="BW125" s="105"/>
      <c r="BX125" s="105"/>
      <c r="BY125" s="105"/>
      <c r="BZ125" s="105"/>
      <c r="CA125" s="105"/>
      <c r="CB125" s="105"/>
      <c r="CC125" s="105"/>
      <c r="CD125" s="105"/>
      <c r="CE125" s="105"/>
      <c r="CF125" s="105"/>
      <c r="CG125" s="105"/>
      <c r="CH125" s="105"/>
      <c r="CI125" s="105"/>
      <c r="CJ125" s="105"/>
      <c r="CK125" s="105">
        <f>+CK124/CK126</f>
        <v>0.77714667557634476</v>
      </c>
      <c r="CL125" s="137">
        <f t="shared" ref="CL125" si="248">CL124/CL126</f>
        <v>0.65392422192151556</v>
      </c>
      <c r="CM125" s="137">
        <f t="shared" ref="CM125:CN125" si="249">CM124/CM126</f>
        <v>0.85495652173913039</v>
      </c>
      <c r="CN125" s="137">
        <f t="shared" si="249"/>
        <v>0.75546544428772922</v>
      </c>
      <c r="CO125" s="137">
        <f>+CO124/CO126</f>
        <v>0.75907240219507877</v>
      </c>
      <c r="CP125" s="137">
        <f t="shared" ref="CP125:CQ125" si="250">CP124/CP126</f>
        <v>0.57236725270822231</v>
      </c>
      <c r="CQ125" s="137">
        <f t="shared" si="250"/>
        <v>0.81756636379832537</v>
      </c>
      <c r="CR125" s="137">
        <f t="shared" ref="CR125:CT125" si="251">CR124/CR126</f>
        <v>0.79587115145043597</v>
      </c>
      <c r="CS125" s="137">
        <f t="shared" si="251"/>
        <v>0.85975501508965024</v>
      </c>
      <c r="CT125" s="137">
        <f t="shared" si="251"/>
        <v>0.37389614977039914</v>
      </c>
      <c r="CU125" s="137">
        <f t="shared" ref="CU125:DA125" si="252">CU124/CU126</f>
        <v>0.82207700459201671</v>
      </c>
      <c r="CV125" s="137">
        <f t="shared" si="252"/>
        <v>1.0036984853821769</v>
      </c>
      <c r="CW125" s="137">
        <f t="shared" si="252"/>
        <v>1.496943231441048</v>
      </c>
      <c r="CX125" s="137">
        <f t="shared" si="252"/>
        <v>1.1452843273231623</v>
      </c>
      <c r="CY125" s="137">
        <f t="shared" si="252"/>
        <v>1.5606807919416461</v>
      </c>
      <c r="CZ125" s="137">
        <f t="shared" si="252"/>
        <v>1.9940126050420186</v>
      </c>
      <c r="DA125" s="137">
        <f t="shared" si="252"/>
        <v>1.8892619797131869</v>
      </c>
      <c r="DB125" s="137">
        <f t="shared" ref="DB125:DF125" si="253">DB124/DB126</f>
        <v>1.1694236461779557</v>
      </c>
      <c r="DC125" s="137">
        <f t="shared" si="253"/>
        <v>1.2951214522026817</v>
      </c>
      <c r="DD125" s="137">
        <f t="shared" si="253"/>
        <v>0.55885242904405352</v>
      </c>
      <c r="DE125" s="137">
        <f t="shared" si="253"/>
        <v>0.57880367403795907</v>
      </c>
      <c r="DF125" s="137">
        <f t="shared" si="253"/>
        <v>0.36465932439491561</v>
      </c>
      <c r="DG125" s="137"/>
      <c r="DH125" s="137"/>
      <c r="DI125" s="137"/>
      <c r="DJ125" s="137"/>
      <c r="DK125" s="137"/>
      <c r="DL125" s="137"/>
      <c r="DM125" s="137"/>
      <c r="DN125" s="137"/>
      <c r="DO125" s="137"/>
      <c r="DP125" s="105"/>
      <c r="DQ125" s="105"/>
      <c r="DU125" s="53"/>
      <c r="DV125" s="53">
        <f t="shared" ref="DV125:EE125" si="254">ROUND(DV124/DV126,2)</f>
        <v>0.33</v>
      </c>
      <c r="DW125" s="53">
        <f t="shared" si="254"/>
        <v>0.44</v>
      </c>
      <c r="DX125" s="53">
        <f t="shared" si="254"/>
        <v>0.54</v>
      </c>
      <c r="DY125" s="53">
        <f t="shared" si="254"/>
        <v>0.6</v>
      </c>
      <c r="DZ125" s="53">
        <f t="shared" si="254"/>
        <v>0.93</v>
      </c>
      <c r="EA125" s="53">
        <f t="shared" si="254"/>
        <v>0.69</v>
      </c>
      <c r="EB125" s="53">
        <f t="shared" si="254"/>
        <v>0.89</v>
      </c>
      <c r="EC125" s="53">
        <f t="shared" si="254"/>
        <v>0.75</v>
      </c>
      <c r="ED125" s="53">
        <f t="shared" si="254"/>
        <v>-0.21</v>
      </c>
      <c r="EE125" s="53">
        <f t="shared" si="254"/>
        <v>-0.5</v>
      </c>
      <c r="EF125" s="53">
        <f>ROUND(EF124/EF126,2)</f>
        <v>0.1</v>
      </c>
      <c r="EG125" s="53">
        <f>ROUND(EG124/EG126,2)</f>
        <v>-0.11</v>
      </c>
      <c r="EH125" s="53">
        <f>EH124/EH126</f>
        <v>0.31495738245806981</v>
      </c>
      <c r="EI125" s="53">
        <f t="shared" ref="EI125:EL125" si="255">ROUND(EI124/EI126,2)</f>
        <v>0.65</v>
      </c>
      <c r="EJ125" s="54">
        <f>ROUND(EJ124/EJ126,2)</f>
        <v>2.82</v>
      </c>
      <c r="EK125" s="53">
        <f>ROUND(EK124/EK126,2)</f>
        <v>2.2400000000000002</v>
      </c>
      <c r="EL125" s="53">
        <f t="shared" si="255"/>
        <v>2.4900000000000002</v>
      </c>
      <c r="EM125" s="53">
        <f>ROUND(EM124/EM126,2)</f>
        <v>2.44</v>
      </c>
      <c r="EN125" s="53">
        <f>ROUND(EN124/EN126,2)</f>
        <v>2.2599999999999998</v>
      </c>
      <c r="EO125" s="53"/>
      <c r="EP125" s="53"/>
      <c r="EQ125" s="53"/>
      <c r="ER125" s="53"/>
      <c r="ES125" s="53"/>
      <c r="ET125" s="53"/>
      <c r="EU125" s="53"/>
      <c r="EV125" s="53">
        <f>+EV124/EV126</f>
        <v>2.844764060904692</v>
      </c>
      <c r="EW125" s="53">
        <f>+EW124/EW126</f>
        <v>4.4724039767003907</v>
      </c>
      <c r="EX125" s="53">
        <f>+EX124/EX126</f>
        <v>6.529675984475162</v>
      </c>
      <c r="EY125" s="53">
        <f>+EY124/EY126</f>
        <v>2.5238864704858082</v>
      </c>
      <c r="EZ125" s="53">
        <f>+EZ124/EZ126</f>
        <v>1.9076736783910841</v>
      </c>
      <c r="FA125" s="53">
        <f t="shared" ref="FA125:FF125" si="256">+FA124/FA126</f>
        <v>3.3817197223924782</v>
      </c>
      <c r="FB125" s="53">
        <f t="shared" si="256"/>
        <v>3.0770834582557014</v>
      </c>
      <c r="FC125" s="53">
        <f t="shared" si="256"/>
        <v>2.8395860490264409</v>
      </c>
      <c r="FD125" s="53">
        <f t="shared" si="256"/>
        <v>2.7039586989817384</v>
      </c>
      <c r="FE125" s="53">
        <f t="shared" si="256"/>
        <v>1.872831388307638</v>
      </c>
      <c r="FF125" s="53">
        <f t="shared" si="256"/>
        <v>1.7335879608654468</v>
      </c>
      <c r="FG125" s="53"/>
      <c r="FH125" s="53"/>
      <c r="FI125" s="53"/>
      <c r="FJ125" s="53"/>
      <c r="FK125" s="53"/>
      <c r="FL125" s="53"/>
      <c r="FM125" s="53"/>
      <c r="FN125" s="53"/>
      <c r="FO125" s="53"/>
      <c r="FP125" s="53"/>
      <c r="FQ125" s="89"/>
      <c r="FR125" s="53"/>
      <c r="FS125" s="90"/>
      <c r="FT125" s="53"/>
      <c r="FU125" s="26"/>
    </row>
    <row r="126" spans="2:213">
      <c r="B126" s="4" t="s">
        <v>299</v>
      </c>
      <c r="W126" s="68">
        <v>6305.9</v>
      </c>
      <c r="X126" s="68">
        <f>6291.2*2-W126</f>
        <v>6276.5</v>
      </c>
      <c r="Y126" s="68">
        <f>6262.2*3-W126-X126</f>
        <v>6204.1999999999989</v>
      </c>
      <c r="Z126" s="68">
        <f>6241.4*4-SUM(W126:Y126)</f>
        <v>6179</v>
      </c>
      <c r="AA126" s="68">
        <v>6161.7</v>
      </c>
      <c r="AB126" s="68">
        <v>7453.4</v>
      </c>
      <c r="AC126" s="68">
        <v>7791.2</v>
      </c>
      <c r="AD126" s="68">
        <v>7668.3</v>
      </c>
      <c r="AE126" s="68">
        <v>7678.5</v>
      </c>
      <c r="AF126" s="68">
        <v>7664</v>
      </c>
      <c r="AG126" s="68">
        <v>7568.7</v>
      </c>
      <c r="AH126" s="68">
        <v>7510.6</v>
      </c>
      <c r="AI126" s="68">
        <v>7473.8</v>
      </c>
      <c r="AK126" s="44">
        <v>7382</v>
      </c>
      <c r="AL126" s="44">
        <v>7368</v>
      </c>
      <c r="AM126" s="44">
        <v>7324</v>
      </c>
      <c r="AN126" s="44">
        <v>7305</v>
      </c>
      <c r="AO126" s="44">
        <f>AN126-75</f>
        <v>7230</v>
      </c>
      <c r="AP126" s="68">
        <v>7171</v>
      </c>
      <c r="AQ126" s="44">
        <v>7075</v>
      </c>
      <c r="AR126" s="44">
        <v>6990</v>
      </c>
      <c r="AS126" s="44">
        <v>6894</v>
      </c>
      <c r="AT126" s="44">
        <v>6792</v>
      </c>
      <c r="AU126" s="44">
        <v>6762</v>
      </c>
      <c r="AV126" s="44">
        <v>6748</v>
      </c>
      <c r="AW126" s="44">
        <v>6736</v>
      </c>
      <c r="AX126" s="44">
        <v>6739</v>
      </c>
      <c r="AY126" s="44">
        <v>6753</v>
      </c>
      <c r="AZ126" s="44">
        <v>6752</v>
      </c>
      <c r="BA126" s="44">
        <v>6762</v>
      </c>
      <c r="BB126" s="44">
        <v>7847</v>
      </c>
      <c r="BC126" s="44">
        <v>8066</v>
      </c>
      <c r="BD126" s="44">
        <v>8072</v>
      </c>
      <c r="BE126" s="104">
        <f>+BD126</f>
        <v>8072</v>
      </c>
      <c r="BF126" s="44">
        <v>8048</v>
      </c>
      <c r="BG126" s="44">
        <v>8035</v>
      </c>
      <c r="BH126" s="44">
        <v>7935</v>
      </c>
      <c r="BI126" s="44">
        <v>7810</v>
      </c>
      <c r="BJ126" s="65">
        <v>7687</v>
      </c>
      <c r="BK126" s="65">
        <v>7598</v>
      </c>
      <c r="BL126" s="65">
        <v>7537</v>
      </c>
      <c r="BM126" s="65">
        <v>7508</v>
      </c>
      <c r="BN126" s="65">
        <v>7395</v>
      </c>
      <c r="BO126" s="65">
        <v>7269</v>
      </c>
      <c r="BP126" s="65">
        <v>7117</v>
      </c>
      <c r="BQ126" s="65">
        <v>6656</v>
      </c>
      <c r="BR126" s="65">
        <v>6553</v>
      </c>
      <c r="BS126" s="65">
        <v>6476</v>
      </c>
      <c r="BT126" s="65">
        <v>6444</v>
      </c>
      <c r="BU126" s="65">
        <v>6553</v>
      </c>
      <c r="BV126" s="65">
        <v>6553</v>
      </c>
      <c r="BW126" s="65"/>
      <c r="BX126" s="65"/>
      <c r="BY126" s="65"/>
      <c r="BZ126" s="65"/>
      <c r="CA126" s="65"/>
      <c r="CB126" s="65"/>
      <c r="CC126" s="65"/>
      <c r="CD126" s="65"/>
      <c r="CE126" s="65"/>
      <c r="CF126" s="65"/>
      <c r="CG126" s="65"/>
      <c r="CH126" s="65"/>
      <c r="CI126" s="65"/>
      <c r="CJ126" s="65"/>
      <c r="CK126" s="65">
        <v>5986</v>
      </c>
      <c r="CL126" s="115">
        <v>5912</v>
      </c>
      <c r="CM126" s="115">
        <v>5750</v>
      </c>
      <c r="CN126" s="115">
        <v>5672</v>
      </c>
      <c r="CO126" s="115">
        <v>5649</v>
      </c>
      <c r="CP126" s="115">
        <v>5631</v>
      </c>
      <c r="CQ126" s="115">
        <v>5613</v>
      </c>
      <c r="CR126" s="115">
        <v>5619</v>
      </c>
      <c r="CS126" s="115">
        <v>5633</v>
      </c>
      <c r="CT126" s="115">
        <v>5662</v>
      </c>
      <c r="CU126" s="115">
        <v>5662</v>
      </c>
      <c r="CV126" s="115">
        <v>5678</v>
      </c>
      <c r="CW126" s="115">
        <v>5725</v>
      </c>
      <c r="CX126" s="115">
        <v>5768</v>
      </c>
      <c r="CY126" s="115">
        <v>5758</v>
      </c>
      <c r="CZ126" s="115">
        <v>5712</v>
      </c>
      <c r="DA126" s="115">
        <v>5718</v>
      </c>
      <c r="DB126" s="115">
        <v>5743</v>
      </c>
      <c r="DC126" s="115">
        <f t="shared" ref="DC126:DF126" si="257">+DB126</f>
        <v>5743</v>
      </c>
      <c r="DD126" s="115">
        <f t="shared" si="257"/>
        <v>5743</v>
      </c>
      <c r="DE126" s="115">
        <f t="shared" si="257"/>
        <v>5743</v>
      </c>
      <c r="DF126" s="115">
        <f t="shared" si="257"/>
        <v>5743</v>
      </c>
      <c r="DG126" s="115"/>
      <c r="DH126" s="115"/>
      <c r="DI126" s="115"/>
      <c r="DJ126" s="115"/>
      <c r="DK126" s="115"/>
      <c r="DL126" s="115"/>
      <c r="DM126" s="115"/>
      <c r="DN126" s="115"/>
      <c r="DO126" s="115"/>
      <c r="DP126" s="65"/>
      <c r="DQ126" s="65"/>
      <c r="DU126" s="44"/>
      <c r="DV126" s="44">
        <v>3729</v>
      </c>
      <c r="DW126" s="44">
        <v>3777</v>
      </c>
      <c r="DX126" s="44">
        <v>3864</v>
      </c>
      <c r="DY126" s="44">
        <v>3909</v>
      </c>
      <c r="DZ126" s="44">
        <v>3945</v>
      </c>
      <c r="EA126" s="44">
        <v>6317</v>
      </c>
      <c r="EB126" s="44">
        <v>6368</v>
      </c>
      <c r="EC126" s="44">
        <v>6361</v>
      </c>
      <c r="ED126" s="44">
        <v>6241</v>
      </c>
      <c r="EE126" s="44">
        <v>7285.6</v>
      </c>
      <c r="EF126" s="44">
        <v>7605</v>
      </c>
      <c r="EG126" s="44">
        <v>7399</v>
      </c>
      <c r="EH126" s="44">
        <v>7274</v>
      </c>
      <c r="EI126" s="44">
        <f>AVERAGE(AQ126:AT126)</f>
        <v>6937.75</v>
      </c>
      <c r="EJ126" s="44">
        <f>AVERAGE(AU126:AX126)</f>
        <v>6746.25</v>
      </c>
      <c r="EK126" s="44">
        <f>AVERAGE(AY126:BB126)</f>
        <v>7028.5</v>
      </c>
      <c r="EL126" s="44">
        <f>AVERAGE(BC126:BF126)</f>
        <v>8064.5</v>
      </c>
      <c r="EM126" s="44">
        <f>AVERAGE(BG126:BJ126)</f>
        <v>7866.75</v>
      </c>
      <c r="EN126" s="44">
        <f>AVERAGE(BK126:BN126)</f>
        <v>7509.5</v>
      </c>
      <c r="EV126" s="44">
        <f>AVERAGE(CQ126:CT126)</f>
        <v>5631.75</v>
      </c>
      <c r="EW126" s="44">
        <f>AVERAGE(CU126:CX126)</f>
        <v>5708.25</v>
      </c>
      <c r="EX126" s="44">
        <f>AVERAGE(CY126:DB126)</f>
        <v>5732.75</v>
      </c>
      <c r="EY126" s="44">
        <f>AVERAGE(DC126:DF126)</f>
        <v>5743</v>
      </c>
      <c r="EZ126" s="44">
        <f>+EY126</f>
        <v>5743</v>
      </c>
      <c r="FA126" s="44">
        <f t="shared" ref="FA126:FF126" si="258">+EZ126</f>
        <v>5743</v>
      </c>
      <c r="FB126" s="44">
        <f t="shared" si="258"/>
        <v>5743</v>
      </c>
      <c r="FC126" s="44">
        <f t="shared" si="258"/>
        <v>5743</v>
      </c>
      <c r="FD126" s="44">
        <f t="shared" si="258"/>
        <v>5743</v>
      </c>
      <c r="FE126" s="44">
        <f t="shared" si="258"/>
        <v>5743</v>
      </c>
      <c r="FF126" s="44">
        <f t="shared" si="258"/>
        <v>5743</v>
      </c>
    </row>
    <row r="127" spans="2:213">
      <c r="W127" s="68"/>
      <c r="X127" s="68"/>
      <c r="Y127" s="68"/>
      <c r="Z127" s="68"/>
      <c r="AA127" s="68"/>
      <c r="AB127" s="68"/>
      <c r="AC127" s="68"/>
      <c r="AD127" s="68"/>
      <c r="AE127" s="68"/>
      <c r="AF127" s="68"/>
      <c r="AG127" s="68"/>
      <c r="AH127" s="68"/>
      <c r="AI127" s="68"/>
      <c r="AM127" s="44"/>
      <c r="AN127" s="44"/>
      <c r="AO127" s="44"/>
      <c r="AP127" s="68"/>
      <c r="AQ127" s="44"/>
      <c r="AR127" s="44"/>
      <c r="AS127" s="44"/>
      <c r="AT127" s="44"/>
      <c r="AU127" s="44"/>
      <c r="AV127" s="44"/>
      <c r="AW127" s="44"/>
      <c r="AX127" s="44"/>
      <c r="AY127" s="44"/>
      <c r="AZ127" s="44"/>
      <c r="BA127" s="44"/>
      <c r="BB127" s="44"/>
      <c r="BC127" s="44"/>
      <c r="BD127" s="44"/>
      <c r="BE127" s="44"/>
      <c r="BF127" s="44"/>
      <c r="BG127" s="44"/>
      <c r="BH127" s="44"/>
      <c r="BI127" s="44"/>
      <c r="BJ127" s="65"/>
      <c r="BK127" s="65"/>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115"/>
      <c r="CO127" s="115"/>
      <c r="CP127" s="115"/>
      <c r="CQ127" s="115"/>
      <c r="CR127" s="115"/>
      <c r="CS127" s="115"/>
      <c r="CT127" s="115"/>
      <c r="CU127" s="115"/>
      <c r="CV127" s="115"/>
      <c r="CW127" s="115"/>
      <c r="CX127" s="115"/>
      <c r="CY127" s="115"/>
      <c r="CZ127" s="115"/>
      <c r="DA127" s="115"/>
      <c r="DB127" s="115"/>
      <c r="DC127" s="115"/>
      <c r="DD127" s="115"/>
      <c r="DE127" s="115"/>
      <c r="DF127" s="115"/>
      <c r="DG127" s="115"/>
      <c r="DH127" s="115"/>
      <c r="DI127" s="115"/>
      <c r="DJ127" s="115"/>
      <c r="DK127" s="115"/>
      <c r="DL127" s="115"/>
      <c r="DM127" s="115"/>
      <c r="DN127" s="115"/>
      <c r="DO127" s="115"/>
      <c r="DP127" s="44"/>
      <c r="DQ127" s="44"/>
      <c r="DU127" s="44"/>
      <c r="DV127" s="44"/>
      <c r="DW127" s="44"/>
      <c r="DX127" s="44"/>
      <c r="DY127" s="44"/>
      <c r="DZ127" s="44"/>
      <c r="EA127" s="44"/>
      <c r="EB127" s="44"/>
      <c r="EC127" s="44"/>
      <c r="ED127" s="44"/>
      <c r="EE127" s="44"/>
      <c r="EF127" s="44"/>
      <c r="EG127" s="44"/>
      <c r="EH127" s="44"/>
      <c r="EI127" s="44"/>
      <c r="EJ127" s="44"/>
    </row>
    <row r="128" spans="2:213">
      <c r="B128" s="4" t="s">
        <v>795</v>
      </c>
      <c r="W128" s="58">
        <f>W115/W113</f>
        <v>0.87200435729847492</v>
      </c>
      <c r="X128" s="58">
        <f>X115/X113</f>
        <v>0.82956001708671512</v>
      </c>
      <c r="Y128" s="58">
        <f>Y115/Y113</f>
        <v>0.82992492881180435</v>
      </c>
      <c r="Z128" s="58">
        <f>Z115/Z113</f>
        <v>0.86651558073654389</v>
      </c>
      <c r="AE128" s="49"/>
      <c r="AF128" s="49"/>
      <c r="AG128" s="49"/>
      <c r="AH128" s="49"/>
      <c r="AK128" s="49">
        <f t="shared" ref="AK128:BO128" si="259">AK115/AK113</f>
        <v>0.84835599780640747</v>
      </c>
      <c r="AL128" s="49">
        <f t="shared" si="259"/>
        <v>0.8323423474929964</v>
      </c>
      <c r="AM128" s="49">
        <f t="shared" si="259"/>
        <v>0.87236090317455472</v>
      </c>
      <c r="AN128" s="49">
        <f t="shared" si="259"/>
        <v>0.86247063429913862</v>
      </c>
      <c r="AO128" s="49">
        <f t="shared" si="259"/>
        <v>0.84659650659118979</v>
      </c>
      <c r="AP128" s="49">
        <f t="shared" si="259"/>
        <v>0.83082405549154126</v>
      </c>
      <c r="AQ128" s="49">
        <f t="shared" si="259"/>
        <v>0.85626102292768957</v>
      </c>
      <c r="AR128" s="49">
        <f t="shared" si="259"/>
        <v>0.82912306026705163</v>
      </c>
      <c r="AS128" s="49">
        <f t="shared" si="259"/>
        <v>0.84853556485355652</v>
      </c>
      <c r="AT128" s="49">
        <f t="shared" si="259"/>
        <v>0.82555812163202469</v>
      </c>
      <c r="AU128" s="49">
        <f t="shared" si="259"/>
        <v>0.85602076756448653</v>
      </c>
      <c r="AV128" s="49">
        <f t="shared" si="259"/>
        <v>0.84050954224515251</v>
      </c>
      <c r="AW128" s="49">
        <f t="shared" si="259"/>
        <v>0.85525125421498482</v>
      </c>
      <c r="AX128" s="49">
        <f t="shared" si="259"/>
        <v>0.8827065226220453</v>
      </c>
      <c r="AY128" s="49">
        <f t="shared" si="259"/>
        <v>0.88672072002172475</v>
      </c>
      <c r="AZ128" s="49">
        <f t="shared" si="259"/>
        <v>0.85650593657749641</v>
      </c>
      <c r="BA128" s="49">
        <f t="shared" si="259"/>
        <v>0.84598810652417478</v>
      </c>
      <c r="BB128" s="49">
        <f t="shared" si="259"/>
        <v>0.82530266343825665</v>
      </c>
      <c r="BC128" s="49">
        <f t="shared" si="259"/>
        <v>0.82849295856950855</v>
      </c>
      <c r="BD128" s="49">
        <f t="shared" si="259"/>
        <v>0.83239620605441023</v>
      </c>
      <c r="BE128" s="49">
        <f t="shared" si="259"/>
        <v>0.82312152549465001</v>
      </c>
      <c r="BF128" s="49">
        <f t="shared" si="259"/>
        <v>0.7936030617823947</v>
      </c>
      <c r="BG128" s="49">
        <f t="shared" si="259"/>
        <v>0.81334138243284038</v>
      </c>
      <c r="BH128" s="49">
        <f t="shared" si="259"/>
        <v>0.81651737930257451</v>
      </c>
      <c r="BI128" s="49">
        <f t="shared" si="259"/>
        <v>0.8071569423500754</v>
      </c>
      <c r="BJ128" s="106">
        <f t="shared" si="259"/>
        <v>0.79923563836139977</v>
      </c>
      <c r="BK128" s="49">
        <f t="shared" si="259"/>
        <v>0.81301445330222311</v>
      </c>
      <c r="BL128" s="49">
        <f t="shared" si="259"/>
        <v>0.82300591087201969</v>
      </c>
      <c r="BM128" s="49">
        <f t="shared" si="259"/>
        <v>0.81647109330280476</v>
      </c>
      <c r="BN128" s="49">
        <f t="shared" si="259"/>
        <v>0.79626106920301742</v>
      </c>
      <c r="BO128" s="49">
        <f t="shared" si="259"/>
        <v>0.80629629629629629</v>
      </c>
      <c r="BP128" s="49">
        <f t="shared" ref="BP128:BV128" si="260">+BP115/BP113</f>
        <v>0.8308795190010021</v>
      </c>
      <c r="BQ128" s="49">
        <f t="shared" si="260"/>
        <v>0.82681297709923662</v>
      </c>
      <c r="BR128" s="49">
        <f t="shared" si="260"/>
        <v>0.80197139257392724</v>
      </c>
      <c r="BS128" s="49">
        <f t="shared" si="260"/>
        <v>0.82418555240793201</v>
      </c>
      <c r="BT128" s="49">
        <f t="shared" si="260"/>
        <v>0.81735159817351599</v>
      </c>
      <c r="BU128" s="49">
        <f t="shared" si="260"/>
        <v>0.8</v>
      </c>
      <c r="BV128" s="49">
        <f t="shared" si="260"/>
        <v>0.8</v>
      </c>
      <c r="BW128" s="49"/>
      <c r="BX128" s="49"/>
      <c r="BY128" s="49"/>
      <c r="BZ128" s="49"/>
      <c r="CA128" s="49"/>
      <c r="CB128" s="49"/>
      <c r="CC128" s="49"/>
      <c r="CD128" s="49"/>
      <c r="CE128" s="49"/>
      <c r="CF128" s="49"/>
      <c r="CG128" s="49"/>
      <c r="CH128" s="49"/>
      <c r="CI128" s="49"/>
      <c r="CJ128" s="49"/>
      <c r="CK128" s="138">
        <f t="shared" ref="CK128:CL128" si="261">CK115/CK113</f>
        <v>0.79897721290516655</v>
      </c>
      <c r="CL128" s="138">
        <f t="shared" si="261"/>
        <v>0.78275763631173279</v>
      </c>
      <c r="CM128" s="138">
        <f t="shared" ref="CM128:CO128" si="262">CM115/CM113</f>
        <v>0.81538108707285373</v>
      </c>
      <c r="CN128" s="138">
        <f t="shared" si="262"/>
        <v>0.80282342050451283</v>
      </c>
      <c r="CO128" s="138">
        <f t="shared" si="262"/>
        <v>0.80610313830626079</v>
      </c>
      <c r="CP128" s="138">
        <f t="shared" ref="CP128" si="263">CP115/CP113</f>
        <v>0.79582220826134753</v>
      </c>
      <c r="CQ128" s="138">
        <f t="shared" ref="CQ128:CR128" si="264">CQ115/CQ113</f>
        <v>0.80470373140530205</v>
      </c>
      <c r="CR128" s="138">
        <f t="shared" si="264"/>
        <v>0.81049241461140775</v>
      </c>
      <c r="CS128" s="138">
        <f t="shared" ref="CS128:CT128" si="265">CS115/CS113</f>
        <v>0.80470954558723362</v>
      </c>
      <c r="CT128" s="138">
        <f t="shared" si="265"/>
        <v>0.75561097256857856</v>
      </c>
      <c r="CU128" s="138">
        <f>CU115/CU113</f>
        <v>0.71568519386039842</v>
      </c>
      <c r="CV128" s="138">
        <f t="shared" ref="CV128:CY128" si="266">CV115/CV113</f>
        <v>0.63230858775596588</v>
      </c>
      <c r="CW128" s="138">
        <f t="shared" si="266"/>
        <v>0.58909966377485368</v>
      </c>
      <c r="CX128" s="138">
        <f t="shared" si="266"/>
        <v>0.59263299211277065</v>
      </c>
      <c r="CY128" s="138">
        <f t="shared" si="266"/>
        <v>0.61194634743233023</v>
      </c>
      <c r="CZ128" s="138">
        <f t="shared" ref="CZ128:DA128" si="267">CZ115/CZ113</f>
        <v>0.68910852545525336</v>
      </c>
      <c r="DA128" s="138">
        <f t="shared" si="267"/>
        <v>0.73431078333876043</v>
      </c>
      <c r="DB128" s="138">
        <f t="shared" ref="DB128:DF128" si="268">DB115/DB113</f>
        <v>0.61129799803085005</v>
      </c>
      <c r="DC128" s="138">
        <f t="shared" si="268"/>
        <v>0.74</v>
      </c>
      <c r="DD128" s="138">
        <f t="shared" si="268"/>
        <v>0.74</v>
      </c>
      <c r="DE128" s="138">
        <f t="shared" si="268"/>
        <v>0.74</v>
      </c>
      <c r="DF128" s="138">
        <f t="shared" si="268"/>
        <v>0.74</v>
      </c>
      <c r="DG128" s="138"/>
      <c r="DH128" s="138"/>
      <c r="DI128" s="138"/>
      <c r="DJ128" s="138"/>
      <c r="DK128" s="138"/>
      <c r="DL128" s="138"/>
      <c r="DM128" s="138"/>
      <c r="DN128" s="138"/>
      <c r="DO128" s="138"/>
      <c r="DP128" s="49"/>
      <c r="DQ128" s="49"/>
      <c r="DU128" s="49"/>
      <c r="DV128" s="49">
        <f t="shared" ref="DV128:EJ128" si="269">DV115/DV113</f>
        <v>0.78412937194433996</v>
      </c>
      <c r="DW128" s="49">
        <f t="shared" si="269"/>
        <v>0.78405348767588068</v>
      </c>
      <c r="DX128" s="49">
        <f t="shared" si="269"/>
        <v>0.80753582168759952</v>
      </c>
      <c r="DY128" s="49">
        <f t="shared" si="269"/>
        <v>0.81813819577735125</v>
      </c>
      <c r="DZ128" s="49">
        <f t="shared" si="269"/>
        <v>0.84539279385705846</v>
      </c>
      <c r="EA128" s="49">
        <f t="shared" si="269"/>
        <v>0.80040980056776045</v>
      </c>
      <c r="EB128" s="49">
        <f t="shared" si="269"/>
        <v>0.83407722999932377</v>
      </c>
      <c r="EC128" s="49">
        <f t="shared" si="269"/>
        <v>0.85624036400556536</v>
      </c>
      <c r="ED128" s="49">
        <f t="shared" si="269"/>
        <v>0.81962793205715823</v>
      </c>
      <c r="EE128" s="49">
        <f t="shared" si="269"/>
        <v>0.77368351415718439</v>
      </c>
      <c r="EF128" s="49">
        <f t="shared" si="269"/>
        <v>0.81875159524687335</v>
      </c>
      <c r="EG128" s="49">
        <f t="shared" si="269"/>
        <v>0.78957781721900555</v>
      </c>
      <c r="EH128" s="49">
        <f t="shared" si="269"/>
        <v>0.79036329711337938</v>
      </c>
      <c r="EI128" s="49">
        <f t="shared" si="269"/>
        <v>0.8</v>
      </c>
      <c r="EJ128" s="49">
        <f t="shared" si="269"/>
        <v>1.5668896004006725</v>
      </c>
      <c r="EK128" s="49">
        <v>0.84499999999999997</v>
      </c>
      <c r="EL128" s="49">
        <f>EL115/EL113</f>
        <v>1.3074898136702835</v>
      </c>
      <c r="EM128" s="49">
        <f>EM115/EM113</f>
        <v>1.3279192695819317</v>
      </c>
      <c r="EN128" s="49">
        <f>EN115/EN113</f>
        <v>1.409632459399585</v>
      </c>
      <c r="EO128" s="49">
        <f>EO115/EO113</f>
        <v>0.83679044627002552</v>
      </c>
      <c r="EP128" s="49"/>
      <c r="EQ128" s="49"/>
      <c r="ER128" s="49"/>
      <c r="ES128" s="49"/>
      <c r="ET128" s="49"/>
      <c r="EU128" s="49"/>
      <c r="EV128" s="49">
        <f t="shared" ref="EV128" si="270">+EV115/EV113</f>
        <v>0.79371638462547556</v>
      </c>
      <c r="EW128" s="49">
        <f>+EW115/EW113</f>
        <v>0.62276375188095634</v>
      </c>
      <c r="EX128" s="49">
        <f>+EX115/EX113</f>
        <v>0.65918995641917555</v>
      </c>
      <c r="EY128" s="49">
        <f>+EY115/EY113</f>
        <v>0.73280804310314462</v>
      </c>
      <c r="EZ128" s="49">
        <f t="shared" ref="EZ128:FF128" si="271">+EZ115/EZ113</f>
        <v>0.72999999999999987</v>
      </c>
      <c r="FA128" s="49">
        <f t="shared" si="271"/>
        <v>0.7400000000000001</v>
      </c>
      <c r="FB128" s="49">
        <f t="shared" si="271"/>
        <v>0.75</v>
      </c>
      <c r="FC128" s="49">
        <f t="shared" si="271"/>
        <v>0.76</v>
      </c>
      <c r="FD128" s="49">
        <f t="shared" si="271"/>
        <v>0.77</v>
      </c>
      <c r="FE128" s="49">
        <f t="shared" si="271"/>
        <v>0.77999999999999992</v>
      </c>
      <c r="FF128" s="49">
        <f t="shared" si="271"/>
        <v>0.79</v>
      </c>
      <c r="FG128" s="49"/>
      <c r="FH128" s="49"/>
      <c r="FI128" s="49"/>
      <c r="FJ128" s="49"/>
      <c r="FK128" s="49"/>
      <c r="FL128" s="49"/>
      <c r="FM128" s="49"/>
      <c r="FN128" s="49"/>
      <c r="FO128" s="49"/>
      <c r="FP128" s="49"/>
      <c r="FQ128" s="91"/>
      <c r="FR128" s="49">
        <f>+FR150/22.73-1</f>
        <v>-1.3957196265491789</v>
      </c>
      <c r="FS128" s="92"/>
      <c r="FT128" s="49"/>
      <c r="FU128" s="22" t="s">
        <v>806</v>
      </c>
    </row>
    <row r="129" spans="2:179">
      <c r="B129" s="4" t="s">
        <v>807</v>
      </c>
      <c r="AE129" s="49">
        <f>AE116/AE113</f>
        <v>0.40662090070716678</v>
      </c>
      <c r="AF129" s="49">
        <f>AF116/AF113</f>
        <v>0.45374623032576378</v>
      </c>
      <c r="AG129" s="49">
        <f>AG116/AG113</f>
        <v>0.4068220304814128</v>
      </c>
      <c r="AH129" s="49">
        <f>AH116/AH113</f>
        <v>0.34615754758185707</v>
      </c>
      <c r="AK129" s="49">
        <f t="shared" ref="AK129:BV129" si="272">AK116/AK113</f>
        <v>0.31242797307285747</v>
      </c>
      <c r="AL129" s="49">
        <f t="shared" si="272"/>
        <v>0.33981762049053799</v>
      </c>
      <c r="AM129" s="49">
        <f t="shared" si="272"/>
        <v>0.25932659109658102</v>
      </c>
      <c r="AN129" s="49">
        <f t="shared" si="272"/>
        <v>0.3137235708692247</v>
      </c>
      <c r="AO129" s="49">
        <f t="shared" si="272"/>
        <v>0.2932805829645499</v>
      </c>
      <c r="AP129" s="49">
        <f t="shared" si="272"/>
        <v>0.34811937701740597</v>
      </c>
      <c r="AQ129" s="49">
        <f t="shared" si="272"/>
        <v>0.26551226551226553</v>
      </c>
      <c r="AR129" s="49">
        <f t="shared" si="272"/>
        <v>0.3396788163118008</v>
      </c>
      <c r="AS129" s="49">
        <f t="shared" si="272"/>
        <v>0.30443514644351466</v>
      </c>
      <c r="AT129" s="49">
        <f t="shared" si="272"/>
        <v>0.34888375673595073</v>
      </c>
      <c r="AU129" s="49">
        <f t="shared" si="272"/>
        <v>0.27268066854036976</v>
      </c>
      <c r="AV129" s="49">
        <f t="shared" si="272"/>
        <v>0.28952688205398641</v>
      </c>
      <c r="AW129" s="49">
        <f t="shared" si="272"/>
        <v>0.28201332346410068</v>
      </c>
      <c r="AX129" s="49">
        <f t="shared" si="272"/>
        <v>0.28511087645195354</v>
      </c>
      <c r="AY129" s="49">
        <f t="shared" si="272"/>
        <v>0.24397287849202348</v>
      </c>
      <c r="AZ129" s="49">
        <f t="shared" si="272"/>
        <v>0.27779633630548745</v>
      </c>
      <c r="BA129" s="49">
        <f t="shared" si="272"/>
        <v>0.27794535895888994</v>
      </c>
      <c r="BB129" s="49">
        <f t="shared" si="272"/>
        <v>0.32354721549636806</v>
      </c>
      <c r="BC129" s="49">
        <f t="shared" si="272"/>
        <v>0.25565359668088589</v>
      </c>
      <c r="BD129" s="49">
        <f t="shared" si="272"/>
        <v>0.26847276651331858</v>
      </c>
      <c r="BE129" s="49">
        <f t="shared" si="272"/>
        <v>0.27586825273477195</v>
      </c>
      <c r="BF129" s="49">
        <f t="shared" si="272"/>
        <v>0.31399671951886277</v>
      </c>
      <c r="BG129" s="49">
        <f t="shared" si="272"/>
        <v>0.27171747660730455</v>
      </c>
      <c r="BH129" s="49">
        <f t="shared" si="272"/>
        <v>0.27885752915328715</v>
      </c>
      <c r="BI129" s="49">
        <f t="shared" si="272"/>
        <v>0.26447047906275373</v>
      </c>
      <c r="BJ129" s="106">
        <f t="shared" si="272"/>
        <v>0.31930013137465663</v>
      </c>
      <c r="BK129" s="49">
        <f t="shared" si="272"/>
        <v>0.26644630241752543</v>
      </c>
      <c r="BL129" s="49">
        <f t="shared" si="272"/>
        <v>0.26147306900444978</v>
      </c>
      <c r="BM129" s="49">
        <f t="shared" si="272"/>
        <v>0.26681453921007442</v>
      </c>
      <c r="BN129" s="49">
        <f t="shared" si="272"/>
        <v>0.30554280091833386</v>
      </c>
      <c r="BO129" s="49">
        <f t="shared" si="272"/>
        <v>0.25881481481481483</v>
      </c>
      <c r="BP129" s="49">
        <f t="shared" si="272"/>
        <v>0.27364526323903493</v>
      </c>
      <c r="BQ129" s="49">
        <f t="shared" si="272"/>
        <v>0.26645992366412213</v>
      </c>
      <c r="BR129" s="49">
        <f t="shared" si="272"/>
        <v>0.30334247387534274</v>
      </c>
      <c r="BS129" s="49">
        <f t="shared" si="272"/>
        <v>0.2673512747875354</v>
      </c>
      <c r="BT129" s="49">
        <f t="shared" si="272"/>
        <v>0.27444496929617385</v>
      </c>
      <c r="BU129" s="49">
        <f t="shared" si="272"/>
        <v>0.27016464729529838</v>
      </c>
      <c r="BV129" s="49">
        <f t="shared" si="272"/>
        <v>0.30517423110942982</v>
      </c>
      <c r="BW129" s="49"/>
      <c r="BX129" s="49"/>
      <c r="BY129" s="49"/>
      <c r="BZ129" s="49"/>
      <c r="CA129" s="49"/>
      <c r="CB129" s="49"/>
      <c r="CC129" s="49"/>
      <c r="CD129" s="49"/>
      <c r="CE129" s="49"/>
      <c r="CF129" s="49"/>
      <c r="CG129" s="49"/>
      <c r="CH129" s="49"/>
      <c r="CI129" s="49"/>
      <c r="CJ129" s="49"/>
      <c r="CK129" s="138">
        <f t="shared" ref="CK129:CL129" si="273">CK116/CK113</f>
        <v>0.26103632398285326</v>
      </c>
      <c r="CL129" s="138">
        <f t="shared" si="273"/>
        <v>0.2831858407079646</v>
      </c>
      <c r="CM129" s="138">
        <f t="shared" ref="CM129:CO129" si="274">CM116/CM113</f>
        <v>0.25311520525953674</v>
      </c>
      <c r="CN129" s="138">
        <f t="shared" si="274"/>
        <v>0.26722209365116101</v>
      </c>
      <c r="CO129" s="138">
        <f t="shared" si="274"/>
        <v>0.25201072386058981</v>
      </c>
      <c r="CP129" s="138">
        <f t="shared" ref="CP129" si="275">CP116/CP113</f>
        <v>0.31961677399089056</v>
      </c>
      <c r="CQ129" s="138">
        <f t="shared" ref="CQ129:CR129" si="276">CQ116/CQ113</f>
        <v>0.22812266267763651</v>
      </c>
      <c r="CR129" s="138">
        <f t="shared" si="276"/>
        <v>0.23798627002288331</v>
      </c>
      <c r="CS129" s="138">
        <f t="shared" ref="CS129:CT129" si="277">CS116/CS113</f>
        <v>0.25863578865427655</v>
      </c>
      <c r="CT129" s="138">
        <f t="shared" si="277"/>
        <v>0.30785106200017198</v>
      </c>
      <c r="CU129" s="138">
        <f>CU116/CU113</f>
        <v>0.182079969136653</v>
      </c>
      <c r="CV129" s="138">
        <f t="shared" ref="CV129:CY129" si="278">CV116/CV113</f>
        <v>0.14699190433356263</v>
      </c>
      <c r="CW129" s="138">
        <f t="shared" si="278"/>
        <v>0.11286372504254701</v>
      </c>
      <c r="CX129" s="138">
        <f t="shared" si="278"/>
        <v>0.16533814398388991</v>
      </c>
      <c r="CY129" s="138">
        <f t="shared" si="278"/>
        <v>9.7266711870747508E-2</v>
      </c>
      <c r="CZ129" s="138">
        <f t="shared" ref="CZ129:DA129" si="279">CZ116/CZ113</f>
        <v>0.10453162622374089</v>
      </c>
      <c r="DA129" s="138">
        <f t="shared" si="279"/>
        <v>0.14252523563526914</v>
      </c>
      <c r="DB129" s="138">
        <f t="shared" ref="DB129:DF129" si="280">DB116/DB113</f>
        <v>0.18107975057433542</v>
      </c>
      <c r="DC129" s="138">
        <f t="shared" si="280"/>
        <v>0.14439669421487605</v>
      </c>
      <c r="DD129" s="138">
        <f t="shared" si="280"/>
        <v>0.23914238592633316</v>
      </c>
      <c r="DE129" s="138">
        <f t="shared" si="280"/>
        <v>0.25700521423713446</v>
      </c>
      <c r="DF129" s="138">
        <f t="shared" si="280"/>
        <v>0.32526493087234193</v>
      </c>
      <c r="DG129" s="138"/>
      <c r="DH129" s="138"/>
      <c r="DI129" s="138"/>
      <c r="DJ129" s="138"/>
      <c r="DK129" s="138"/>
      <c r="DL129" s="138"/>
      <c r="DM129" s="138"/>
      <c r="DN129" s="138"/>
      <c r="DO129" s="138"/>
      <c r="DP129" s="49"/>
      <c r="DQ129" s="49"/>
      <c r="DU129" s="49"/>
      <c r="DV129" s="49">
        <f t="shared" ref="DV129:ES129" si="281">DV116/DV113</f>
        <v>0.39914754920396139</v>
      </c>
      <c r="DW129" s="49">
        <f t="shared" si="281"/>
        <v>0.38469214649236605</v>
      </c>
      <c r="DX129" s="49">
        <f t="shared" si="281"/>
        <v>0.38616663718379624</v>
      </c>
      <c r="DY129" s="49">
        <f t="shared" si="281"/>
        <v>0.39635316698656431</v>
      </c>
      <c r="DZ129" s="49">
        <f t="shared" si="281"/>
        <v>0.41110454813939751</v>
      </c>
      <c r="EA129" s="49">
        <f t="shared" si="281"/>
        <v>0.39487006878889269</v>
      </c>
      <c r="EB129" s="49">
        <f t="shared" si="281"/>
        <v>0.38689389328464191</v>
      </c>
      <c r="EC129" s="49">
        <f t="shared" si="281"/>
        <v>0.3653969089610048</v>
      </c>
      <c r="ED129" s="49">
        <f t="shared" si="281"/>
        <v>0.4866091489170486</v>
      </c>
      <c r="EE129" s="49">
        <f t="shared" si="281"/>
        <v>0.49970230219634826</v>
      </c>
      <c r="EF129" s="49">
        <f t="shared" si="281"/>
        <v>0.43402058931964493</v>
      </c>
      <c r="EG129" s="49">
        <f t="shared" si="281"/>
        <v>0.44554685908813174</v>
      </c>
      <c r="EH129" s="49">
        <f t="shared" si="281"/>
        <v>0.42775216770936231</v>
      </c>
      <c r="EI129" s="49">
        <f t="shared" si="281"/>
        <v>0.45555017087239635</v>
      </c>
      <c r="EJ129" s="49">
        <f t="shared" si="281"/>
        <v>0.50241476764569093</v>
      </c>
      <c r="EK129" s="49">
        <f t="shared" si="281"/>
        <v>0.39870578319149513</v>
      </c>
      <c r="EL129" s="49">
        <f t="shared" si="281"/>
        <v>0.44545163210181754</v>
      </c>
      <c r="EM129" s="49">
        <f t="shared" si="281"/>
        <v>0.46511292647765495</v>
      </c>
      <c r="EN129" s="49">
        <f t="shared" si="281"/>
        <v>0.47781440973130757</v>
      </c>
      <c r="EO129" s="49">
        <f t="shared" si="281"/>
        <v>0.28270923175990792</v>
      </c>
      <c r="EP129" s="49">
        <f t="shared" si="281"/>
        <v>0</v>
      </c>
      <c r="EQ129" s="49">
        <f t="shared" si="281"/>
        <v>0</v>
      </c>
      <c r="ER129" s="49">
        <f t="shared" si="281"/>
        <v>0</v>
      </c>
      <c r="ES129" s="49">
        <f t="shared" si="281"/>
        <v>0</v>
      </c>
      <c r="ET129" s="49"/>
      <c r="EU129" s="49"/>
      <c r="EV129" s="49">
        <f t="shared" ref="EV129:EW129" si="282">+EV116/EV113</f>
        <v>0.25779439415803052</v>
      </c>
      <c r="EW129" s="49">
        <f t="shared" si="282"/>
        <v>0.14852178958859918</v>
      </c>
      <c r="EX129" s="49">
        <f t="shared" ref="EX129:EY129" si="283">+EX116/EX113</f>
        <v>0.13043260965175324</v>
      </c>
      <c r="EY129" s="49">
        <f t="shared" si="283"/>
        <v>0.2412481952318907</v>
      </c>
      <c r="EZ129" s="49">
        <f t="shared" ref="EZ129:FF129" si="284">+EZ116/EZ113</f>
        <v>0.25904976401236335</v>
      </c>
      <c r="FA129" s="49">
        <f t="shared" si="284"/>
        <v>0.25028900562298634</v>
      </c>
      <c r="FB129" s="49">
        <f t="shared" si="284"/>
        <v>0.25173978719536222</v>
      </c>
      <c r="FC129" s="49">
        <f t="shared" si="284"/>
        <v>0.25065657513500705</v>
      </c>
      <c r="FD129" s="49">
        <f t="shared" si="284"/>
        <v>0.24398675201569489</v>
      </c>
      <c r="FE129" s="49">
        <f t="shared" si="284"/>
        <v>0.29594669239290883</v>
      </c>
      <c r="FF129" s="49">
        <f t="shared" si="284"/>
        <v>0.29421202211128139</v>
      </c>
      <c r="FG129" s="49"/>
      <c r="FH129" s="49"/>
      <c r="FI129" s="49"/>
      <c r="FJ129" s="49"/>
      <c r="FK129" s="49"/>
      <c r="FL129" s="49"/>
      <c r="FM129" s="49"/>
      <c r="FN129" s="49"/>
      <c r="FO129" s="49"/>
      <c r="FP129" s="49"/>
      <c r="FQ129" s="91"/>
      <c r="FR129" s="49"/>
      <c r="FS129" s="92"/>
      <c r="FT129" s="49"/>
      <c r="FU129" s="14" t="s">
        <v>808</v>
      </c>
    </row>
    <row r="130" spans="2:179">
      <c r="B130" s="4" t="s">
        <v>809</v>
      </c>
      <c r="AE130" s="49">
        <f>AF117/AF113</f>
        <v>0.19245319210153344</v>
      </c>
      <c r="AF130" s="49">
        <f>AG117/AG113</f>
        <v>0.1903072332876381</v>
      </c>
      <c r="AG130" s="49">
        <f>AH117/AH113</f>
        <v>0.17233848818874323</v>
      </c>
      <c r="AH130" s="49">
        <f>AI117/AI113</f>
        <v>0.14133369654918235</v>
      </c>
      <c r="AK130" s="49">
        <f t="shared" ref="AK130:BV130" si="285">AK117/AK113</f>
        <v>0.14170925362220932</v>
      </c>
      <c r="AL130" s="49">
        <f t="shared" si="285"/>
        <v>0.1443599565490824</v>
      </c>
      <c r="AM130" s="49">
        <f t="shared" si="285"/>
        <v>0.11786183506981576</v>
      </c>
      <c r="AN130" s="49">
        <f t="shared" si="285"/>
        <v>0.13883450796136779</v>
      </c>
      <c r="AO130" s="49">
        <f t="shared" si="285"/>
        <v>0.14871225507826549</v>
      </c>
      <c r="AP130" s="49">
        <f t="shared" si="285"/>
        <v>0.1840561020092028</v>
      </c>
      <c r="AQ130" s="49">
        <f t="shared" si="285"/>
        <v>0.13099246432579767</v>
      </c>
      <c r="AR130" s="49">
        <f t="shared" si="285"/>
        <v>0.1654637315048719</v>
      </c>
      <c r="AS130" s="49">
        <f t="shared" si="285"/>
        <v>0.14476987447698744</v>
      </c>
      <c r="AT130" s="49">
        <f t="shared" si="285"/>
        <v>0.16628175519630484</v>
      </c>
      <c r="AU130" s="49">
        <f t="shared" si="285"/>
        <v>0.1310211015163173</v>
      </c>
      <c r="AV130" s="49">
        <f t="shared" si="285"/>
        <v>0.14640848012957267</v>
      </c>
      <c r="AW130" s="49">
        <f t="shared" si="285"/>
        <v>0.14548893823505221</v>
      </c>
      <c r="AX130" s="49">
        <f t="shared" si="285"/>
        <v>0.17967671188368126</v>
      </c>
      <c r="AY130" s="49">
        <f t="shared" si="285"/>
        <v>0.14414228015500469</v>
      </c>
      <c r="AZ130" s="49">
        <f t="shared" si="285"/>
        <v>0.14094078827263701</v>
      </c>
      <c r="BA130" s="49">
        <f t="shared" si="285"/>
        <v>0.13953287942773421</v>
      </c>
      <c r="BB130" s="49">
        <f t="shared" si="285"/>
        <v>0.16943099273607748</v>
      </c>
      <c r="BC130" s="49">
        <f t="shared" si="285"/>
        <v>0.12832349675685151</v>
      </c>
      <c r="BD130" s="49">
        <f t="shared" si="285"/>
        <v>0.12392798318850458</v>
      </c>
      <c r="BE130" s="49">
        <f t="shared" si="285"/>
        <v>0.12911710203837648</v>
      </c>
      <c r="BF130" s="49">
        <f t="shared" si="285"/>
        <v>0.15308911973756151</v>
      </c>
      <c r="BG130" s="49">
        <f t="shared" si="285"/>
        <v>0.12176275279203139</v>
      </c>
      <c r="BH130" s="49">
        <f t="shared" si="285"/>
        <v>0.11599346515689257</v>
      </c>
      <c r="BI130" s="49">
        <f t="shared" si="285"/>
        <v>0.1179677531608862</v>
      </c>
      <c r="BJ130" s="106">
        <f t="shared" si="285"/>
        <v>0.13895855726740713</v>
      </c>
      <c r="BK130" s="49">
        <f t="shared" si="285"/>
        <v>0.1137468403655454</v>
      </c>
      <c r="BL130" s="49">
        <f t="shared" si="285"/>
        <v>0.11051338247990967</v>
      </c>
      <c r="BM130" s="49">
        <f t="shared" si="285"/>
        <v>0.13845163136805952</v>
      </c>
      <c r="BN130" s="49">
        <f t="shared" si="285"/>
        <v>0.13119055428009183</v>
      </c>
      <c r="BO130" s="49">
        <f t="shared" si="285"/>
        <v>0.12651851851851853</v>
      </c>
      <c r="BP130" s="49">
        <f t="shared" si="285"/>
        <v>0.11724350574269637</v>
      </c>
      <c r="BQ130" s="49">
        <f t="shared" si="285"/>
        <v>0.12921437659033078</v>
      </c>
      <c r="BR130" s="49">
        <f t="shared" si="285"/>
        <v>0.13266137997480174</v>
      </c>
      <c r="BS130" s="49">
        <f t="shared" si="285"/>
        <v>0.14270538243626063</v>
      </c>
      <c r="BT130" s="49">
        <f t="shared" si="285"/>
        <v>0.13493937962525587</v>
      </c>
      <c r="BU130" s="49">
        <f t="shared" si="285"/>
        <v>0.1310109077454073</v>
      </c>
      <c r="BV130" s="49">
        <f t="shared" si="285"/>
        <v>0.13346246608499374</v>
      </c>
      <c r="BW130" s="49"/>
      <c r="BX130" s="49"/>
      <c r="BY130" s="49"/>
      <c r="BZ130" s="49"/>
      <c r="CA130" s="49"/>
      <c r="CB130" s="49"/>
      <c r="CC130" s="49"/>
      <c r="CD130" s="49"/>
      <c r="CE130" s="49"/>
      <c r="CF130" s="49"/>
      <c r="CG130" s="49"/>
      <c r="CH130" s="49"/>
      <c r="CI130" s="49"/>
      <c r="CJ130" s="49"/>
      <c r="CK130" s="138">
        <f t="shared" ref="CK130:CL130" si="286">CK117/CK113</f>
        <v>0.15025945702038054</v>
      </c>
      <c r="CL130" s="138">
        <f t="shared" si="286"/>
        <v>0.17385098487011133</v>
      </c>
      <c r="CM130" s="138">
        <f t="shared" ref="CM130:CO130" si="287">CM117/CM113</f>
        <v>0.1294243559360905</v>
      </c>
      <c r="CN130" s="138">
        <f t="shared" si="287"/>
        <v>0.14078531204196559</v>
      </c>
      <c r="CO130" s="138">
        <f t="shared" si="287"/>
        <v>0.15297271723702885</v>
      </c>
      <c r="CP130" s="138">
        <f t="shared" ref="CP130" si="288">CP117/CP113</f>
        <v>0.19868069734568872</v>
      </c>
      <c r="CQ130" s="138">
        <f t="shared" ref="CQ130:CR130" si="289">CQ117/CQ113</f>
        <v>0.1435219812183163</v>
      </c>
      <c r="CR130" s="138">
        <f t="shared" si="289"/>
        <v>0.16060683108738028</v>
      </c>
      <c r="CS130" s="138">
        <f t="shared" ref="CS130:CT130" si="290">CS117/CS113</f>
        <v>0.22380072005449062</v>
      </c>
      <c r="CT130" s="138">
        <f t="shared" si="290"/>
        <v>0.26382320061914177</v>
      </c>
      <c r="CU130" s="138">
        <f>CU117/CU113</f>
        <v>0.13723166799856706</v>
      </c>
      <c r="CV130" s="138">
        <f t="shared" ref="CV130:CY130" si="291">CV117/CV113</f>
        <v>0.11836605111381554</v>
      </c>
      <c r="CW130" s="138">
        <f t="shared" si="291"/>
        <v>0.1112863725042547</v>
      </c>
      <c r="CX130" s="138">
        <f t="shared" si="291"/>
        <v>0.14696257761369358</v>
      </c>
      <c r="CY130" s="138">
        <f t="shared" si="291"/>
        <v>8.94339357946176E-2</v>
      </c>
      <c r="CZ130" s="138">
        <f t="shared" ref="CZ130:DA130" si="292">CZ117/CZ113</f>
        <v>0.10132358666032264</v>
      </c>
      <c r="DA130" s="138">
        <f t="shared" si="292"/>
        <v>0.11863168733333919</v>
      </c>
      <c r="DB130" s="138">
        <f t="shared" ref="DB130:DF130" si="293">DB117/DB113</f>
        <v>0.14830160813915327</v>
      </c>
      <c r="DC130" s="138">
        <f t="shared" si="293"/>
        <v>0.13276859504132232</v>
      </c>
      <c r="DD130" s="138">
        <f t="shared" si="293"/>
        <v>0.2318031885651457</v>
      </c>
      <c r="DE130" s="138">
        <f t="shared" si="293"/>
        <v>0.21391974608932215</v>
      </c>
      <c r="DF130" s="138">
        <f t="shared" si="293"/>
        <v>0.26638711488525513</v>
      </c>
      <c r="DG130" s="138"/>
      <c r="DH130" s="138"/>
      <c r="DI130" s="138"/>
      <c r="DJ130" s="138"/>
      <c r="DK130" s="138"/>
      <c r="DL130" s="138"/>
      <c r="DM130" s="138"/>
      <c r="DN130" s="138"/>
      <c r="DO130" s="138"/>
      <c r="DP130" s="49"/>
      <c r="DQ130" s="49"/>
      <c r="DU130" s="49"/>
      <c r="DV130" s="49">
        <f t="shared" ref="DV130:EN130" si="294">DV117/DV113</f>
        <v>0.14115582299109941</v>
      </c>
      <c r="DW130" s="49">
        <f t="shared" si="294"/>
        <v>0.14389781458936235</v>
      </c>
      <c r="DX130" s="49">
        <f t="shared" si="294"/>
        <v>0.14894746152485405</v>
      </c>
      <c r="DY130" s="49">
        <f t="shared" si="294"/>
        <v>0.15419065898912349</v>
      </c>
      <c r="DZ130" s="49">
        <f t="shared" si="294"/>
        <v>0.1682663910218547</v>
      </c>
      <c r="EA130" s="49">
        <f t="shared" si="294"/>
        <v>0.14742789987344782</v>
      </c>
      <c r="EB130" s="49">
        <f t="shared" si="294"/>
        <v>0.14996280516670049</v>
      </c>
      <c r="EC130" s="49">
        <f t="shared" si="294"/>
        <v>0.18410860000752077</v>
      </c>
      <c r="ED130" s="49">
        <f t="shared" si="294"/>
        <v>0.23155387795452503</v>
      </c>
      <c r="EE130" s="49">
        <f t="shared" si="294"/>
        <v>0.24077136808679545</v>
      </c>
      <c r="EF130" s="49">
        <f t="shared" si="294"/>
        <v>0.21306826238620571</v>
      </c>
      <c r="EG130" s="49">
        <f t="shared" si="294"/>
        <v>0.21112048648491374</v>
      </c>
      <c r="EH130" s="49">
        <f t="shared" si="294"/>
        <v>0.20851168916694107</v>
      </c>
      <c r="EI130" s="49">
        <f t="shared" si="294"/>
        <v>0.2198424711273754</v>
      </c>
      <c r="EJ130" s="49">
        <f t="shared" si="294"/>
        <v>0.2678782241619862</v>
      </c>
      <c r="EK130" s="49">
        <f t="shared" si="294"/>
        <v>0.21060931509828978</v>
      </c>
      <c r="EL130" s="49">
        <f t="shared" si="294"/>
        <v>0.21375268964885777</v>
      </c>
      <c r="EM130" s="49">
        <f t="shared" si="294"/>
        <v>0.19822200864968764</v>
      </c>
      <c r="EN130" s="49">
        <f t="shared" si="294"/>
        <v>0.21380268750617804</v>
      </c>
      <c r="EO130" s="49"/>
      <c r="EP130" s="49"/>
      <c r="EQ130" s="49"/>
      <c r="ER130" s="49"/>
      <c r="ES130" s="49"/>
      <c r="ET130" s="49"/>
      <c r="EU130" s="49"/>
      <c r="EV130" s="49">
        <f t="shared" ref="EV130:EW130" si="295">+EV117/EV113</f>
        <v>0.19655428746337839</v>
      </c>
      <c r="EW130" s="49">
        <f t="shared" si="295"/>
        <v>0.12801567709511491</v>
      </c>
      <c r="EX130" s="49">
        <f t="shared" ref="EX130:EY130" si="296">+EX117/EX113</f>
        <v>0.11411978729359083</v>
      </c>
      <c r="EY130" s="49">
        <f t="shared" si="296"/>
        <v>0.21107599394302215</v>
      </c>
      <c r="EZ130" s="49">
        <f t="shared" ref="EZ130:FF130" si="297">+EZ117/EZ113</f>
        <v>0.22665117294268927</v>
      </c>
      <c r="FA130" s="49">
        <f t="shared" si="297"/>
        <v>0</v>
      </c>
      <c r="FB130" s="49">
        <f t="shared" si="297"/>
        <v>0</v>
      </c>
      <c r="FC130" s="49">
        <f t="shared" si="297"/>
        <v>0</v>
      </c>
      <c r="FD130" s="49">
        <f t="shared" si="297"/>
        <v>0</v>
      </c>
      <c r="FE130" s="49">
        <f t="shared" si="297"/>
        <v>0</v>
      </c>
      <c r="FF130" s="49">
        <f t="shared" si="297"/>
        <v>0</v>
      </c>
      <c r="FG130" s="49"/>
      <c r="FH130" s="49"/>
      <c r="FI130" s="49"/>
      <c r="FJ130" s="49"/>
      <c r="FK130" s="49"/>
      <c r="FL130" s="49"/>
      <c r="FM130" s="49"/>
      <c r="FN130" s="49"/>
      <c r="FO130" s="49"/>
      <c r="FP130" s="49"/>
      <c r="FQ130" s="91"/>
      <c r="FR130" s="49"/>
      <c r="FS130" s="92"/>
      <c r="FT130" s="49"/>
      <c r="FU130" s="14" t="s">
        <v>810</v>
      </c>
    </row>
    <row r="131" spans="2:179">
      <c r="B131" s="4" t="s">
        <v>798</v>
      </c>
      <c r="AE131" s="49">
        <f>AE118/AE113</f>
        <v>0.23741780736942225</v>
      </c>
      <c r="AF131" s="49">
        <f>AF118/AF113</f>
        <v>0.16710179985294277</v>
      </c>
      <c r="AG131" s="49">
        <f>AG118/AG113</f>
        <v>0.23756148697685664</v>
      </c>
      <c r="AH131" s="49">
        <f>AH118/AH113</f>
        <v>0.31005381876327881</v>
      </c>
      <c r="AK131" s="49">
        <f t="shared" ref="AK131:BV131" si="298">AK118/AK113</f>
        <v>0.39421877111134074</v>
      </c>
      <c r="AL131" s="49">
        <f t="shared" si="298"/>
        <v>0.34816477045337602</v>
      </c>
      <c r="AM131" s="49">
        <f t="shared" si="298"/>
        <v>0.49517247700815792</v>
      </c>
      <c r="AN131" s="49">
        <f t="shared" si="298"/>
        <v>0.4099125554685461</v>
      </c>
      <c r="AO131" s="49">
        <f t="shared" si="298"/>
        <v>0.40460366854837443</v>
      </c>
      <c r="AP131" s="49">
        <f t="shared" si="298"/>
        <v>0.29864857646493248</v>
      </c>
      <c r="AQ131" s="49">
        <f t="shared" si="298"/>
        <v>0.4597562930896264</v>
      </c>
      <c r="AR131" s="49">
        <f t="shared" si="298"/>
        <v>0.3239805124503789</v>
      </c>
      <c r="AS131" s="49">
        <f t="shared" si="298"/>
        <v>0.39933054393305439</v>
      </c>
      <c r="AT131" s="49">
        <f t="shared" si="298"/>
        <v>0.31039260969976906</v>
      </c>
      <c r="AU131" s="49">
        <f t="shared" si="298"/>
        <v>0.45231899750779947</v>
      </c>
      <c r="AV131" s="49">
        <f t="shared" si="298"/>
        <v>0.4045741800615934</v>
      </c>
      <c r="AW131" s="49">
        <f t="shared" si="298"/>
        <v>0.42774899251583187</v>
      </c>
      <c r="AX131" s="49">
        <f t="shared" si="298"/>
        <v>0.41791893428641053</v>
      </c>
      <c r="AY131" s="49">
        <f t="shared" si="298"/>
        <v>0.49860556137469664</v>
      </c>
      <c r="AZ131" s="49">
        <f t="shared" si="298"/>
        <v>0.4377688119993719</v>
      </c>
      <c r="BA131" s="49">
        <f t="shared" si="298"/>
        <v>0.42850986813755065</v>
      </c>
      <c r="BB131" s="49">
        <f t="shared" si="298"/>
        <v>0.33232445520581116</v>
      </c>
      <c r="BC131" s="49">
        <f t="shared" si="298"/>
        <v>0.44451586513177116</v>
      </c>
      <c r="BD131" s="49">
        <f t="shared" si="298"/>
        <v>0.43999545635258702</v>
      </c>
      <c r="BE131" s="49">
        <f t="shared" si="298"/>
        <v>0.41813617072150161</v>
      </c>
      <c r="BF131" s="49">
        <f t="shared" si="298"/>
        <v>0.32651722252597049</v>
      </c>
      <c r="BG131" s="49">
        <f t="shared" si="298"/>
        <v>0.41986115303350435</v>
      </c>
      <c r="BH131" s="49">
        <f t="shared" si="298"/>
        <v>0.42166638499239478</v>
      </c>
      <c r="BI131" s="49">
        <f t="shared" si="298"/>
        <v>0.42471871012643547</v>
      </c>
      <c r="BJ131" s="106">
        <f t="shared" si="298"/>
        <v>0.34097694971933595</v>
      </c>
      <c r="BK131" s="49">
        <f t="shared" si="298"/>
        <v>0.43282131051915224</v>
      </c>
      <c r="BL131" s="49">
        <f t="shared" si="298"/>
        <v>0.45101945938766025</v>
      </c>
      <c r="BM131" s="49">
        <f t="shared" si="298"/>
        <v>0.41120492272467085</v>
      </c>
      <c r="BN131" s="49">
        <f t="shared" si="298"/>
        <v>0.35952771400459166</v>
      </c>
      <c r="BO131" s="49">
        <f t="shared" si="298"/>
        <v>0.42096296296296298</v>
      </c>
      <c r="BP131" s="49">
        <f t="shared" si="298"/>
        <v>0.43999075001927079</v>
      </c>
      <c r="BQ131" s="49">
        <f t="shared" si="298"/>
        <v>0.43113867684478374</v>
      </c>
      <c r="BR131" s="49">
        <f t="shared" si="298"/>
        <v>0.36596753872378268</v>
      </c>
      <c r="BS131" s="49">
        <f t="shared" si="298"/>
        <v>0.41412889518413598</v>
      </c>
      <c r="BT131" s="49">
        <f t="shared" si="298"/>
        <v>0.40796724925208627</v>
      </c>
      <c r="BU131" s="49">
        <f t="shared" si="298"/>
        <v>0.39882444495929437</v>
      </c>
      <c r="BV131" s="49">
        <f t="shared" si="298"/>
        <v>0.36136330280557649</v>
      </c>
      <c r="BW131" s="49"/>
      <c r="BX131" s="49"/>
      <c r="BY131" s="49"/>
      <c r="BZ131" s="49"/>
      <c r="CA131" s="49"/>
      <c r="CB131" s="49"/>
      <c r="CC131" s="49"/>
      <c r="CD131" s="49"/>
      <c r="CE131" s="49"/>
      <c r="CF131" s="49"/>
      <c r="CG131" s="49"/>
      <c r="CH131" s="49"/>
      <c r="CI131" s="49"/>
      <c r="CJ131" s="49"/>
      <c r="CK131" s="138">
        <f t="shared" ref="CK131:CL131" si="299">CK118/CK113</f>
        <v>0.38768143190193277</v>
      </c>
      <c r="CL131" s="138">
        <f t="shared" si="299"/>
        <v>0.32572081073365688</v>
      </c>
      <c r="CM131" s="138">
        <f t="shared" ref="CM131:CO131" si="300">CM118/CM113</f>
        <v>0.43284152587722652</v>
      </c>
      <c r="CN131" s="138">
        <f t="shared" si="300"/>
        <v>0.39481601481138623</v>
      </c>
      <c r="CO131" s="138">
        <f t="shared" si="300"/>
        <v>0.40111969720864216</v>
      </c>
      <c r="CP131" s="138">
        <f t="shared" ref="CP131" si="301">CP118/CP113</f>
        <v>0.27752473692476831</v>
      </c>
      <c r="CQ131" s="138">
        <f t="shared" ref="CQ131:CR131" si="302">CQ118/CQ113</f>
        <v>0.43305908750934929</v>
      </c>
      <c r="CR131" s="138">
        <f t="shared" si="302"/>
        <v>0.41189931350114417</v>
      </c>
      <c r="CS131" s="138">
        <f t="shared" ref="CS131:CT131" si="303">CS118/CS113</f>
        <v>0.32227303687846648</v>
      </c>
      <c r="CT131" s="138">
        <f t="shared" si="303"/>
        <v>0.18393670994926478</v>
      </c>
      <c r="CU131" s="138">
        <f>CU118/CU113</f>
        <v>0.39637355672517838</v>
      </c>
      <c r="CV131" s="138">
        <f t="shared" ref="CV131:CY131" si="304">CV118/CV113</f>
        <v>0.36695063230858777</v>
      </c>
      <c r="CW131" s="138">
        <f t="shared" si="304"/>
        <v>0.36494956622805197</v>
      </c>
      <c r="CX131" s="138">
        <f t="shared" si="304"/>
        <v>0.28033227051518711</v>
      </c>
      <c r="CY131" s="138">
        <f t="shared" si="304"/>
        <v>0.42524569976696514</v>
      </c>
      <c r="CZ131" s="138">
        <f t="shared" ref="CZ131:DA131" si="305">CZ118/CZ113</f>
        <v>0.48325331257118981</v>
      </c>
      <c r="DA131" s="138">
        <f t="shared" si="305"/>
        <v>0.47315386037015206</v>
      </c>
      <c r="DB131" s="138">
        <f t="shared" ref="DB131:DF131" si="306">DB118/DB113</f>
        <v>0.28191663931736133</v>
      </c>
      <c r="DC131" s="138">
        <f t="shared" si="306"/>
        <v>0.46283471074380167</v>
      </c>
      <c r="DD131" s="138">
        <f t="shared" si="306"/>
        <v>0.26905442550852116</v>
      </c>
      <c r="DE131" s="138">
        <f t="shared" si="306"/>
        <v>0.26907503967354335</v>
      </c>
      <c r="DF131" s="138">
        <f t="shared" si="306"/>
        <v>0.14834795424240299</v>
      </c>
      <c r="DG131" s="138"/>
      <c r="DH131" s="138"/>
      <c r="DI131" s="138"/>
      <c r="DJ131" s="138"/>
      <c r="DK131" s="138"/>
      <c r="DL131" s="138"/>
      <c r="DM131" s="138"/>
      <c r="DN131" s="138"/>
      <c r="DO131" s="138"/>
      <c r="DP131" s="49"/>
      <c r="DQ131" s="49"/>
      <c r="DU131" s="49"/>
      <c r="DV131" s="49">
        <f t="shared" ref="DV131:ES131" si="307">DV118/DV113</f>
        <v>0.24382599974927918</v>
      </c>
      <c r="DW131" s="49">
        <f t="shared" si="307"/>
        <v>0.25546352659415228</v>
      </c>
      <c r="DX131" s="49">
        <f t="shared" si="307"/>
        <v>0.27242172297894923</v>
      </c>
      <c r="DY131" s="49">
        <f t="shared" si="307"/>
        <v>0.26759436980166346</v>
      </c>
      <c r="DZ131" s="49">
        <f t="shared" si="307"/>
        <v>0.26602185469580625</v>
      </c>
      <c r="EA131" s="49">
        <f t="shared" si="307"/>
        <v>0.25811183190541992</v>
      </c>
      <c r="EB131" s="49">
        <f t="shared" si="307"/>
        <v>0.29722053154798134</v>
      </c>
      <c r="EC131" s="49">
        <f t="shared" si="307"/>
        <v>0.30673485503703984</v>
      </c>
      <c r="ED131" s="49">
        <f t="shared" si="307"/>
        <v>0.10146490518558461</v>
      </c>
      <c r="EE131" s="49">
        <f t="shared" si="307"/>
        <v>3.3209843874040752E-2</v>
      </c>
      <c r="EF131" s="49">
        <f t="shared" si="307"/>
        <v>0.17166274354102265</v>
      </c>
      <c r="EG131" s="49">
        <f t="shared" si="307"/>
        <v>0.13291047164596001</v>
      </c>
      <c r="EH131" s="49">
        <f t="shared" si="307"/>
        <v>0.15409944023707606</v>
      </c>
      <c r="EI131" s="49">
        <f t="shared" si="307"/>
        <v>0.12460735800022828</v>
      </c>
      <c r="EJ131" s="49">
        <f t="shared" si="307"/>
        <v>0.79659660859299541</v>
      </c>
      <c r="EK131" s="49">
        <f t="shared" si="307"/>
        <v>0.58156189673454961</v>
      </c>
      <c r="EL131" s="49">
        <f t="shared" si="307"/>
        <v>0.64828549191960816</v>
      </c>
      <c r="EM131" s="49">
        <f t="shared" si="307"/>
        <v>0.66458433445458909</v>
      </c>
      <c r="EN131" s="49">
        <f t="shared" si="307"/>
        <v>0.71801536216209938</v>
      </c>
      <c r="EO131" s="49">
        <f t="shared" si="307"/>
        <v>0</v>
      </c>
      <c r="EP131" s="49">
        <f t="shared" si="307"/>
        <v>0</v>
      </c>
      <c r="EQ131" s="49">
        <f t="shared" si="307"/>
        <v>0</v>
      </c>
      <c r="ER131" s="49">
        <f t="shared" si="307"/>
        <v>0</v>
      </c>
      <c r="ES131" s="49">
        <f t="shared" si="307"/>
        <v>0</v>
      </c>
      <c r="ET131" s="49"/>
      <c r="EU131" s="49"/>
      <c r="EV131" s="49">
        <f t="shared" ref="EV131:EW131" si="308">+EV118/EV113</f>
        <v>0.33936770300406666</v>
      </c>
      <c r="EW131" s="49">
        <f t="shared" si="308"/>
        <v>0.3462262851972423</v>
      </c>
      <c r="EX131" s="49">
        <f t="shared" ref="EX131:EY131" si="309">+EX118/EX113</f>
        <v>0.41463755947383141</v>
      </c>
      <c r="EY131" s="49">
        <f t="shared" si="309"/>
        <v>0.28048385392823183</v>
      </c>
      <c r="EZ131" s="49">
        <f t="shared" ref="EZ131:FF131" si="310">+EZ118/EZ113</f>
        <v>0.24429906304494731</v>
      </c>
      <c r="FA131" s="49">
        <f t="shared" si="310"/>
        <v>0.48971099437701376</v>
      </c>
      <c r="FB131" s="49">
        <f t="shared" si="310"/>
        <v>0.49826021280463773</v>
      </c>
      <c r="FC131" s="49">
        <f t="shared" si="310"/>
        <v>0.50934342486499307</v>
      </c>
      <c r="FD131" s="49">
        <f t="shared" si="310"/>
        <v>0.52601324798430504</v>
      </c>
      <c r="FE131" s="49">
        <f t="shared" si="310"/>
        <v>0.48405330760709114</v>
      </c>
      <c r="FF131" s="49">
        <f t="shared" si="310"/>
        <v>0.49578797788871859</v>
      </c>
      <c r="FG131" s="49"/>
      <c r="FH131" s="49"/>
      <c r="FI131" s="49"/>
      <c r="FJ131" s="49"/>
      <c r="FK131" s="49"/>
      <c r="FL131" s="49"/>
      <c r="FM131" s="49"/>
      <c r="FN131" s="49"/>
      <c r="FO131" s="49"/>
      <c r="FP131" s="49"/>
      <c r="FQ131" s="91"/>
      <c r="FR131" s="49"/>
      <c r="FS131" s="92"/>
      <c r="FT131" s="49"/>
      <c r="FU131" s="14" t="s">
        <v>811</v>
      </c>
    </row>
    <row r="132" spans="2:179">
      <c r="B132" s="4" t="s">
        <v>812</v>
      </c>
      <c r="AE132" s="49" t="e">
        <f>AE123/AE122</f>
        <v>#DIV/0!</v>
      </c>
      <c r="AF132" s="49" t="e">
        <f>AF123/AF122</f>
        <v>#DIV/0!</v>
      </c>
      <c r="AG132" s="49" t="e">
        <f>AG123/AG122</f>
        <v>#DIV/0!</v>
      </c>
      <c r="AH132" s="49" t="e">
        <f>AH123/AH122</f>
        <v>#DIV/0!</v>
      </c>
      <c r="AK132" s="49">
        <f t="shared" ref="AK132:BR132" si="311">AK123/AK122</f>
        <v>0.11614061798520427</v>
      </c>
      <c r="AL132" s="49">
        <f t="shared" si="311"/>
        <v>0.11877261877261878</v>
      </c>
      <c r="AM132" s="49">
        <f t="shared" si="311"/>
        <v>3.910681234700579E-2</v>
      </c>
      <c r="AN132" s="49">
        <f t="shared" si="311"/>
        <v>0.22598974968431995</v>
      </c>
      <c r="AO132" s="49">
        <f t="shared" si="311"/>
        <v>0.12994309326180725</v>
      </c>
      <c r="AP132" s="49">
        <f t="shared" si="311"/>
        <v>0.217</v>
      </c>
      <c r="AQ132" s="49">
        <f t="shared" si="311"/>
        <v>0.2154146977350497</v>
      </c>
      <c r="AR132" s="49">
        <f t="shared" si="311"/>
        <v>0.31481942714819428</v>
      </c>
      <c r="AS132" s="49">
        <f t="shared" si="311"/>
        <v>0.21587114515812217</v>
      </c>
      <c r="AT132" s="49">
        <f t="shared" si="311"/>
        <v>0.18847457627118644</v>
      </c>
      <c r="AU132" s="49">
        <f t="shared" si="311"/>
        <v>0.19305912368860498</v>
      </c>
      <c r="AV132" s="49">
        <f t="shared" si="311"/>
        <v>0.17386744316252739</v>
      </c>
      <c r="AW132" s="49">
        <f t="shared" si="311"/>
        <v>0.22228371149234458</v>
      </c>
      <c r="AX132" s="49">
        <f t="shared" si="311"/>
        <v>0.23393227366966138</v>
      </c>
      <c r="AY132" s="49">
        <f t="shared" si="311"/>
        <v>0.2655526354087302</v>
      </c>
      <c r="AZ132" s="49">
        <f t="shared" si="311"/>
        <v>0.2391476896290306</v>
      </c>
      <c r="BA132" s="49">
        <f t="shared" si="311"/>
        <v>0.31658193195150569</v>
      </c>
      <c r="BB132" s="49">
        <f t="shared" si="311"/>
        <v>0.28029739776951673</v>
      </c>
      <c r="BC132" s="49">
        <f t="shared" si="311"/>
        <v>0.28646748681898065</v>
      </c>
      <c r="BD132" s="49">
        <f t="shared" si="311"/>
        <v>0.30316205533596841</v>
      </c>
      <c r="BE132" s="49">
        <f t="shared" si="311"/>
        <v>0.27636946386946387</v>
      </c>
      <c r="BF132" s="49">
        <f t="shared" si="311"/>
        <v>0.22608695652173913</v>
      </c>
      <c r="BG132" s="49">
        <f t="shared" si="311"/>
        <v>0.2771137671536078</v>
      </c>
      <c r="BH132" s="49">
        <f t="shared" si="311"/>
        <v>0.2603051391862955</v>
      </c>
      <c r="BI132" s="49">
        <f t="shared" si="311"/>
        <v>0.30521407376006782</v>
      </c>
      <c r="BJ132" s="106">
        <f>BJ123/BJ122</f>
        <v>0.29937555753791256</v>
      </c>
      <c r="BK132" s="49">
        <f>BK123/BK122</f>
        <v>0.2860958366064415</v>
      </c>
      <c r="BL132" s="49">
        <f>BL123/BL122</f>
        <v>0.28629456897848654</v>
      </c>
      <c r="BM132" s="49">
        <f>BM123/BM122</f>
        <v>0.28124438050710304</v>
      </c>
      <c r="BN132" s="49">
        <f t="shared" ref="BN132:BP132" si="312">BN123/BN122</f>
        <v>0.29792452830188682</v>
      </c>
      <c r="BO132" s="49">
        <f t="shared" si="312"/>
        <v>0.27250744047619047</v>
      </c>
      <c r="BP132" s="49">
        <f t="shared" si="312"/>
        <v>0.28081207330219188</v>
      </c>
      <c r="BQ132" s="49">
        <f t="shared" si="311"/>
        <v>0.27750929368029742</v>
      </c>
      <c r="BR132" s="49">
        <f t="shared" si="311"/>
        <v>0.28663164039696437</v>
      </c>
      <c r="BS132" s="49">
        <f t="shared" ref="BS132:BV132" si="313">BS123/BS122</f>
        <v>0.26123057270598254</v>
      </c>
      <c r="BT132" s="49">
        <f t="shared" si="313"/>
        <v>0.27648285010422591</v>
      </c>
      <c r="BU132" s="49">
        <f t="shared" si="313"/>
        <v>0.27</v>
      </c>
      <c r="BV132" s="49">
        <f t="shared" si="313"/>
        <v>0.27</v>
      </c>
      <c r="BW132" s="49"/>
      <c r="BX132" s="49"/>
      <c r="BY132" s="49"/>
      <c r="BZ132" s="49"/>
      <c r="CA132" s="49"/>
      <c r="CB132" s="49"/>
      <c r="CC132" s="49"/>
      <c r="CD132" s="49"/>
      <c r="CE132" s="49"/>
      <c r="CF132" s="49"/>
      <c r="CG132" s="49"/>
      <c r="CH132" s="49"/>
      <c r="CI132" s="49"/>
      <c r="CJ132" s="49"/>
      <c r="CK132" s="138">
        <f t="shared" ref="CK132:CL132" si="314">CK123/CK122</f>
        <v>0.13402829486224871</v>
      </c>
      <c r="CL132" s="138">
        <f t="shared" si="314"/>
        <v>0.15014288854693339</v>
      </c>
      <c r="CM132" s="138">
        <f t="shared" ref="CM132:CO132" si="315">CM123/CM122</f>
        <v>0.15197515956529239</v>
      </c>
      <c r="CN132" s="138">
        <f t="shared" si="315"/>
        <v>0.17880413951705634</v>
      </c>
      <c r="CO132" s="138">
        <f t="shared" si="315"/>
        <v>0.15173095944609297</v>
      </c>
      <c r="CP132" s="138">
        <f t="shared" ref="CP132" si="316">CP123/CP122</f>
        <v>0.11236573946571192</v>
      </c>
      <c r="CQ132" s="138">
        <f t="shared" ref="CQ132:CR132" si="317">CQ123/CQ122</f>
        <v>0.14971280340930146</v>
      </c>
      <c r="CR132" s="138">
        <f t="shared" si="317"/>
        <v>0.14345910745067994</v>
      </c>
      <c r="CS132" s="138">
        <f t="shared" ref="CS132:CT132" si="318">CS123/CS122</f>
        <v>6.6859344894026979E-2</v>
      </c>
      <c r="CT132" s="138">
        <f t="shared" si="318"/>
        <v>-3.9273441335297005E-2</v>
      </c>
      <c r="CU132" s="138">
        <f>CU123/CU122</f>
        <v>0.17699271518494947</v>
      </c>
      <c r="CV132" s="138">
        <f t="shared" ref="CV132:CY132" si="319">CV123/CV122</f>
        <v>0.18399198167239406</v>
      </c>
      <c r="CW132" s="138">
        <f t="shared" si="319"/>
        <v>0.18287566742944317</v>
      </c>
      <c r="CX132" s="138">
        <f t="shared" si="319"/>
        <v>0.10850202429149798</v>
      </c>
      <c r="CY132" s="138">
        <f t="shared" si="319"/>
        <v>0.18017771452551684</v>
      </c>
      <c r="CZ132" s="138">
        <f t="shared" ref="CZ132:DA132" si="320">CZ123/CZ122</f>
        <v>0.15692312247405577</v>
      </c>
      <c r="DA132" s="138">
        <f t="shared" si="320"/>
        <v>4.1268038126342312E-2</v>
      </c>
      <c r="DB132" s="138">
        <f t="shared" ref="DB132:DF132" si="321">DB123/DB122</f>
        <v>0.10786397449521785</v>
      </c>
      <c r="DC132" s="138">
        <f t="shared" si="321"/>
        <v>0.15</v>
      </c>
      <c r="DD132" s="138">
        <f t="shared" si="321"/>
        <v>0.15</v>
      </c>
      <c r="DE132" s="138">
        <f t="shared" si="321"/>
        <v>0.15</v>
      </c>
      <c r="DF132" s="138">
        <f t="shared" si="321"/>
        <v>0.15</v>
      </c>
      <c r="DG132" s="138"/>
      <c r="DH132" s="138"/>
      <c r="DI132" s="138"/>
      <c r="DJ132" s="138"/>
      <c r="DK132" s="138"/>
      <c r="DL132" s="138"/>
      <c r="DM132" s="138"/>
      <c r="DN132" s="138"/>
      <c r="DO132" s="138"/>
      <c r="DP132" s="49"/>
      <c r="DQ132" s="49"/>
      <c r="DU132" s="49"/>
      <c r="DV132" s="49">
        <f t="shared" ref="DV132:EH132" si="322">DV123/DV122</f>
        <v>0.30636160714285715</v>
      </c>
      <c r="DW132" s="49">
        <f t="shared" si="322"/>
        <v>0.30865746549560852</v>
      </c>
      <c r="DX132" s="49">
        <f t="shared" si="322"/>
        <v>0.29387893134934057</v>
      </c>
      <c r="DY132" s="49">
        <f t="shared" si="322"/>
        <v>0.26913503422526447</v>
      </c>
      <c r="DZ132" s="49">
        <f t="shared" si="322"/>
        <v>0.14892136395267919</v>
      </c>
      <c r="EA132" s="49">
        <f t="shared" si="322"/>
        <v>0.31065049629164249</v>
      </c>
      <c r="EB132" s="49">
        <f t="shared" si="322"/>
        <v>0.26579322869373462</v>
      </c>
      <c r="EC132" s="49">
        <f t="shared" si="322"/>
        <v>0.33805752396832012</v>
      </c>
      <c r="ED132" s="40">
        <f t="shared" si="322"/>
        <v>1.8442569759896172</v>
      </c>
      <c r="EE132" s="49">
        <f t="shared" si="322"/>
        <v>-27.31782945736434</v>
      </c>
      <c r="EF132" s="49">
        <f t="shared" si="322"/>
        <v>0.85390907361613089</v>
      </c>
      <c r="EG132" s="49">
        <f t="shared" si="322"/>
        <v>1.2205270457697641</v>
      </c>
      <c r="EH132" s="49">
        <f t="shared" si="322"/>
        <v>0.64861963190184047</v>
      </c>
      <c r="EI132" s="49">
        <v>0.21</v>
      </c>
      <c r="EJ132" s="49">
        <v>0.22500000000000001</v>
      </c>
      <c r="EK132" s="49">
        <f>EK123/EK122</f>
        <v>0.2747543696396883</v>
      </c>
      <c r="EL132" s="49">
        <f>EL123/EL122</f>
        <v>0.27576129311588976</v>
      </c>
      <c r="EM132" s="49">
        <v>0.28999999999999998</v>
      </c>
      <c r="EN132" s="49">
        <v>0.28999999999999998</v>
      </c>
      <c r="EO132" s="49">
        <v>0.27500000000000002</v>
      </c>
      <c r="EP132" s="49">
        <v>0.27500000000000002</v>
      </c>
      <c r="EQ132" s="49">
        <v>0.27</v>
      </c>
      <c r="ER132" s="49">
        <v>0.27</v>
      </c>
      <c r="ES132" s="49">
        <v>0.27</v>
      </c>
      <c r="ET132" s="49"/>
      <c r="EU132" s="49"/>
      <c r="EV132" s="49">
        <f t="shared" ref="EV132" si="323">+EV123/EV122</f>
        <v>0.1022135051835248</v>
      </c>
      <c r="EW132" s="49">
        <f>+EW123/EW122</f>
        <v>0.16399455097977572</v>
      </c>
      <c r="EX132" s="49"/>
      <c r="EY132" s="49"/>
      <c r="EZ132" s="49"/>
      <c r="FA132" s="49"/>
      <c r="FB132" s="49"/>
      <c r="FC132" s="49"/>
      <c r="FD132" s="49"/>
      <c r="FE132" s="49"/>
      <c r="FF132" s="49"/>
      <c r="FG132" s="49"/>
      <c r="FH132" s="49"/>
      <c r="FI132" s="49"/>
      <c r="FJ132" s="49"/>
      <c r="FK132" s="49"/>
      <c r="FL132" s="49"/>
      <c r="FM132" s="49"/>
      <c r="FN132" s="49"/>
      <c r="FO132" s="49"/>
      <c r="FP132" s="49"/>
      <c r="FQ132" s="91"/>
      <c r="FR132" s="49"/>
      <c r="FS132" s="92"/>
      <c r="FT132" s="49"/>
      <c r="FU132" s="4" t="s">
        <v>813</v>
      </c>
    </row>
    <row r="133" spans="2:179">
      <c r="B133" s="4" t="s">
        <v>814</v>
      </c>
      <c r="AE133" s="49" t="e">
        <f>AE124/#REF!</f>
        <v>#REF!</v>
      </c>
      <c r="AF133" s="49" t="e">
        <f>AF124/#REF!</f>
        <v>#REF!</v>
      </c>
      <c r="AG133" s="49" t="e">
        <f>AG124/#REF!</f>
        <v>#REF!</v>
      </c>
      <c r="AH133" s="49" t="e">
        <f>AH124/#REF!</f>
        <v>#REF!</v>
      </c>
      <c r="AK133" s="49">
        <f t="shared" ref="AK133:BV133" si="324">AK124/AK113</f>
        <v>0.35988428004864054</v>
      </c>
      <c r="AL133" s="49">
        <f t="shared" si="324"/>
        <v>0.32715396489623233</v>
      </c>
      <c r="AM133" s="49">
        <f t="shared" si="324"/>
        <v>0.4917351584221944</v>
      </c>
      <c r="AN133" s="49">
        <f t="shared" si="324"/>
        <v>0.34000587314017233</v>
      </c>
      <c r="AO133" s="49">
        <f t="shared" si="324"/>
        <v>0.37536161628797943</v>
      </c>
      <c r="AP133" s="49">
        <f t="shared" si="324"/>
        <v>0.23706831136920345</v>
      </c>
      <c r="AQ133" s="49">
        <f t="shared" si="324"/>
        <v>0.38600288600288601</v>
      </c>
      <c r="AR133" s="49">
        <f t="shared" si="324"/>
        <v>0.24819559725730783</v>
      </c>
      <c r="AS133" s="49">
        <f t="shared" si="324"/>
        <v>0.33405857740585776</v>
      </c>
      <c r="AT133" s="49">
        <f t="shared" si="324"/>
        <v>0.2764434180138568</v>
      </c>
      <c r="AU133" s="49">
        <f t="shared" si="324"/>
        <v>0.38648849289978415</v>
      </c>
      <c r="AV133" s="49">
        <f t="shared" si="324"/>
        <v>0.34652780029914648</v>
      </c>
      <c r="AW133" s="49">
        <f t="shared" si="324"/>
        <v>0.34673904103955916</v>
      </c>
      <c r="AX133" s="49">
        <f t="shared" si="324"/>
        <v>0.36016570546665583</v>
      </c>
      <c r="AY133" s="49">
        <f t="shared" si="324"/>
        <v>0.36980857181035631</v>
      </c>
      <c r="AZ133" s="49">
        <f t="shared" si="324"/>
        <v>0.34551046991752493</v>
      </c>
      <c r="BA133" s="49">
        <f t="shared" si="324"/>
        <v>0.30121520296475052</v>
      </c>
      <c r="BB133" s="49">
        <f t="shared" si="324"/>
        <v>0.23438256658595641</v>
      </c>
      <c r="BC133" s="49">
        <f t="shared" si="324"/>
        <v>0.30842049903582069</v>
      </c>
      <c r="BD133" s="49">
        <f t="shared" si="324"/>
        <v>0.30039188958936786</v>
      </c>
      <c r="BE133" s="49">
        <f t="shared" si="324"/>
        <v>0.296909558252137</v>
      </c>
      <c r="BF133" s="49">
        <f t="shared" si="324"/>
        <v>0.24816839803171131</v>
      </c>
      <c r="BG133" s="49">
        <f t="shared" si="324"/>
        <v>0.29574403863567761</v>
      </c>
      <c r="BH133" s="49">
        <f t="shared" si="324"/>
        <v>0.31136274012731679</v>
      </c>
      <c r="BI133" s="49">
        <f t="shared" si="324"/>
        <v>0.28517573367358773</v>
      </c>
      <c r="BJ133" s="106">
        <f t="shared" si="324"/>
        <v>0.23450376209243998</v>
      </c>
      <c r="BK133" s="49">
        <f t="shared" si="324"/>
        <v>0.29451033767580531</v>
      </c>
      <c r="BL133" s="49">
        <f t="shared" si="324"/>
        <v>0.31506940293551172</v>
      </c>
      <c r="BM133" s="49">
        <f t="shared" si="324"/>
        <v>0.28599026903262736</v>
      </c>
      <c r="BN133" s="49">
        <f t="shared" si="324"/>
        <v>0.24408002623811087</v>
      </c>
      <c r="BO133" s="49">
        <f t="shared" si="324"/>
        <v>0.28970370370370369</v>
      </c>
      <c r="BP133" s="49">
        <f t="shared" si="324"/>
        <v>0.30856394049179064</v>
      </c>
      <c r="BQ133" s="49">
        <f t="shared" si="324"/>
        <v>0.30908078880407125</v>
      </c>
      <c r="BR133" s="49">
        <f t="shared" si="324"/>
        <v>0.2716964351886163</v>
      </c>
      <c r="BS133" s="49">
        <f t="shared" si="324"/>
        <v>0.30718838526912179</v>
      </c>
      <c r="BT133" s="49">
        <f t="shared" si="324"/>
        <v>0.30058258541961896</v>
      </c>
      <c r="BU133" s="49">
        <f t="shared" si="324"/>
        <v>0.29114184482028493</v>
      </c>
      <c r="BV133" s="49">
        <f t="shared" si="324"/>
        <v>0.26379521104807085</v>
      </c>
      <c r="BW133" s="49"/>
      <c r="BX133" s="49"/>
      <c r="BY133" s="49"/>
      <c r="BZ133" s="49"/>
      <c r="CA133" s="49"/>
      <c r="CB133" s="49"/>
      <c r="CC133" s="49"/>
      <c r="CD133" s="49"/>
      <c r="CE133" s="49"/>
      <c r="CF133" s="49"/>
      <c r="CG133" s="49"/>
      <c r="CH133" s="49"/>
      <c r="CI133" s="49"/>
      <c r="CJ133" s="49"/>
      <c r="CK133" s="138">
        <f t="shared" ref="CK133:CL133" si="325">CK124/CK113</f>
        <v>0.34985335037978493</v>
      </c>
      <c r="CL133" s="138">
        <f t="shared" si="325"/>
        <v>0.275906365972024</v>
      </c>
      <c r="CM133" s="138">
        <f t="shared" ref="CM133:CO133" si="326">CM124/CM113</f>
        <v>0.37581224677012459</v>
      </c>
      <c r="CN133" s="138">
        <f t="shared" si="326"/>
        <v>0.3305561984108617</v>
      </c>
      <c r="CO133" s="138">
        <f t="shared" si="326"/>
        <v>0.33811701624349472</v>
      </c>
      <c r="CP133" s="138">
        <f t="shared" ref="CP133" si="327">CP124/CP113</f>
        <v>0.25310193183602953</v>
      </c>
      <c r="CQ133" s="138">
        <f t="shared" ref="CQ133:CR133" si="328">CQ124/CQ113</f>
        <v>0.38136790492811434</v>
      </c>
      <c r="CR133" s="138">
        <f t="shared" si="328"/>
        <v>0.3790151707771845</v>
      </c>
      <c r="CS133" s="138">
        <f t="shared" ref="CS133:CT133" si="329">CS124/CS113</f>
        <v>0.47124647270604264</v>
      </c>
      <c r="CT133" s="138">
        <f t="shared" si="329"/>
        <v>0.18204488778054864</v>
      </c>
      <c r="CU133" s="138">
        <f>CU124/CU113</f>
        <v>0.3206619085673344</v>
      </c>
      <c r="CV133" s="138">
        <f t="shared" ref="CV133:CY133" si="330">CV124/CV113</f>
        <v>0.30155034657918406</v>
      </c>
      <c r="CW133" s="138">
        <f t="shared" si="330"/>
        <v>0.35573450666223899</v>
      </c>
      <c r="CX133" s="138">
        <f t="shared" si="330"/>
        <v>0.27714381607652289</v>
      </c>
      <c r="CY133" s="138">
        <f t="shared" si="330"/>
        <v>0.35019133796285468</v>
      </c>
      <c r="CZ133" s="138">
        <f t="shared" ref="CZ133:DA133" si="331">CZ124/CZ113</f>
        <v>0.41054976426316037</v>
      </c>
      <c r="DA133" s="138">
        <f t="shared" si="331"/>
        <v>0.47535400293939056</v>
      </c>
      <c r="DB133" s="138">
        <f t="shared" ref="DB133:DF133" si="332">DB124/DB113</f>
        <v>0.2755169018706925</v>
      </c>
      <c r="DC133" s="138">
        <f t="shared" si="332"/>
        <v>0.40980068870523417</v>
      </c>
      <c r="DD133" s="138">
        <f t="shared" si="332"/>
        <v>0.25206074766355135</v>
      </c>
      <c r="DE133" s="138">
        <f t="shared" si="332"/>
        <v>0.25119545832388718</v>
      </c>
      <c r="DF133" s="138">
        <f t="shared" si="332"/>
        <v>0.14697441925749177</v>
      </c>
      <c r="DG133" s="138"/>
      <c r="DH133" s="138"/>
      <c r="DI133" s="138"/>
      <c r="DJ133" s="138"/>
      <c r="DK133" s="138"/>
      <c r="DL133" s="138"/>
      <c r="DM133" s="138"/>
      <c r="DN133" s="138"/>
      <c r="DO133" s="138"/>
      <c r="DP133" s="49"/>
      <c r="DQ133" s="49"/>
      <c r="DU133" s="49"/>
      <c r="DV133" s="49">
        <f t="shared" ref="DV133:ES133" si="333">DV124/DV113</f>
        <v>0.15582299109941081</v>
      </c>
      <c r="DW133" s="49">
        <f t="shared" si="333"/>
        <v>0.16495359744536472</v>
      </c>
      <c r="DX133" s="49">
        <f t="shared" si="333"/>
        <v>0.18468070051300195</v>
      </c>
      <c r="DY133" s="49">
        <f t="shared" si="333"/>
        <v>0.1878598848368522</v>
      </c>
      <c r="DZ133" s="49">
        <f t="shared" si="333"/>
        <v>0.27089486119314826</v>
      </c>
      <c r="EA133" s="49">
        <f t="shared" si="333"/>
        <v>0.15952216348162515</v>
      </c>
      <c r="EB133" s="49">
        <f t="shared" si="333"/>
        <v>0.1913843240684385</v>
      </c>
      <c r="EC133" s="49">
        <f t="shared" si="333"/>
        <v>0.17914488775241605</v>
      </c>
      <c r="ED133" s="49">
        <f t="shared" si="333"/>
        <v>-5.8461400197717263E-2</v>
      </c>
      <c r="EE133" s="49">
        <f t="shared" si="333"/>
        <v>-0.12083223074887536</v>
      </c>
      <c r="EF133" s="49">
        <f t="shared" si="333"/>
        <v>2.1780437310342873E-2</v>
      </c>
      <c r="EG133" s="49">
        <f t="shared" si="333"/>
        <v>-2.3131310192324478E-2</v>
      </c>
      <c r="EH133" s="49">
        <f t="shared" si="333"/>
        <v>6.2863571506969598E-2</v>
      </c>
      <c r="EI133" s="49">
        <f t="shared" si="333"/>
        <v>0.13474220467519307</v>
      </c>
      <c r="EJ133" s="49">
        <f t="shared" si="333"/>
        <v>0.6799722748899939</v>
      </c>
      <c r="EK133" s="49">
        <f t="shared" si="333"/>
        <v>0.42731626743522116</v>
      </c>
      <c r="EL133" s="49">
        <f t="shared" si="333"/>
        <v>0.45948358741931056</v>
      </c>
      <c r="EM133" s="49">
        <f t="shared" si="333"/>
        <v>0.46153411821239787</v>
      </c>
      <c r="EN133" s="49">
        <f t="shared" si="333"/>
        <v>0.49278205150568966</v>
      </c>
      <c r="EO133" s="49">
        <f t="shared" si="333"/>
        <v>0</v>
      </c>
      <c r="EP133" s="49">
        <f t="shared" si="333"/>
        <v>0</v>
      </c>
      <c r="EQ133" s="49">
        <f t="shared" si="333"/>
        <v>0</v>
      </c>
      <c r="ER133" s="49">
        <f t="shared" si="333"/>
        <v>0</v>
      </c>
      <c r="ES133" s="49">
        <f t="shared" si="333"/>
        <v>0</v>
      </c>
      <c r="ET133" s="49"/>
      <c r="EU133" s="49"/>
      <c r="EV133" s="49"/>
      <c r="EW133" s="49"/>
      <c r="EX133" s="49"/>
      <c r="EY133" s="49"/>
      <c r="EZ133" s="49"/>
      <c r="FA133" s="49"/>
      <c r="FB133" s="49"/>
      <c r="FC133" s="49"/>
      <c r="FD133" s="49"/>
      <c r="FE133" s="49"/>
      <c r="FF133" s="49"/>
      <c r="FG133" s="49"/>
      <c r="FH133" s="49"/>
      <c r="FI133" s="49"/>
      <c r="FJ133" s="49"/>
      <c r="FK133" s="49"/>
      <c r="FL133" s="49"/>
      <c r="FM133" s="49"/>
      <c r="FN133" s="49"/>
      <c r="FO133" s="49"/>
      <c r="FP133" s="49"/>
      <c r="FQ133" s="91"/>
      <c r="FR133" s="49"/>
      <c r="FS133" s="92"/>
      <c r="FT133" s="49"/>
      <c r="FU133" s="14" t="s">
        <v>815</v>
      </c>
    </row>
    <row r="134" spans="2:179">
      <c r="B134" s="14" t="s">
        <v>1590</v>
      </c>
      <c r="AE134" s="49"/>
      <c r="AF134" s="49"/>
      <c r="AG134" s="49"/>
      <c r="AH134" s="49"/>
      <c r="AK134" s="49"/>
      <c r="AL134" s="49"/>
      <c r="AM134" s="49"/>
      <c r="AN134" s="49"/>
      <c r="AO134" s="49"/>
      <c r="AP134" s="49"/>
      <c r="AQ134" s="49"/>
      <c r="AR134" s="49"/>
      <c r="AS134" s="49"/>
      <c r="AT134" s="49"/>
      <c r="AU134" s="49"/>
      <c r="AV134" s="49"/>
      <c r="AW134" s="49"/>
      <c r="AX134" s="49"/>
      <c r="AY134" s="49"/>
      <c r="AZ134" s="49"/>
      <c r="BA134" s="49"/>
      <c r="BB134" s="49"/>
      <c r="BC134" s="49"/>
      <c r="BD134" s="49"/>
      <c r="BE134" s="49"/>
      <c r="BF134" s="49"/>
      <c r="BG134" s="49"/>
      <c r="BH134" s="49"/>
      <c r="BI134" s="49"/>
      <c r="BJ134" s="106"/>
      <c r="BK134" s="49"/>
      <c r="BL134" s="49"/>
      <c r="BM134" s="49"/>
      <c r="BN134" s="49"/>
      <c r="BO134" s="49"/>
      <c r="BP134" s="49"/>
      <c r="BQ134" s="49"/>
      <c r="BR134" s="49"/>
      <c r="BS134" s="49"/>
      <c r="BT134" s="49"/>
      <c r="BU134" s="49"/>
      <c r="BV134" s="49"/>
      <c r="BW134" s="49"/>
      <c r="BX134" s="49"/>
      <c r="BY134" s="49"/>
      <c r="BZ134" s="49"/>
      <c r="CA134" s="49"/>
      <c r="CB134" s="49"/>
      <c r="CC134" s="49"/>
      <c r="CD134" s="49"/>
      <c r="CE134" s="49"/>
      <c r="CF134" s="49"/>
      <c r="CG134" s="49"/>
      <c r="CH134" s="49"/>
      <c r="CI134" s="49"/>
      <c r="CJ134" s="49"/>
      <c r="CK134" s="138"/>
      <c r="CL134" s="138"/>
      <c r="CM134" s="138"/>
      <c r="CN134" s="138"/>
      <c r="CO134" s="138"/>
      <c r="CP134" s="138"/>
      <c r="CQ134" s="138"/>
      <c r="CR134" s="138"/>
      <c r="CS134" s="138"/>
      <c r="CT134" s="138"/>
      <c r="CU134" s="138"/>
      <c r="CV134" s="138"/>
      <c r="CW134" s="138"/>
      <c r="CX134" s="138"/>
      <c r="CY134" s="138"/>
      <c r="CZ134" s="138"/>
      <c r="DA134" s="138"/>
      <c r="DB134" s="138"/>
      <c r="DC134" s="138"/>
      <c r="DD134" s="138"/>
      <c r="DE134" s="138"/>
      <c r="DF134" s="138"/>
      <c r="DG134" s="138"/>
      <c r="DH134" s="138"/>
      <c r="DI134" s="138"/>
      <c r="DJ134" s="138"/>
      <c r="DK134" s="138"/>
      <c r="DL134" s="138"/>
      <c r="DM134" s="138"/>
      <c r="DN134" s="138"/>
      <c r="DO134" s="138"/>
      <c r="DP134" s="49"/>
      <c r="DQ134" s="49"/>
      <c r="DU134" s="49"/>
      <c r="DV134" s="49"/>
      <c r="DW134" s="49"/>
      <c r="DX134" s="49"/>
      <c r="DY134" s="49"/>
      <c r="DZ134" s="49"/>
      <c r="EA134" s="49"/>
      <c r="EB134" s="49"/>
      <c r="EC134" s="49"/>
      <c r="ED134" s="49"/>
      <c r="EE134" s="49"/>
      <c r="EF134" s="49"/>
      <c r="EG134" s="49"/>
      <c r="EH134" s="49"/>
      <c r="EI134" s="49"/>
      <c r="EJ134" s="49"/>
      <c r="EK134" s="49"/>
      <c r="EL134" s="49"/>
      <c r="EM134" s="49"/>
      <c r="EN134" s="49"/>
      <c r="EO134" s="49"/>
      <c r="EP134" s="49"/>
      <c r="EQ134" s="49"/>
      <c r="ER134" s="49"/>
      <c r="ES134" s="49"/>
      <c r="ET134" s="49"/>
      <c r="EU134" s="49"/>
      <c r="EV134" s="49">
        <f t="shared" ref="EV134:FF134" si="334">(EV3+EV6)/EV113</f>
        <v>3.3670033670033669E-3</v>
      </c>
      <c r="EW134" s="49">
        <f t="shared" si="334"/>
        <v>0.45311378187790746</v>
      </c>
      <c r="EX134" s="49">
        <f t="shared" si="334"/>
        <v>0.56714045819839276</v>
      </c>
      <c r="EY134" s="49">
        <f t="shared" si="334"/>
        <v>0.22007606437299715</v>
      </c>
      <c r="EZ134" s="49">
        <f t="shared" si="334"/>
        <v>0.13128630750721554</v>
      </c>
      <c r="FA134" s="49">
        <f t="shared" si="334"/>
        <v>0.12107748881930155</v>
      </c>
      <c r="FB134" s="49">
        <f t="shared" si="334"/>
        <v>6.765516970106214E-2</v>
      </c>
      <c r="FC134" s="49">
        <f t="shared" si="334"/>
        <v>3.7424475567449385E-2</v>
      </c>
      <c r="FD134" s="49">
        <f t="shared" si="334"/>
        <v>2.0238129122983384E-2</v>
      </c>
      <c r="FE134" s="49">
        <f t="shared" si="334"/>
        <v>1.3637824651193113E-2</v>
      </c>
      <c r="FF134" s="49">
        <f t="shared" si="334"/>
        <v>7.5321597341734053E-3</v>
      </c>
      <c r="FG134" s="49"/>
      <c r="FH134" s="49"/>
      <c r="FI134" s="49"/>
      <c r="FJ134" s="49"/>
      <c r="FK134" s="49"/>
      <c r="FL134" s="49"/>
      <c r="FM134" s="49"/>
      <c r="FN134" s="49"/>
      <c r="FO134" s="49"/>
      <c r="FP134" s="49"/>
      <c r="FQ134" s="91"/>
      <c r="FR134" s="49"/>
      <c r="FS134" s="92"/>
      <c r="FT134" s="49"/>
      <c r="FU134" s="14"/>
    </row>
    <row r="135" spans="2:179">
      <c r="AP135" s="62"/>
      <c r="FU135" s="14" t="s">
        <v>816</v>
      </c>
    </row>
    <row r="136" spans="2:179">
      <c r="B136" s="14" t="s">
        <v>817</v>
      </c>
      <c r="AP136" s="62"/>
      <c r="BA136" s="40">
        <v>-0.05</v>
      </c>
      <c r="BB136" s="40">
        <v>0.04</v>
      </c>
      <c r="BC136" s="40">
        <v>7.0000000000000007E-2</v>
      </c>
      <c r="EK136" s="40">
        <v>-0.04</v>
      </c>
      <c r="FU136" s="4" t="s">
        <v>818</v>
      </c>
    </row>
    <row r="137" spans="2:179" s="5" customFormat="1">
      <c r="B137" s="5" t="s">
        <v>819</v>
      </c>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c r="AG137" s="52"/>
      <c r="AH137" s="52"/>
      <c r="AI137" s="52"/>
      <c r="AJ137" s="52"/>
      <c r="AK137" s="52"/>
      <c r="AL137" s="50">
        <f t="shared" ref="AL137:BV137" si="335">AL113/AH113-1</f>
        <v>3.5866837425878817E-2</v>
      </c>
      <c r="AM137" s="50">
        <f t="shared" si="335"/>
        <v>4.8913957904351379E-2</v>
      </c>
      <c r="AN137" s="50">
        <f t="shared" si="335"/>
        <v>0.32599266654408199</v>
      </c>
      <c r="AO137" s="50">
        <f t="shared" si="335"/>
        <v>1.6507578226210073E-2</v>
      </c>
      <c r="AP137" s="50">
        <f t="shared" si="335"/>
        <v>-6.3468355154079115E-2</v>
      </c>
      <c r="AQ137" s="50">
        <f t="shared" si="335"/>
        <v>-4.7175287970912638E-2</v>
      </c>
      <c r="AR137" s="50">
        <f t="shared" si="335"/>
        <v>-9.5862699034194754E-2</v>
      </c>
      <c r="AS137" s="50">
        <f t="shared" si="335"/>
        <v>-6.5661699166523313E-2</v>
      </c>
      <c r="AT137" s="50">
        <f t="shared" si="335"/>
        <v>-8.7525849504377362E-3</v>
      </c>
      <c r="AU137" s="50">
        <f t="shared" si="335"/>
        <v>2.2288760622093395E-3</v>
      </c>
      <c r="AV137" s="50">
        <f t="shared" si="335"/>
        <v>0.15171905449296297</v>
      </c>
      <c r="AW137" s="50">
        <f t="shared" si="335"/>
        <v>1.7489539748954064E-2</v>
      </c>
      <c r="AX137" s="50">
        <f t="shared" si="335"/>
        <v>-5.2270977675134667E-2</v>
      </c>
      <c r="AY137" s="50">
        <f t="shared" si="335"/>
        <v>-7.2161831377442143E-2</v>
      </c>
      <c r="AZ137" s="50">
        <f t="shared" si="335"/>
        <v>-7.9591613559320984E-2</v>
      </c>
      <c r="BA137" s="50">
        <f t="shared" si="335"/>
        <v>-4.572744469117529E-2</v>
      </c>
      <c r="BB137" s="50">
        <f t="shared" si="335"/>
        <v>0.34188936723255625</v>
      </c>
      <c r="BC137" s="50">
        <f t="shared" si="335"/>
        <v>0.475303134146289</v>
      </c>
      <c r="BD137" s="50">
        <f t="shared" si="335"/>
        <v>0.49851718545671497</v>
      </c>
      <c r="BE137" s="50">
        <f t="shared" si="335"/>
        <v>0.44178229768163413</v>
      </c>
      <c r="BF137" s="50">
        <f t="shared" si="335"/>
        <v>0.10714285714285721</v>
      </c>
      <c r="BG137" s="50">
        <f t="shared" si="335"/>
        <v>-3.2022439081400123E-2</v>
      </c>
      <c r="BH137" s="50">
        <f t="shared" si="335"/>
        <v>8.1785653433292804E-3</v>
      </c>
      <c r="BI137" s="50">
        <f t="shared" si="335"/>
        <v>3.0665311734114464E-2</v>
      </c>
      <c r="BJ137" s="107">
        <f t="shared" si="335"/>
        <v>-8.4417714598141069E-2</v>
      </c>
      <c r="BK137" s="107">
        <f t="shared" si="335"/>
        <v>-6.8578327799577399E-2</v>
      </c>
      <c r="BL137" s="107">
        <f t="shared" si="335"/>
        <v>-0.15176609768463745</v>
      </c>
      <c r="BM137" s="107">
        <f t="shared" si="335"/>
        <v>-0.18942118083748982</v>
      </c>
      <c r="BN137" s="107">
        <f t="shared" si="335"/>
        <v>-8.9633345276483922E-2</v>
      </c>
      <c r="BO137" s="107">
        <f t="shared" si="335"/>
        <v>-0.12502430488041993</v>
      </c>
      <c r="BP137" s="107">
        <f t="shared" si="335"/>
        <v>-0.13840738526930996</v>
      </c>
      <c r="BQ137" s="107">
        <f t="shared" si="335"/>
        <v>-0.10017172295363486</v>
      </c>
      <c r="BR137" s="107">
        <f t="shared" si="335"/>
        <v>-0.11492292554936046</v>
      </c>
      <c r="BS137" s="107">
        <f t="shared" si="335"/>
        <v>-0.16325925925925922</v>
      </c>
      <c r="BT137" s="107">
        <f t="shared" si="335"/>
        <v>-2.0889539813458757E-2</v>
      </c>
      <c r="BU137" s="107">
        <f t="shared" si="335"/>
        <v>-6.302719465648865E-2</v>
      </c>
      <c r="BV137" s="107">
        <f t="shared" si="335"/>
        <v>-5.5702215963833068E-2</v>
      </c>
      <c r="BW137" s="107"/>
      <c r="BX137" s="107"/>
      <c r="BY137" s="107"/>
      <c r="BZ137" s="107"/>
      <c r="CA137" s="107"/>
      <c r="CB137" s="107"/>
      <c r="CC137" s="107"/>
      <c r="CD137" s="107"/>
      <c r="CE137" s="107"/>
      <c r="CF137" s="107"/>
      <c r="CG137" s="107"/>
      <c r="CH137" s="107"/>
      <c r="CI137" s="107"/>
      <c r="CJ137" s="107"/>
      <c r="CK137" s="107"/>
      <c r="CL137" s="107"/>
      <c r="CM137" s="107"/>
      <c r="CN137" s="139"/>
      <c r="CO137" s="139">
        <f t="shared" ref="CO137:CS137" si="336">CO113/CK113-1</f>
        <v>-4.6251034067834818E-2</v>
      </c>
      <c r="CP137" s="139">
        <f t="shared" si="336"/>
        <v>-9.1207536397373667E-2</v>
      </c>
      <c r="CQ137" s="139">
        <f t="shared" si="336"/>
        <v>-8.0116199067349569E-2</v>
      </c>
      <c r="CR137" s="139">
        <f t="shared" si="336"/>
        <v>-8.9794029159916633E-2</v>
      </c>
      <c r="CS137" s="139">
        <f t="shared" si="336"/>
        <v>-0.18963885822425486</v>
      </c>
      <c r="CT137" s="139">
        <f>CT113/CP113-1</f>
        <v>-8.6775561488927289E-2</v>
      </c>
      <c r="CU137" s="139">
        <f>CU113/CQ113-1</f>
        <v>0.20631596443114764</v>
      </c>
      <c r="CV137" s="139">
        <f>CV113/CR113-1</f>
        <v>0.60174591067039573</v>
      </c>
      <c r="CW137" s="139">
        <f t="shared" ref="CW137:DA137" si="337">CW113/CS113-1</f>
        <v>1.3441665855794493</v>
      </c>
      <c r="CX137" s="139">
        <f t="shared" si="337"/>
        <v>1.0497033278871788</v>
      </c>
      <c r="CY137" s="139">
        <f t="shared" si="337"/>
        <v>0.76784976163575736</v>
      </c>
      <c r="CZ137" s="139">
        <f t="shared" si="337"/>
        <v>0.46795068522144079</v>
      </c>
      <c r="DA137" s="139">
        <f t="shared" si="337"/>
        <v>-5.6668465402017199E-2</v>
      </c>
      <c r="DB137" s="139">
        <f t="shared" ref="DB137:DF137" si="338">DB113/CX113-1</f>
        <v>2.2654807853666803E-2</v>
      </c>
      <c r="DC137" s="139">
        <f t="shared" si="338"/>
        <v>-0.29271201103603073</v>
      </c>
      <c r="DD137" s="139">
        <f t="shared" si="338"/>
        <v>-0.54103407010107141</v>
      </c>
      <c r="DE137" s="139">
        <f t="shared" si="338"/>
        <v>-0.41771026762534225</v>
      </c>
      <c r="DF137" s="139">
        <f t="shared" si="338"/>
        <v>-0.41544962257958651</v>
      </c>
      <c r="DG137" s="139"/>
      <c r="DH137" s="139"/>
      <c r="DI137" s="139"/>
      <c r="DJ137" s="139"/>
      <c r="DK137" s="139"/>
      <c r="DL137" s="139"/>
      <c r="DM137" s="139"/>
      <c r="DN137" s="139"/>
      <c r="DO137" s="139"/>
      <c r="DP137" s="107"/>
      <c r="DQ137" s="107"/>
      <c r="DU137" s="52"/>
      <c r="DV137" s="52"/>
      <c r="DW137" s="56">
        <f t="shared" ref="DW137:EU137" si="339">DW113/DV113-1</f>
        <v>0.25623668045631187</v>
      </c>
      <c r="DX137" s="56">
        <f t="shared" si="339"/>
        <v>0.12823071549745535</v>
      </c>
      <c r="DY137" s="56">
        <f t="shared" si="339"/>
        <v>0.10596143640544842</v>
      </c>
      <c r="DZ137" s="56">
        <f t="shared" si="339"/>
        <v>8.3173384516954663E-2</v>
      </c>
      <c r="EA137" s="56">
        <f t="shared" si="339"/>
        <v>1.0212709460789791</v>
      </c>
      <c r="EB137" s="56">
        <f t="shared" si="339"/>
        <v>8.0285607249094504E-2</v>
      </c>
      <c r="EC137" s="56">
        <f t="shared" si="339"/>
        <v>-0.10079799824169877</v>
      </c>
      <c r="ED137" s="56">
        <f t="shared" si="339"/>
        <v>-0.16316323844620761</v>
      </c>
      <c r="EE137" s="56">
        <f t="shared" si="339"/>
        <v>0.35849734879122863</v>
      </c>
      <c r="EF137" s="56">
        <f t="shared" si="339"/>
        <v>0.16634691717385541</v>
      </c>
      <c r="EG137" s="56">
        <f t="shared" si="339"/>
        <v>-2.5297070417741985E-2</v>
      </c>
      <c r="EH137" s="56">
        <f t="shared" si="339"/>
        <v>6.0374174401349956E-2</v>
      </c>
      <c r="EI137" s="56">
        <f t="shared" si="339"/>
        <v>-8.1620568543518845E-2</v>
      </c>
      <c r="EJ137" s="56">
        <f t="shared" si="339"/>
        <v>-0.16481970706394067</v>
      </c>
      <c r="EK137" s="56">
        <f t="shared" si="339"/>
        <v>0.31574428504990526</v>
      </c>
      <c r="EL137" s="56">
        <f t="shared" si="339"/>
        <v>0.18779738437695426</v>
      </c>
      <c r="EM137" s="56">
        <f t="shared" si="339"/>
        <v>-4.7292038639381029E-2</v>
      </c>
      <c r="EN137" s="56">
        <f t="shared" si="339"/>
        <v>-0.17356559346468048</v>
      </c>
      <c r="EO137" s="56">
        <f t="shared" si="339"/>
        <v>0.4899029543961253</v>
      </c>
      <c r="EP137" s="56">
        <f t="shared" si="339"/>
        <v>-5.3158623919448922E-2</v>
      </c>
      <c r="EQ137" s="56">
        <f t="shared" si="339"/>
        <v>-0.1329587896653901</v>
      </c>
      <c r="ER137" s="56">
        <f t="shared" si="339"/>
        <v>-0.26137702699914322</v>
      </c>
      <c r="ES137" s="56">
        <f t="shared" si="339"/>
        <v>-6.4851868998751505E-2</v>
      </c>
      <c r="ET137" s="56">
        <f t="shared" si="339"/>
        <v>-0.1779029564027047</v>
      </c>
      <c r="EU137" s="56">
        <f t="shared" si="339"/>
        <v>1.1540613056770272</v>
      </c>
      <c r="EV137" s="56">
        <f t="shared" ref="EV137" si="340">EV113/EU113-1</f>
        <v>-0.11119315973571708</v>
      </c>
      <c r="EW137" s="56">
        <f t="shared" ref="EW137" si="341">EW113/EV113-1</f>
        <v>0.77842494206130586</v>
      </c>
      <c r="EX137" s="56">
        <f>EX113/EW113-1</f>
        <v>0.22992417164157053</v>
      </c>
      <c r="EY137" s="56">
        <f t="shared" ref="EY137:FK137" si="342">EY113/EX113-1</f>
        <v>-0.43230978369517403</v>
      </c>
      <c r="EZ137" s="56">
        <f t="shared" si="342"/>
        <v>-0.16184685001936827</v>
      </c>
      <c r="FA137" s="56">
        <f t="shared" si="342"/>
        <v>-6.8497687180410383E-2</v>
      </c>
      <c r="FB137" s="56">
        <f t="shared" si="342"/>
        <v>-0.10518671851472183</v>
      </c>
      <c r="FC137" s="56">
        <f t="shared" si="342"/>
        <v>-9.6110651181623319E-2</v>
      </c>
      <c r="FD137" s="56">
        <f t="shared" si="342"/>
        <v>-7.5396857584321797E-2</v>
      </c>
      <c r="FE137" s="56">
        <f t="shared" si="342"/>
        <v>-0.25801476259584988</v>
      </c>
      <c r="FF137" s="56">
        <f t="shared" si="342"/>
        <v>-9.4693611626536001E-2</v>
      </c>
      <c r="FG137" s="56">
        <f t="shared" si="342"/>
        <v>-0.17091296344624085</v>
      </c>
      <c r="FH137" s="56">
        <f t="shared" si="342"/>
        <v>-6.9852507387139662E-2</v>
      </c>
      <c r="FI137" s="56">
        <f t="shared" si="342"/>
        <v>-6.3143061007360668E-2</v>
      </c>
      <c r="FJ137" s="56">
        <f t="shared" si="342"/>
        <v>-5.7676084181673248E-2</v>
      </c>
      <c r="FK137" s="56">
        <f t="shared" si="342"/>
        <v>-5.2613471433047843E-2</v>
      </c>
      <c r="FL137" s="56"/>
      <c r="FM137" s="56"/>
      <c r="FN137" s="56"/>
      <c r="FO137" s="56"/>
      <c r="FP137" s="56"/>
      <c r="FQ137" s="93"/>
      <c r="FR137" s="56">
        <v>0</v>
      </c>
      <c r="FS137" s="94"/>
      <c r="FT137" s="56"/>
      <c r="FU137" s="14" t="s">
        <v>820</v>
      </c>
    </row>
    <row r="138" spans="2:179" s="5" customFormat="1">
      <c r="B138" s="5" t="s">
        <v>1397</v>
      </c>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c r="AG138" s="52"/>
      <c r="AH138" s="52"/>
      <c r="AI138" s="52"/>
      <c r="AJ138" s="52"/>
      <c r="AK138" s="52"/>
      <c r="AL138" s="50"/>
      <c r="AM138" s="50"/>
      <c r="AN138" s="50"/>
      <c r="AO138" s="50"/>
      <c r="AP138" s="50"/>
      <c r="AQ138" s="50"/>
      <c r="AR138" s="50"/>
      <c r="AS138" s="50"/>
      <c r="AT138" s="50"/>
      <c r="AU138" s="50"/>
      <c r="AV138" s="50"/>
      <c r="AW138" s="50"/>
      <c r="AX138" s="50"/>
      <c r="AY138" s="50"/>
      <c r="AZ138" s="50"/>
      <c r="BA138" s="50"/>
      <c r="BB138" s="50"/>
      <c r="BC138" s="50"/>
      <c r="BD138" s="50"/>
      <c r="BE138" s="50"/>
      <c r="BF138" s="50"/>
      <c r="BG138" s="50"/>
      <c r="BH138" s="50"/>
      <c r="BI138" s="50"/>
      <c r="BJ138" s="107"/>
      <c r="BK138" s="107"/>
      <c r="BL138" s="107"/>
      <c r="BM138" s="107"/>
      <c r="BN138" s="107"/>
      <c r="BO138" s="107"/>
      <c r="BP138" s="107"/>
      <c r="BQ138" s="107"/>
      <c r="BR138" s="107"/>
      <c r="BS138" s="107"/>
      <c r="BT138" s="107"/>
      <c r="BU138" s="107"/>
      <c r="BV138" s="107"/>
      <c r="BW138" s="107"/>
      <c r="BX138" s="107"/>
      <c r="BY138" s="107"/>
      <c r="BZ138" s="107"/>
      <c r="CA138" s="107"/>
      <c r="CB138" s="107"/>
      <c r="CC138" s="107"/>
      <c r="CD138" s="107"/>
      <c r="CE138" s="107"/>
      <c r="CF138" s="107"/>
      <c r="CG138" s="107"/>
      <c r="CH138" s="107"/>
      <c r="CI138" s="107"/>
      <c r="CJ138" s="107"/>
      <c r="CK138" s="107"/>
      <c r="CL138" s="107"/>
      <c r="CM138" s="107"/>
      <c r="CN138" s="139"/>
      <c r="CO138" s="139"/>
      <c r="CP138" s="139">
        <v>-0.01</v>
      </c>
      <c r="CQ138" s="139"/>
      <c r="CR138" s="139"/>
      <c r="CS138" s="139"/>
      <c r="CT138" s="139"/>
      <c r="CU138" s="139"/>
      <c r="CV138" s="139"/>
      <c r="CW138" s="139"/>
      <c r="CX138" s="139">
        <v>1.06</v>
      </c>
      <c r="CY138" s="139">
        <v>0.82</v>
      </c>
      <c r="CZ138" s="139">
        <v>0.53</v>
      </c>
      <c r="DA138" s="139">
        <v>-0.02</v>
      </c>
      <c r="DB138" s="139">
        <v>0.05</v>
      </c>
      <c r="DC138" s="139"/>
      <c r="DD138" s="139"/>
      <c r="DE138" s="139"/>
      <c r="DF138" s="139"/>
      <c r="DG138" s="139"/>
      <c r="DH138" s="139"/>
      <c r="DI138" s="139"/>
      <c r="DJ138" s="139"/>
      <c r="DK138" s="139"/>
      <c r="DL138" s="139"/>
      <c r="DM138" s="139"/>
      <c r="DN138" s="139"/>
      <c r="DO138" s="139"/>
      <c r="DP138" s="107"/>
      <c r="DQ138" s="107"/>
      <c r="DU138" s="52"/>
      <c r="DV138" s="52"/>
      <c r="DW138" s="56"/>
      <c r="DX138" s="56"/>
      <c r="DY138" s="56"/>
      <c r="DZ138" s="56"/>
      <c r="EA138" s="56"/>
      <c r="EB138" s="56"/>
      <c r="EC138" s="56"/>
      <c r="ED138" s="56"/>
      <c r="EE138" s="56"/>
      <c r="EF138" s="56"/>
      <c r="EG138" s="56"/>
      <c r="EH138" s="56"/>
      <c r="EI138" s="56"/>
      <c r="EJ138" s="56"/>
      <c r="EK138" s="56"/>
      <c r="EL138" s="56"/>
      <c r="EM138" s="56"/>
      <c r="EN138" s="56"/>
      <c r="EO138" s="56"/>
      <c r="EP138" s="56"/>
      <c r="EQ138" s="56"/>
      <c r="ER138" s="56"/>
      <c r="ES138" s="56"/>
      <c r="ET138" s="56"/>
      <c r="EU138" s="56"/>
      <c r="EV138" s="56"/>
      <c r="EW138" s="56">
        <v>0.92</v>
      </c>
      <c r="EX138" s="56"/>
      <c r="EY138" s="56"/>
      <c r="EZ138" s="56"/>
      <c r="FA138" s="56"/>
      <c r="FB138" s="56"/>
      <c r="FC138" s="56"/>
      <c r="FD138" s="56"/>
      <c r="FE138" s="56"/>
      <c r="FF138" s="56"/>
      <c r="FG138" s="56"/>
      <c r="FH138" s="56"/>
      <c r="FI138" s="56"/>
      <c r="FJ138" s="56"/>
      <c r="FK138" s="56"/>
      <c r="FL138" s="56"/>
      <c r="FM138" s="56"/>
      <c r="FN138" s="56"/>
      <c r="FO138" s="56"/>
      <c r="FP138" s="56"/>
      <c r="FQ138" s="93"/>
      <c r="FR138" s="56"/>
      <c r="FS138" s="94"/>
      <c r="FT138" s="56"/>
      <c r="FU138" s="194" t="s">
        <v>829</v>
      </c>
    </row>
    <row r="139" spans="2:179" s="5" customFormat="1">
      <c r="B139" s="5" t="s">
        <v>821</v>
      </c>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c r="AG139" s="52"/>
      <c r="AH139" s="52"/>
      <c r="AI139" s="52"/>
      <c r="AJ139" s="52"/>
      <c r="AK139" s="52"/>
      <c r="AL139" s="50"/>
      <c r="AM139" s="50"/>
      <c r="AN139" s="50"/>
      <c r="AO139" s="50"/>
      <c r="AP139" s="50"/>
      <c r="AQ139" s="58">
        <f t="shared" ref="AQ139:BV139" si="343">AQ116/AM116-1</f>
        <v>-2.444771723122241E-2</v>
      </c>
      <c r="AR139" s="58">
        <f t="shared" si="343"/>
        <v>-2.1060842433697324E-2</v>
      </c>
      <c r="AS139" s="58">
        <f t="shared" si="343"/>
        <v>-3.0125299920021331E-2</v>
      </c>
      <c r="AT139" s="58">
        <f t="shared" si="343"/>
        <v>-6.576063130206089E-3</v>
      </c>
      <c r="AU139" s="58">
        <f t="shared" si="343"/>
        <v>2.9287439613526534E-2</v>
      </c>
      <c r="AV139" s="58">
        <f t="shared" si="343"/>
        <v>-1.8326693227091684E-2</v>
      </c>
      <c r="AW139" s="58">
        <f t="shared" si="343"/>
        <v>-5.7449147883452456E-2</v>
      </c>
      <c r="AX139" s="58">
        <f t="shared" si="343"/>
        <v>-0.22550750220653137</v>
      </c>
      <c r="AY139" s="58">
        <f t="shared" si="343"/>
        <v>-0.16984452918744497</v>
      </c>
      <c r="AZ139" s="58">
        <f t="shared" si="343"/>
        <v>-0.11688311688311692</v>
      </c>
      <c r="BA139" s="58">
        <f t="shared" si="343"/>
        <v>-5.9492563429571321E-2</v>
      </c>
      <c r="BB139" s="58">
        <f t="shared" si="343"/>
        <v>0.52279202279202286</v>
      </c>
      <c r="BC139" s="58">
        <f t="shared" si="343"/>
        <v>0.54593639575971742</v>
      </c>
      <c r="BD139" s="58">
        <f t="shared" si="343"/>
        <v>0.44822303921568629</v>
      </c>
      <c r="BE139" s="58">
        <f t="shared" si="343"/>
        <v>0.43100775193798446</v>
      </c>
      <c r="BF139" s="58">
        <f t="shared" si="343"/>
        <v>7.4462114125350753E-2</v>
      </c>
      <c r="BG139" s="58">
        <f t="shared" si="343"/>
        <v>2.8799999999999937E-2</v>
      </c>
      <c r="BH139" s="58">
        <f t="shared" si="343"/>
        <v>4.7175798603765529E-2</v>
      </c>
      <c r="BI139" s="58">
        <f t="shared" si="343"/>
        <v>-1.1917659804983716E-2</v>
      </c>
      <c r="BJ139" s="129">
        <f t="shared" si="343"/>
        <v>-6.8953508619188586E-2</v>
      </c>
      <c r="BK139" s="129">
        <f t="shared" si="343"/>
        <v>-8.6647411686291975E-2</v>
      </c>
      <c r="BL139" s="129">
        <f t="shared" si="343"/>
        <v>-0.20464646464646463</v>
      </c>
      <c r="BM139" s="129">
        <f t="shared" si="343"/>
        <v>-0.18223684210526314</v>
      </c>
      <c r="BN139" s="129">
        <f t="shared" si="343"/>
        <v>-0.1288573031606508</v>
      </c>
      <c r="BO139" s="129">
        <f t="shared" si="343"/>
        <v>-0.15008513743614693</v>
      </c>
      <c r="BP139" s="129">
        <f t="shared" si="343"/>
        <v>-9.8298196596393161E-2</v>
      </c>
      <c r="BQ139" s="129">
        <f t="shared" si="343"/>
        <v>-0.10136765888978283</v>
      </c>
      <c r="BR139" s="129">
        <f t="shared" si="343"/>
        <v>-0.12129669386002573</v>
      </c>
      <c r="BS139" s="129">
        <f t="shared" si="343"/>
        <v>-0.13566113337149399</v>
      </c>
      <c r="BT139" s="129">
        <f t="shared" si="343"/>
        <v>-1.802816901408455E-2</v>
      </c>
      <c r="BU139" s="129">
        <f t="shared" si="343"/>
        <v>-5.0000000000000044E-2</v>
      </c>
      <c r="BV139" s="129">
        <f t="shared" si="343"/>
        <v>-5.0000000000000044E-2</v>
      </c>
      <c r="BW139" s="129"/>
      <c r="BX139" s="129"/>
      <c r="BY139" s="129"/>
      <c r="BZ139" s="129"/>
      <c r="CA139" s="129"/>
      <c r="CB139" s="129"/>
      <c r="CC139" s="129"/>
      <c r="CD139" s="129"/>
      <c r="CE139" s="129"/>
      <c r="CF139" s="129"/>
      <c r="CG139" s="129"/>
      <c r="CH139" s="129"/>
      <c r="CI139" s="129"/>
      <c r="CJ139" s="129"/>
      <c r="CK139" s="129"/>
      <c r="CL139" s="129"/>
      <c r="CM139" s="129"/>
      <c r="CN139" s="140"/>
      <c r="CO139" s="140">
        <f t="shared" ref="CO139:CS139" si="344">+CO116/CK116-1</f>
        <v>-7.9227888216652276E-2</v>
      </c>
      <c r="CP139" s="140">
        <f t="shared" si="344"/>
        <v>2.5705645161290258E-2</v>
      </c>
      <c r="CQ139" s="140">
        <f t="shared" si="344"/>
        <v>-0.17094533373603138</v>
      </c>
      <c r="CR139" s="140">
        <f t="shared" si="344"/>
        <v>-0.18937644341801385</v>
      </c>
      <c r="CS139" s="140">
        <f t="shared" si="344"/>
        <v>-0.16833541927409257</v>
      </c>
      <c r="CT139" s="140">
        <f t="shared" ref="CT139:DA139" si="345">+CT116/CP116-1</f>
        <v>-0.12039312039312045</v>
      </c>
      <c r="CU139" s="140">
        <f t="shared" si="345"/>
        <v>-3.715846994535521E-2</v>
      </c>
      <c r="CV139" s="140">
        <f t="shared" si="345"/>
        <v>-1.0683760683760646E-2</v>
      </c>
      <c r="CW139" s="140">
        <f t="shared" si="345"/>
        <v>2.2949586155003754E-2</v>
      </c>
      <c r="CX139" s="140">
        <f t="shared" si="345"/>
        <v>0.10083798882681561</v>
      </c>
      <c r="CY139" s="140">
        <f t="shared" si="345"/>
        <v>-5.5618615209988675E-2</v>
      </c>
      <c r="CZ139" s="140">
        <f t="shared" si="345"/>
        <v>4.3916486681065514E-2</v>
      </c>
      <c r="DA139" s="140">
        <f t="shared" si="345"/>
        <v>0.19124678190511224</v>
      </c>
      <c r="DB139" s="140">
        <f t="shared" ref="DB139:DF139" si="346">+DB116/CX116-1</f>
        <v>0.1200202994163917</v>
      </c>
      <c r="DC139" s="140">
        <f t="shared" si="346"/>
        <v>5.0000000000000044E-2</v>
      </c>
      <c r="DD139" s="140">
        <f t="shared" si="346"/>
        <v>5.0000000000000044E-2</v>
      </c>
      <c r="DE139" s="140">
        <f t="shared" si="346"/>
        <v>5.0000000000000044E-2</v>
      </c>
      <c r="DF139" s="140">
        <f t="shared" si="346"/>
        <v>5.0000000000000044E-2</v>
      </c>
      <c r="DG139" s="140"/>
      <c r="DH139" s="140"/>
      <c r="DI139" s="140"/>
      <c r="DJ139" s="140"/>
      <c r="DK139" s="140"/>
      <c r="DL139" s="140"/>
      <c r="DM139" s="140"/>
      <c r="DN139" s="140"/>
      <c r="DO139" s="140"/>
      <c r="DP139" s="129"/>
      <c r="DQ139" s="129"/>
      <c r="DU139" s="52"/>
      <c r="DV139" s="52"/>
      <c r="DW139" s="52"/>
      <c r="DX139" s="52"/>
      <c r="DY139" s="52"/>
      <c r="DZ139" s="52"/>
      <c r="EA139" s="52"/>
      <c r="EB139" s="52"/>
      <c r="EC139" s="52"/>
      <c r="ED139" s="52"/>
      <c r="EE139" s="52"/>
      <c r="EF139" s="52"/>
      <c r="EG139" s="52"/>
      <c r="EH139" s="52"/>
      <c r="EI139" s="52"/>
      <c r="EJ139" s="52"/>
      <c r="EK139" s="45"/>
      <c r="EL139" s="45"/>
      <c r="EM139" s="45"/>
      <c r="EN139" s="45"/>
      <c r="EO139" s="45"/>
      <c r="EP139" s="45"/>
      <c r="EQ139" s="45"/>
      <c r="ER139" s="45"/>
      <c r="ES139" s="45"/>
      <c r="ET139" s="45"/>
      <c r="EU139" s="45"/>
      <c r="EV139" s="56"/>
      <c r="EW139" s="56">
        <f t="shared" ref="EW139:EX139" si="347">+EW116/EV116-1</f>
        <v>2.4595030107709359E-2</v>
      </c>
      <c r="EX139" s="56">
        <f t="shared" si="347"/>
        <v>8.0125817399221866E-2</v>
      </c>
      <c r="EY139" s="56">
        <f>+EY116/EX116-1</f>
        <v>5.0000000000000044E-2</v>
      </c>
      <c r="EZ139" s="56">
        <f t="shared" ref="EZ139:FF139" si="348">+EZ116/EY116-1</f>
        <v>-9.9999999999999978E-2</v>
      </c>
      <c r="FA139" s="56">
        <f t="shared" si="348"/>
        <v>-9.9999999999999978E-2</v>
      </c>
      <c r="FB139" s="56">
        <f t="shared" si="348"/>
        <v>-9.9999999999999978E-2</v>
      </c>
      <c r="FC139" s="56">
        <f t="shared" si="348"/>
        <v>-9.9999999999999978E-2</v>
      </c>
      <c r="FD139" s="56">
        <f t="shared" si="348"/>
        <v>-9.9999999999999978E-2</v>
      </c>
      <c r="FE139" s="56">
        <f t="shared" si="348"/>
        <v>-9.9999999999999978E-2</v>
      </c>
      <c r="FF139" s="56">
        <f t="shared" si="348"/>
        <v>-9.9999999999999978E-2</v>
      </c>
      <c r="FG139" s="45"/>
      <c r="FH139" s="45"/>
      <c r="FI139" s="45"/>
      <c r="FJ139" s="45"/>
      <c r="FK139" s="45"/>
      <c r="FL139" s="45"/>
      <c r="FM139" s="45"/>
      <c r="FN139" s="45"/>
      <c r="FO139" s="45"/>
      <c r="FP139" s="45"/>
      <c r="FQ139" s="87"/>
      <c r="FR139" s="45"/>
      <c r="FS139" s="88"/>
      <c r="FT139" s="45"/>
      <c r="FU139" s="14" t="s">
        <v>822</v>
      </c>
    </row>
    <row r="140" spans="2:179">
      <c r="B140" s="14" t="s">
        <v>823</v>
      </c>
      <c r="AB140" s="58"/>
      <c r="AC140" s="58"/>
      <c r="AD140" s="58"/>
      <c r="AE140" s="58"/>
      <c r="AF140" s="58"/>
      <c r="AG140" s="58"/>
      <c r="AH140" s="58"/>
      <c r="AI140" s="58"/>
      <c r="AJ140" s="58"/>
      <c r="AK140" s="58"/>
      <c r="AL140" s="58"/>
      <c r="AM140" s="58"/>
      <c r="AN140" s="58"/>
      <c r="AO140" s="58"/>
      <c r="AP140" s="130"/>
      <c r="AQ140" s="58"/>
      <c r="AR140" s="58"/>
      <c r="AS140" s="58"/>
      <c r="AT140" s="58"/>
      <c r="AU140" s="58"/>
      <c r="AV140" s="58"/>
      <c r="AW140" s="58"/>
      <c r="AX140" s="58"/>
      <c r="AY140" s="58"/>
      <c r="AZ140" s="58"/>
      <c r="BA140" s="58"/>
      <c r="BB140" s="129">
        <f t="shared" ref="BB140:BV140" si="349">BB5/AX5-1</f>
        <v>-0.52404643449419575</v>
      </c>
      <c r="BC140" s="129">
        <f t="shared" si="349"/>
        <v>6.8044788975021531E-2</v>
      </c>
      <c r="BD140" s="129">
        <f t="shared" si="349"/>
        <v>0.14852319059742336</v>
      </c>
      <c r="BE140" s="129">
        <f t="shared" si="349"/>
        <v>0.30571428571428561</v>
      </c>
      <c r="BF140" s="131">
        <f t="shared" si="349"/>
        <v>2.6550522648083623</v>
      </c>
      <c r="BG140" s="129">
        <f t="shared" si="349"/>
        <v>0.42555831265508681</v>
      </c>
      <c r="BH140" s="129">
        <f t="shared" si="349"/>
        <v>8.4444444444444544E-2</v>
      </c>
      <c r="BI140" s="129">
        <f t="shared" si="349"/>
        <v>0.20787746170678334</v>
      </c>
      <c r="BJ140" s="129">
        <f t="shared" si="349"/>
        <v>-0.12678741658722592</v>
      </c>
      <c r="BK140" s="129">
        <f t="shared" si="349"/>
        <v>-6.0922541340295955E-2</v>
      </c>
      <c r="BL140" s="129">
        <f t="shared" si="349"/>
        <v>2.4590163934426146E-2</v>
      </c>
      <c r="BM140" s="129">
        <f t="shared" si="349"/>
        <v>-0.14039855072463769</v>
      </c>
      <c r="BN140" s="129">
        <f t="shared" si="349"/>
        <v>0.18886462882096078</v>
      </c>
      <c r="BO140" s="129">
        <f t="shared" si="349"/>
        <v>-0.14087117701575536</v>
      </c>
      <c r="BP140" s="129">
        <f t="shared" si="349"/>
        <v>-3.1000000000000028E-2</v>
      </c>
      <c r="BQ140" s="129">
        <f t="shared" si="349"/>
        <v>1.0537407797681864E-2</v>
      </c>
      <c r="BR140" s="129">
        <f t="shared" si="349"/>
        <v>2.7548209366391241E-2</v>
      </c>
      <c r="BS140" s="129">
        <f t="shared" si="349"/>
        <v>0</v>
      </c>
      <c r="BT140" s="129">
        <f t="shared" si="349"/>
        <v>0.13209494324045412</v>
      </c>
      <c r="BU140" s="129">
        <f t="shared" si="349"/>
        <v>1.0000000000000009E-2</v>
      </c>
      <c r="BV140" s="129">
        <f t="shared" si="349"/>
        <v>1.0000000000000009E-2</v>
      </c>
      <c r="BW140" s="129"/>
      <c r="BX140" s="129"/>
      <c r="BY140" s="129"/>
      <c r="BZ140" s="129"/>
      <c r="CA140" s="129"/>
      <c r="CB140" s="129"/>
      <c r="CC140" s="129"/>
      <c r="CD140" s="129"/>
      <c r="CE140" s="129"/>
      <c r="CF140" s="129"/>
      <c r="CG140" s="129"/>
      <c r="CH140" s="129"/>
      <c r="CI140" s="129"/>
      <c r="CJ140" s="129"/>
      <c r="CK140" s="129"/>
      <c r="CL140" s="129"/>
      <c r="CM140" s="129"/>
      <c r="CN140" s="140"/>
      <c r="CO140" s="140">
        <f t="shared" ref="CO140:DF140" si="350">+CO5/CK5-1</f>
        <v>-3.4337349397590367E-2</v>
      </c>
      <c r="CP140" s="140">
        <f t="shared" si="350"/>
        <v>4.4312169312169303E-2</v>
      </c>
      <c r="CQ140" s="140">
        <f t="shared" si="350"/>
        <v>-2.4226110363391617E-2</v>
      </c>
      <c r="CR140" s="140">
        <f t="shared" si="350"/>
        <v>-5.3435114503816772E-2</v>
      </c>
      <c r="CS140" s="140">
        <f t="shared" si="350"/>
        <v>-4.3044291952588853E-2</v>
      </c>
      <c r="CT140" s="140">
        <f t="shared" si="350"/>
        <v>0.10829639012032932</v>
      </c>
      <c r="CU140" s="140">
        <f t="shared" si="350"/>
        <v>-0.11448275862068968</v>
      </c>
      <c r="CV140" s="140">
        <f t="shared" si="350"/>
        <v>0.11200716845878134</v>
      </c>
      <c r="CW140" s="140">
        <f t="shared" si="350"/>
        <v>-5.6714471968709268E-2</v>
      </c>
      <c r="CX140" s="140">
        <f t="shared" si="350"/>
        <v>-0.25600000000000001</v>
      </c>
      <c r="CY140" s="140">
        <f t="shared" si="350"/>
        <v>0.21884735202492211</v>
      </c>
      <c r="CZ140" s="140">
        <f t="shared" si="350"/>
        <v>0.15149073327961315</v>
      </c>
      <c r="DA140" s="140">
        <f t="shared" si="350"/>
        <v>0.11057360055286791</v>
      </c>
      <c r="DB140" s="140">
        <f t="shared" si="350"/>
        <v>0.33333333333333326</v>
      </c>
      <c r="DC140" s="140">
        <f t="shared" si="350"/>
        <v>2.3642172523961724E-2</v>
      </c>
      <c r="DD140" s="140">
        <f t="shared" si="350"/>
        <v>-2.8691392582225306E-2</v>
      </c>
      <c r="DE140" s="140">
        <f t="shared" si="350"/>
        <v>0.15370255133789668</v>
      </c>
      <c r="DF140" s="140">
        <f t="shared" si="350"/>
        <v>-7.5460829493087522E-2</v>
      </c>
      <c r="DG140" s="140"/>
      <c r="DH140" s="140"/>
      <c r="DI140" s="140"/>
      <c r="DJ140" s="140"/>
      <c r="DK140" s="140"/>
      <c r="DL140" s="140"/>
      <c r="DM140" s="140"/>
      <c r="DN140" s="140"/>
      <c r="DO140" s="140"/>
      <c r="DP140" s="129"/>
      <c r="DQ140" s="129"/>
      <c r="EA140" s="40"/>
      <c r="EB140" s="40"/>
      <c r="EC140" s="40"/>
      <c r="ED140" s="40"/>
      <c r="EE140" s="40">
        <f t="shared" ref="EE140:ES140" si="351">EE5/ED5-1</f>
        <v>0.46038610038610051</v>
      </c>
      <c r="EF140" s="40">
        <f t="shared" si="351"/>
        <v>0.1142131979695431</v>
      </c>
      <c r="EG140" s="40">
        <f t="shared" si="351"/>
        <v>0.43156795747911936</v>
      </c>
      <c r="EH140" s="40">
        <f t="shared" si="351"/>
        <v>0.3003381290194258</v>
      </c>
      <c r="EI140" s="40">
        <f t="shared" si="351"/>
        <v>0.24356294294600533</v>
      </c>
      <c r="EJ140" s="40">
        <f t="shared" si="351"/>
        <v>0.11357113571135713</v>
      </c>
      <c r="EK140" s="40">
        <f t="shared" si="351"/>
        <v>-0.32795839469808552</v>
      </c>
      <c r="EL140" s="40">
        <f t="shared" si="351"/>
        <v>1.010119078599546</v>
      </c>
      <c r="EM140" s="40">
        <f t="shared" si="351"/>
        <v>0.12973562278550022</v>
      </c>
      <c r="EN140" s="40">
        <f t="shared" si="351"/>
        <v>-6.755126658624877E-3</v>
      </c>
      <c r="EO140" s="40">
        <f t="shared" si="351"/>
        <v>-3.4734029633228025E-2</v>
      </c>
      <c r="EP140" s="40">
        <f t="shared" si="351"/>
        <v>3.7438349270256799E-2</v>
      </c>
      <c r="EQ140" s="40">
        <f t="shared" si="351"/>
        <v>4.0000000000000036E-2</v>
      </c>
      <c r="ER140" s="40">
        <f t="shared" si="351"/>
        <v>-1</v>
      </c>
      <c r="ES140" s="40" t="e">
        <f t="shared" si="351"/>
        <v>#DIV/0!</v>
      </c>
      <c r="ET140" s="40"/>
      <c r="EU140" s="40"/>
      <c r="EV140" s="40">
        <f t="shared" ref="EV140:FK140" si="352">EV5/EU5-1</f>
        <v>5.1308363263213863E-4</v>
      </c>
      <c r="EW140" s="40">
        <f t="shared" si="352"/>
        <v>-9.8461538461538489E-2</v>
      </c>
      <c r="EX140" s="40">
        <f t="shared" si="352"/>
        <v>0.201554797117937</v>
      </c>
      <c r="EY140" s="40">
        <f t="shared" si="352"/>
        <v>1.7673978223133879E-2</v>
      </c>
      <c r="EZ140" s="40">
        <f t="shared" si="352"/>
        <v>1.0000000000000009E-2</v>
      </c>
      <c r="FA140" s="40">
        <f t="shared" si="352"/>
        <v>1.0000000000000009E-2</v>
      </c>
      <c r="FB140" s="40">
        <f t="shared" si="352"/>
        <v>1.0000000000000009E-2</v>
      </c>
      <c r="FC140" s="40">
        <f t="shared" si="352"/>
        <v>1.0000000000000009E-2</v>
      </c>
      <c r="FD140" s="40">
        <f t="shared" si="352"/>
        <v>1.0000000000000009E-2</v>
      </c>
      <c r="FE140" s="40">
        <f t="shared" si="352"/>
        <v>1.0000000000000009E-2</v>
      </c>
      <c r="FF140" s="40">
        <f t="shared" si="352"/>
        <v>1.0000000000000009E-2</v>
      </c>
      <c r="FG140" s="40">
        <f t="shared" si="352"/>
        <v>1.0000000000000009E-2</v>
      </c>
      <c r="FH140" s="40">
        <f t="shared" si="352"/>
        <v>1.0000000000000009E-2</v>
      </c>
      <c r="FI140" s="40">
        <f t="shared" si="352"/>
        <v>1.0000000000000009E-2</v>
      </c>
      <c r="FJ140" s="40">
        <f t="shared" si="352"/>
        <v>1.0000000000000009E-2</v>
      </c>
      <c r="FK140" s="40">
        <f t="shared" si="352"/>
        <v>1.0000000000000009E-2</v>
      </c>
      <c r="FL140" s="40"/>
      <c r="FM140" s="40"/>
      <c r="FN140" s="40"/>
      <c r="FO140" s="40"/>
      <c r="FP140" s="40"/>
      <c r="FQ140" s="95"/>
      <c r="FR140" s="40"/>
      <c r="FS140" s="96"/>
      <c r="FT140" s="40"/>
      <c r="FU140" s="14" t="s">
        <v>824</v>
      </c>
    </row>
    <row r="141" spans="2:179">
      <c r="B141" s="14" t="s">
        <v>1582</v>
      </c>
      <c r="AB141" s="58"/>
      <c r="AC141" s="58"/>
      <c r="AD141" s="58"/>
      <c r="AE141" s="58"/>
      <c r="AF141" s="58"/>
      <c r="AG141" s="58"/>
      <c r="AH141" s="58"/>
      <c r="AI141" s="58"/>
      <c r="AJ141" s="58"/>
      <c r="AK141" s="58"/>
      <c r="AL141" s="58"/>
      <c r="AM141" s="58"/>
      <c r="AN141" s="58"/>
      <c r="AO141" s="58"/>
      <c r="AP141" s="130"/>
      <c r="AQ141" s="58"/>
      <c r="AR141" s="58"/>
      <c r="AS141" s="58"/>
      <c r="AT141" s="58"/>
      <c r="AU141" s="58"/>
      <c r="AV141" s="58"/>
      <c r="AW141" s="58"/>
      <c r="AX141" s="58"/>
      <c r="AY141" s="58"/>
      <c r="AZ141" s="58"/>
      <c r="BA141" s="58"/>
      <c r="BB141" s="129"/>
      <c r="BC141" s="129"/>
      <c r="BD141" s="129"/>
      <c r="BE141" s="129"/>
      <c r="BF141" s="131"/>
      <c r="BG141" s="129"/>
      <c r="BH141" s="129"/>
      <c r="BI141" s="129"/>
      <c r="BJ141" s="129"/>
      <c r="BK141" s="129"/>
      <c r="BL141" s="129"/>
      <c r="BM141" s="129"/>
      <c r="BN141" s="129"/>
      <c r="BO141" s="129"/>
      <c r="BP141" s="129"/>
      <c r="BQ141" s="129"/>
      <c r="BR141" s="129"/>
      <c r="BS141" s="129"/>
      <c r="BT141" s="129"/>
      <c r="BU141" s="129"/>
      <c r="BV141" s="129"/>
      <c r="BW141" s="129"/>
      <c r="BX141" s="129"/>
      <c r="BY141" s="129"/>
      <c r="BZ141" s="129"/>
      <c r="CA141" s="129"/>
      <c r="CB141" s="129"/>
      <c r="CC141" s="129"/>
      <c r="CD141" s="129"/>
      <c r="CE141" s="129"/>
      <c r="CF141" s="129"/>
      <c r="CG141" s="129"/>
      <c r="CH141" s="129"/>
      <c r="CI141" s="129"/>
      <c r="CJ141" s="129"/>
      <c r="CK141" s="129"/>
      <c r="CL141" s="129"/>
      <c r="CM141" s="129"/>
      <c r="CN141" s="140"/>
      <c r="CO141" s="140">
        <f t="shared" ref="CO141:DF141" si="353">+CO4/CK4-1</f>
        <v>0.17816091954022983</v>
      </c>
      <c r="CP141" s="140">
        <f t="shared" si="353"/>
        <v>0.20769230769230762</v>
      </c>
      <c r="CQ141" s="140">
        <f t="shared" si="353"/>
        <v>0.28585558852621173</v>
      </c>
      <c r="CR141" s="140">
        <f t="shared" si="353"/>
        <v>0.17235023041474662</v>
      </c>
      <c r="CS141" s="140">
        <f t="shared" si="353"/>
        <v>8.6829268292683004E-2</v>
      </c>
      <c r="CT141" s="140">
        <f t="shared" si="353"/>
        <v>0.14831665150136497</v>
      </c>
      <c r="CU141" s="140">
        <f t="shared" si="353"/>
        <v>0.26384615384615384</v>
      </c>
      <c r="CV141" s="140">
        <f t="shared" si="353"/>
        <v>0.16430817610062887</v>
      </c>
      <c r="CW141" s="140">
        <f t="shared" si="353"/>
        <v>0.20825852782764809</v>
      </c>
      <c r="CX141" s="140">
        <f t="shared" si="353"/>
        <v>0.18858954041204434</v>
      </c>
      <c r="CY141" s="140">
        <f t="shared" si="353"/>
        <v>9.1296409007912249E-2</v>
      </c>
      <c r="CZ141" s="140">
        <f t="shared" si="353"/>
        <v>0.1782579338284942</v>
      </c>
      <c r="DA141" s="140">
        <f t="shared" si="353"/>
        <v>8.7667161961366924E-2</v>
      </c>
      <c r="DB141" s="140">
        <f t="shared" si="353"/>
        <v>-1.4000000000000012E-2</v>
      </c>
      <c r="DC141" s="140">
        <f t="shared" si="353"/>
        <v>4.517568321249299E-2</v>
      </c>
      <c r="DD141" s="140">
        <f t="shared" si="353"/>
        <v>9.7421203438394777E-3</v>
      </c>
      <c r="DE141" s="140">
        <f t="shared" si="353"/>
        <v>2.3224043715847076E-2</v>
      </c>
      <c r="DF141" s="140">
        <f t="shared" si="353"/>
        <v>8.9925625422582867E-2</v>
      </c>
      <c r="DG141" s="140"/>
      <c r="DH141" s="140"/>
      <c r="DI141" s="140"/>
      <c r="DJ141" s="140"/>
      <c r="DK141" s="140"/>
      <c r="DL141" s="140"/>
      <c r="DM141" s="140"/>
      <c r="DN141" s="140"/>
      <c r="DO141" s="140"/>
      <c r="DP141" s="129"/>
      <c r="DQ141" s="129"/>
      <c r="EA141" s="40"/>
      <c r="EB141" s="40"/>
      <c r="EC141" s="40"/>
      <c r="ED141" s="40"/>
      <c r="EE141" s="40"/>
      <c r="EF141" s="40"/>
      <c r="EG141" s="40"/>
      <c r="EH141" s="40"/>
      <c r="EI141" s="40"/>
      <c r="EJ141" s="40"/>
      <c r="EK141" s="40"/>
      <c r="EL141" s="40"/>
      <c r="EM141" s="40"/>
      <c r="EN141" s="40"/>
      <c r="EO141" s="40"/>
      <c r="EP141" s="40" t="e">
        <f>+EP4/EO4-1</f>
        <v>#DIV/0!</v>
      </c>
      <c r="EQ141" s="40" t="e">
        <f>+EQ4/EP4-1</f>
        <v>#DIV/0!</v>
      </c>
      <c r="ER141" s="40" t="e">
        <f>+ER4/EQ4-1</f>
        <v>#DIV/0!</v>
      </c>
      <c r="ES141" s="40" t="e">
        <f>+ES4/ER4-1</f>
        <v>#DIV/0!</v>
      </c>
      <c r="ET141" s="40"/>
      <c r="EU141" s="40"/>
      <c r="EV141" s="40">
        <f t="shared" ref="EV141:FK141" si="354">+EV4/EU4-1</f>
        <v>0.17251184834123223</v>
      </c>
      <c r="EW141" s="40">
        <f t="shared" si="354"/>
        <v>0.20654810024252224</v>
      </c>
      <c r="EX141" s="40">
        <f t="shared" si="354"/>
        <v>8.559463986599658E-2</v>
      </c>
      <c r="EY141" s="40">
        <f t="shared" si="354"/>
        <v>4.0888751735843165E-2</v>
      </c>
      <c r="EZ141" s="40">
        <f t="shared" si="354"/>
        <v>1.0000000000000009E-2</v>
      </c>
      <c r="FA141" s="40">
        <f t="shared" si="354"/>
        <v>1.0000000000000009E-2</v>
      </c>
      <c r="FB141" s="40">
        <f t="shared" si="354"/>
        <v>1.0000000000000009E-2</v>
      </c>
      <c r="FC141" s="40">
        <f t="shared" si="354"/>
        <v>1.0000000000000009E-2</v>
      </c>
      <c r="FD141" s="40">
        <f t="shared" si="354"/>
        <v>1.0000000000000009E-2</v>
      </c>
      <c r="FE141" s="40">
        <f t="shared" si="354"/>
        <v>-0.9</v>
      </c>
      <c r="FF141" s="40">
        <f t="shared" si="354"/>
        <v>-0.9</v>
      </c>
      <c r="FG141" s="40">
        <f t="shared" si="354"/>
        <v>-0.9</v>
      </c>
      <c r="FH141" s="40">
        <f t="shared" si="354"/>
        <v>-0.9</v>
      </c>
      <c r="FI141" s="40">
        <f t="shared" si="354"/>
        <v>-0.9</v>
      </c>
      <c r="FJ141" s="40">
        <f t="shared" si="354"/>
        <v>-0.9</v>
      </c>
      <c r="FK141" s="40">
        <f t="shared" si="354"/>
        <v>-0.9</v>
      </c>
      <c r="FL141" s="40"/>
      <c r="FM141" s="40"/>
      <c r="FN141" s="40"/>
      <c r="FO141" s="40"/>
      <c r="FP141" s="40"/>
      <c r="FQ141" s="95"/>
      <c r="FR141" s="40"/>
      <c r="FS141" s="96"/>
      <c r="FT141" s="40"/>
      <c r="FU141" s="194" t="s">
        <v>826</v>
      </c>
      <c r="FV141" s="194" t="s">
        <v>827</v>
      </c>
      <c r="FW141" s="194" t="s">
        <v>828</v>
      </c>
    </row>
    <row r="142" spans="2:179">
      <c r="B142" s="14" t="s">
        <v>1583</v>
      </c>
      <c r="AB142" s="58"/>
      <c r="AC142" s="58"/>
      <c r="AD142" s="58"/>
      <c r="AE142" s="58"/>
      <c r="AF142" s="58"/>
      <c r="AG142" s="58"/>
      <c r="AH142" s="58"/>
      <c r="AI142" s="58"/>
      <c r="AJ142" s="58"/>
      <c r="AK142" s="58"/>
      <c r="AL142" s="58"/>
      <c r="AM142" s="58"/>
      <c r="AN142" s="58"/>
      <c r="AO142" s="58"/>
      <c r="AP142" s="130"/>
      <c r="AQ142" s="58"/>
      <c r="AR142" s="58"/>
      <c r="AS142" s="58"/>
      <c r="AT142" s="58"/>
      <c r="AU142" s="58"/>
      <c r="AV142" s="58"/>
      <c r="AW142" s="58"/>
      <c r="AX142" s="58"/>
      <c r="AY142" s="58"/>
      <c r="AZ142" s="58"/>
      <c r="BA142" s="58"/>
      <c r="BB142" s="129"/>
      <c r="BC142" s="129"/>
      <c r="BD142" s="129"/>
      <c r="BE142" s="129"/>
      <c r="BF142" s="131"/>
      <c r="BG142" s="129"/>
      <c r="BH142" s="129"/>
      <c r="BI142" s="129"/>
      <c r="BJ142" s="129"/>
      <c r="BK142" s="129"/>
      <c r="BL142" s="129"/>
      <c r="BM142" s="129"/>
      <c r="BN142" s="129"/>
      <c r="BO142" s="129"/>
      <c r="BP142" s="129"/>
      <c r="BQ142" s="129"/>
      <c r="BR142" s="129"/>
      <c r="BS142" s="129"/>
      <c r="BT142" s="129"/>
      <c r="BU142" s="129"/>
      <c r="BV142" s="129"/>
      <c r="BW142" s="129"/>
      <c r="BX142" s="129"/>
      <c r="BY142" s="129"/>
      <c r="BZ142" s="129"/>
      <c r="CA142" s="129"/>
      <c r="CB142" s="129"/>
      <c r="CC142" s="129"/>
      <c r="CD142" s="129"/>
      <c r="CE142" s="129"/>
      <c r="CF142" s="129"/>
      <c r="CG142" s="129"/>
      <c r="CH142" s="129"/>
      <c r="CI142" s="129"/>
      <c r="CJ142" s="129"/>
      <c r="CK142" s="129"/>
      <c r="CL142" s="129"/>
      <c r="CM142" s="129"/>
      <c r="CN142" s="140"/>
      <c r="CO142" s="140">
        <f t="shared" ref="CO142:DF142" si="355">+CO7/CK7-1</f>
        <v>0.25170731707317073</v>
      </c>
      <c r="CP142" s="140">
        <f t="shared" si="355"/>
        <v>0.13239187996469548</v>
      </c>
      <c r="CQ142" s="140">
        <f t="shared" si="355"/>
        <v>0.10150044130626656</v>
      </c>
      <c r="CR142" s="140">
        <f t="shared" si="355"/>
        <v>6.9785884218873884E-2</v>
      </c>
      <c r="CS142" s="140">
        <f t="shared" si="355"/>
        <v>5.7677318784099763E-2</v>
      </c>
      <c r="CT142" s="140">
        <f t="shared" si="355"/>
        <v>0.11925175370226038</v>
      </c>
      <c r="CU142" s="140">
        <f t="shared" si="355"/>
        <v>4.8076923076922906E-3</v>
      </c>
      <c r="CV142" s="140">
        <f t="shared" si="355"/>
        <v>4.0770941438102337E-2</v>
      </c>
      <c r="CW142" s="140">
        <f t="shared" si="355"/>
        <v>1.7686072218128235E-2</v>
      </c>
      <c r="CX142" s="140">
        <f t="shared" si="355"/>
        <v>-2.6462395543175532E-2</v>
      </c>
      <c r="CY142" s="140">
        <f t="shared" si="355"/>
        <v>-1.3556618819776767E-2</v>
      </c>
      <c r="CZ142" s="140">
        <f t="shared" si="355"/>
        <v>-5.9829059829059839E-2</v>
      </c>
      <c r="DA142" s="140">
        <f t="shared" si="355"/>
        <v>-7.0963070238957315E-2</v>
      </c>
      <c r="DB142" s="140">
        <f t="shared" si="355"/>
        <v>-8.5121602288984244E-2</v>
      </c>
      <c r="DC142" s="140">
        <f t="shared" si="355"/>
        <v>-7.5181891673403389E-2</v>
      </c>
      <c r="DD142" s="140">
        <f t="shared" si="355"/>
        <v>-5.5303030303030298E-2</v>
      </c>
      <c r="DE142" s="140">
        <f t="shared" si="355"/>
        <v>-3.0397505845674244E-2</v>
      </c>
      <c r="DF142" s="140">
        <f t="shared" si="355"/>
        <v>-0.12587959343236899</v>
      </c>
      <c r="DG142" s="140"/>
      <c r="DH142" s="140"/>
      <c r="DI142" s="140"/>
      <c r="DJ142" s="140"/>
      <c r="DK142" s="140"/>
      <c r="DL142" s="140"/>
      <c r="DM142" s="140"/>
      <c r="DN142" s="140"/>
      <c r="DO142" s="140"/>
      <c r="DP142" s="129"/>
      <c r="DQ142" s="129"/>
      <c r="EA142" s="40"/>
      <c r="EB142" s="40"/>
      <c r="EC142" s="40"/>
      <c r="ED142" s="40"/>
      <c r="EE142" s="40"/>
      <c r="EF142" s="40"/>
      <c r="EG142" s="40"/>
      <c r="EH142" s="40"/>
      <c r="EI142" s="40"/>
      <c r="EJ142" s="40"/>
      <c r="EK142" s="40"/>
      <c r="EL142" s="40"/>
      <c r="EM142" s="40"/>
      <c r="EN142" s="40"/>
      <c r="EO142" s="40"/>
      <c r="EP142" s="40"/>
      <c r="EQ142" s="40"/>
      <c r="ER142" s="40"/>
      <c r="ES142" s="40"/>
      <c r="ET142" s="40"/>
      <c r="EU142" s="40"/>
      <c r="EV142" s="40">
        <f t="shared" ref="EV142:FK142" si="356">+EV7/EU7-1</f>
        <v>8.6693548387096753E-2</v>
      </c>
      <c r="EW142" s="40">
        <f t="shared" si="356"/>
        <v>8.7198515769943974E-3</v>
      </c>
      <c r="EX142" s="40">
        <f t="shared" si="356"/>
        <v>-5.848813684016918E-2</v>
      </c>
      <c r="EY142" s="40">
        <f t="shared" si="356"/>
        <v>-7.1498339519437404E-2</v>
      </c>
      <c r="EZ142" s="40">
        <f t="shared" si="356"/>
        <v>-0.19999999999999996</v>
      </c>
      <c r="FA142" s="40">
        <f t="shared" si="356"/>
        <v>-0.19999999999999996</v>
      </c>
      <c r="FB142" s="40">
        <f t="shared" si="356"/>
        <v>-0.19999999999999996</v>
      </c>
      <c r="FC142" s="40">
        <f t="shared" si="356"/>
        <v>-0.19999999999999996</v>
      </c>
      <c r="FD142" s="40">
        <f t="shared" si="356"/>
        <v>-0.19999999999999996</v>
      </c>
      <c r="FE142" s="40">
        <f t="shared" si="356"/>
        <v>-0.19999999999999996</v>
      </c>
      <c r="FF142" s="40">
        <f t="shared" si="356"/>
        <v>-0.19999999999999996</v>
      </c>
      <c r="FG142" s="40">
        <f t="shared" si="356"/>
        <v>-0.19999999999999996</v>
      </c>
      <c r="FH142" s="40">
        <f t="shared" si="356"/>
        <v>-0.19999999999999996</v>
      </c>
      <c r="FI142" s="40">
        <f t="shared" si="356"/>
        <v>-0.19999999999999996</v>
      </c>
      <c r="FJ142" s="40">
        <f t="shared" si="356"/>
        <v>-0.19999999999999996</v>
      </c>
      <c r="FK142" s="40">
        <f t="shared" si="356"/>
        <v>-0.19999999999999984</v>
      </c>
      <c r="FL142" s="40"/>
      <c r="FM142" s="40"/>
      <c r="FN142" s="40"/>
      <c r="FO142" s="40"/>
      <c r="FP142" s="40"/>
      <c r="FQ142" s="95"/>
      <c r="FR142" s="40"/>
      <c r="FS142" s="96"/>
      <c r="FT142" s="40"/>
      <c r="FU142" s="194" t="s">
        <v>830</v>
      </c>
    </row>
    <row r="143" spans="2:179">
      <c r="B143" s="4" t="s">
        <v>831</v>
      </c>
      <c r="AP143" s="62"/>
      <c r="AQ143" s="58"/>
      <c r="AU143" s="40"/>
      <c r="AV143" s="40"/>
      <c r="AW143" s="40"/>
      <c r="AX143" s="40"/>
      <c r="AY143" s="40"/>
      <c r="AZ143" s="40"/>
      <c r="BA143" s="40">
        <f t="shared" ref="BA143:BV143" si="357">BA125/AW125-1</f>
        <v>-0.17420264038294131</v>
      </c>
      <c r="BB143" s="40">
        <f t="shared" si="357"/>
        <v>-0.25005146061640426</v>
      </c>
      <c r="BC143" s="40">
        <f t="shared" si="357"/>
        <v>3.0115825326443746E-2</v>
      </c>
      <c r="BD143" s="40">
        <f t="shared" si="357"/>
        <v>8.9782924742309422E-2</v>
      </c>
      <c r="BE143" s="40">
        <f t="shared" si="357"/>
        <v>0.1905317804991129</v>
      </c>
      <c r="BF143" s="49">
        <f t="shared" si="357"/>
        <v>0.14298496854616127</v>
      </c>
      <c r="BG143" s="49">
        <f t="shared" si="357"/>
        <v>-6.8226424134842034E-2</v>
      </c>
      <c r="BH143" s="49">
        <f t="shared" si="357"/>
        <v>6.3041256341257235E-2</v>
      </c>
      <c r="BI143" s="49">
        <f t="shared" si="357"/>
        <v>2.3142600317022088E-2</v>
      </c>
      <c r="BJ143" s="49">
        <f t="shared" si="357"/>
        <v>-9.4201066151374802E-2</v>
      </c>
      <c r="BK143" s="49">
        <f t="shared" si="357"/>
        <v>-1.9116396000473102E-2</v>
      </c>
      <c r="BL143" s="49">
        <f t="shared" si="357"/>
        <v>-9.6342969881243801E-2</v>
      </c>
      <c r="BM143" s="49">
        <f t="shared" si="357"/>
        <v>-0.15440830303008635</v>
      </c>
      <c r="BN143" s="49">
        <f t="shared" si="357"/>
        <v>-1.5042545384986616E-2</v>
      </c>
      <c r="BO143" s="49">
        <f t="shared" si="357"/>
        <v>-0.10034890350494774</v>
      </c>
      <c r="BP143" s="49">
        <f t="shared" si="357"/>
        <v>-0.10640144219206737</v>
      </c>
      <c r="BQ143" s="49">
        <f t="shared" si="357"/>
        <v>9.6961392919689748E-2</v>
      </c>
      <c r="BR143" s="49">
        <f t="shared" si="357"/>
        <v>0.11181057618255252</v>
      </c>
      <c r="BS143" s="49">
        <f t="shared" si="357"/>
        <v>-4.1143200257615087E-3</v>
      </c>
      <c r="BT143" s="49">
        <f t="shared" si="357"/>
        <v>5.3396250143242785E-2</v>
      </c>
      <c r="BU143" s="49">
        <f t="shared" si="357"/>
        <v>-0.10353621642312449</v>
      </c>
      <c r="BV143" s="49">
        <f t="shared" si="357"/>
        <v>-8.3163409710856562E-2</v>
      </c>
      <c r="BW143" s="49"/>
      <c r="BX143" s="49"/>
      <c r="BY143" s="49"/>
      <c r="BZ143" s="49"/>
      <c r="CA143" s="49"/>
      <c r="CB143" s="49"/>
      <c r="CC143" s="49"/>
      <c r="CD143" s="49"/>
      <c r="CE143" s="49"/>
      <c r="CF143" s="49"/>
      <c r="CG143" s="49"/>
      <c r="CH143" s="49"/>
      <c r="CI143" s="49"/>
      <c r="CJ143" s="49"/>
      <c r="CK143" s="49"/>
      <c r="CL143" s="49"/>
      <c r="CM143" s="49"/>
      <c r="CN143" s="138"/>
      <c r="CO143" s="138"/>
      <c r="CP143" s="138"/>
      <c r="CQ143" s="138"/>
      <c r="CR143" s="138"/>
      <c r="CS143" s="138"/>
      <c r="CT143" s="138"/>
      <c r="CU143" s="138"/>
      <c r="CV143" s="138"/>
      <c r="CW143" s="138"/>
      <c r="CX143" s="138"/>
      <c r="CY143" s="138"/>
      <c r="CZ143" s="138"/>
      <c r="DA143" s="138"/>
      <c r="DB143" s="138"/>
      <c r="DC143" s="138"/>
      <c r="DD143" s="138"/>
      <c r="DE143" s="138"/>
      <c r="DF143" s="138"/>
      <c r="DG143" s="138"/>
      <c r="DH143" s="138"/>
      <c r="DI143" s="138"/>
      <c r="DJ143" s="138"/>
      <c r="DK143" s="138"/>
      <c r="DL143" s="138"/>
      <c r="DM143" s="138"/>
      <c r="DN143" s="138"/>
      <c r="DO143" s="138"/>
      <c r="DP143" s="49"/>
      <c r="DQ143" s="49"/>
      <c r="EI143" s="56"/>
      <c r="EJ143" s="56"/>
      <c r="EK143" s="56"/>
      <c r="EL143" s="56">
        <f>EL125/EK125-1</f>
        <v>0.11160714285714279</v>
      </c>
      <c r="EM143" s="56">
        <f>EM125/EL125-1</f>
        <v>-2.0080321285140701E-2</v>
      </c>
      <c r="EN143" s="56">
        <f>EN125/EM125-1</f>
        <v>-7.377049180327877E-2</v>
      </c>
      <c r="EO143" s="56"/>
      <c r="EP143" s="56"/>
      <c r="EQ143" s="56"/>
      <c r="ER143" s="56"/>
      <c r="ES143" s="56"/>
      <c r="ET143" s="56"/>
      <c r="EU143" s="56"/>
      <c r="EV143" s="56"/>
      <c r="EW143" s="56"/>
      <c r="EX143" s="56"/>
      <c r="EY143" s="56"/>
      <c r="EZ143" s="56"/>
      <c r="FA143" s="56"/>
      <c r="FB143" s="56"/>
      <c r="FC143" s="56"/>
      <c r="FD143" s="56"/>
      <c r="FE143" s="56"/>
      <c r="FF143" s="56"/>
      <c r="FG143" s="56"/>
      <c r="FH143" s="56"/>
      <c r="FI143" s="56"/>
      <c r="FJ143" s="56"/>
      <c r="FK143" s="56"/>
      <c r="FL143" s="56"/>
      <c r="FM143" s="56"/>
      <c r="FN143" s="56"/>
      <c r="FO143" s="56"/>
      <c r="FP143" s="56"/>
      <c r="FQ143" s="93"/>
      <c r="FR143" s="56"/>
      <c r="FS143" s="94"/>
      <c r="FT143" s="56"/>
      <c r="FU143" s="194" t="s">
        <v>825</v>
      </c>
    </row>
    <row r="144" spans="2:179">
      <c r="B144" s="4" t="s">
        <v>832</v>
      </c>
      <c r="AP144" s="62"/>
      <c r="AQ144" s="58"/>
      <c r="AU144" s="40">
        <f t="shared" ref="AU144:BJ144" si="358">AU121/AU147*4</f>
        <v>7.8984819734345346E-2</v>
      </c>
      <c r="AV144" s="40">
        <f t="shared" si="358"/>
        <v>4.2269187986651836E-2</v>
      </c>
      <c r="AW144" s="40">
        <f t="shared" si="358"/>
        <v>4.643554429845391E-2</v>
      </c>
      <c r="AX144" s="40" t="e">
        <f t="shared" si="358"/>
        <v>#DIV/0!</v>
      </c>
      <c r="AY144" s="40">
        <f t="shared" si="358"/>
        <v>1.1571254567600487E-2</v>
      </c>
      <c r="AZ144" s="40">
        <f t="shared" si="358"/>
        <v>3.2474946086515286E-2</v>
      </c>
      <c r="BA144" s="40">
        <f t="shared" si="358"/>
        <v>2.1784152795888623E-2</v>
      </c>
      <c r="BB144" s="40">
        <f t="shared" si="358"/>
        <v>5.253104106972302E-2</v>
      </c>
      <c r="BC144" s="40">
        <f t="shared" si="358"/>
        <v>5.3204965796807703E-2</v>
      </c>
      <c r="BD144" s="40" t="e">
        <f t="shared" si="358"/>
        <v>#DIV/0!</v>
      </c>
      <c r="BE144" s="40" t="e">
        <f t="shared" si="358"/>
        <v>#DIV/0!</v>
      </c>
      <c r="BF144" s="40" t="e">
        <f t="shared" si="358"/>
        <v>#DIV/0!</v>
      </c>
      <c r="BG144" s="40" t="e">
        <f t="shared" si="358"/>
        <v>#DIV/0!</v>
      </c>
      <c r="BH144" s="40" t="e">
        <f t="shared" si="358"/>
        <v>#DIV/0!</v>
      </c>
      <c r="BI144" s="40" t="e">
        <f t="shared" si="358"/>
        <v>#DIV/0!</v>
      </c>
      <c r="BJ144" s="40">
        <f t="shared" si="358"/>
        <v>0.15654118524040253</v>
      </c>
      <c r="BK144" s="49">
        <f t="shared" ref="BK144:BR144" si="359">BK119/BK147*4</f>
        <v>0.28040313549832024</v>
      </c>
      <c r="BL144" s="49">
        <f t="shared" si="359"/>
        <v>0.15496368038740921</v>
      </c>
      <c r="BM144" s="49" t="e">
        <f t="shared" si="359"/>
        <v>#DIV/0!</v>
      </c>
      <c r="BN144" s="49" t="e">
        <f t="shared" si="359"/>
        <v>#DIV/0!</v>
      </c>
      <c r="BO144" s="49" t="e">
        <f t="shared" si="359"/>
        <v>#DIV/0!</v>
      </c>
      <c r="BP144" s="49">
        <f t="shared" si="359"/>
        <v>-4.3451652386780906E-2</v>
      </c>
      <c r="BQ144" s="49">
        <f t="shared" si="359"/>
        <v>-1.3063763608087092E-2</v>
      </c>
      <c r="BR144" s="49">
        <f t="shared" si="359"/>
        <v>6.5233265720081132E-2</v>
      </c>
      <c r="BS144" s="49"/>
      <c r="BT144" s="49"/>
      <c r="BU144" s="49"/>
      <c r="BV144" s="49"/>
      <c r="BW144" s="49"/>
      <c r="BX144" s="49"/>
      <c r="BY144" s="49"/>
      <c r="BZ144" s="49"/>
      <c r="CA144" s="49"/>
      <c r="CB144" s="49"/>
      <c r="CC144" s="49"/>
      <c r="CD144" s="49"/>
      <c r="CE144" s="49"/>
      <c r="CF144" s="49"/>
      <c r="CG144" s="49"/>
      <c r="CH144" s="49"/>
      <c r="CI144" s="49"/>
      <c r="CJ144" s="49"/>
      <c r="CK144" s="49"/>
      <c r="CL144" s="49"/>
      <c r="CM144" s="49"/>
      <c r="CN144" s="138"/>
      <c r="CO144" s="138"/>
      <c r="CP144" s="138"/>
      <c r="CQ144" s="138"/>
      <c r="CR144" s="138"/>
      <c r="CS144" s="138"/>
      <c r="CT144" s="138"/>
      <c r="CU144" s="138"/>
      <c r="CV144" s="138"/>
      <c r="CW144" s="138"/>
      <c r="CX144" s="138"/>
      <c r="CY144" s="138"/>
      <c r="CZ144" s="138"/>
      <c r="DA144" s="138"/>
      <c r="DB144" s="138"/>
      <c r="DC144" s="138"/>
      <c r="DD144" s="138"/>
      <c r="DE144" s="138"/>
      <c r="DF144" s="138"/>
      <c r="DG144" s="138"/>
      <c r="DH144" s="138"/>
      <c r="DI144" s="138"/>
      <c r="DJ144" s="138"/>
      <c r="DK144" s="138"/>
      <c r="DL144" s="138"/>
      <c r="DM144" s="138"/>
      <c r="DN144" s="138"/>
      <c r="DO144" s="138"/>
      <c r="DP144" s="49"/>
      <c r="DQ144" s="49"/>
      <c r="EI144" s="56"/>
      <c r="EJ144" s="56"/>
      <c r="EK144" s="56"/>
      <c r="EL144" s="56"/>
      <c r="EM144" s="56"/>
      <c r="EN144" s="56"/>
      <c r="EO144" s="56"/>
      <c r="EP144" s="56"/>
      <c r="EQ144" s="56"/>
      <c r="ER144" s="56"/>
      <c r="ES144" s="56"/>
      <c r="ET144" s="56"/>
      <c r="EU144" s="56"/>
      <c r="EV144" s="56"/>
      <c r="EW144" s="56"/>
      <c r="EX144" s="56"/>
      <c r="EY144" s="56"/>
      <c r="EZ144" s="56"/>
      <c r="FA144" s="56"/>
      <c r="FB144" s="56"/>
      <c r="FC144" s="56"/>
      <c r="FD144" s="56"/>
      <c r="FE144" s="56"/>
      <c r="FF144" s="56"/>
      <c r="FG144" s="56"/>
      <c r="FH144" s="56"/>
      <c r="FI144" s="56"/>
      <c r="FJ144" s="56"/>
      <c r="FK144" s="56"/>
      <c r="FL144" s="56"/>
      <c r="FM144" s="56"/>
      <c r="FN144" s="56"/>
      <c r="FO144" s="56"/>
      <c r="FP144" s="56"/>
      <c r="FQ144" s="93"/>
      <c r="FR144" s="56"/>
      <c r="FS144" s="94"/>
      <c r="FT144" s="56"/>
    </row>
    <row r="145" spans="2:177">
      <c r="B145" s="4" t="s">
        <v>833</v>
      </c>
      <c r="AP145" s="62"/>
      <c r="AQ145" s="47"/>
      <c r="AR145" s="47"/>
      <c r="AT145" s="47"/>
      <c r="AU145" s="47"/>
      <c r="AV145" s="44"/>
      <c r="AW145" s="44">
        <f>(AW149/AW113)*91.25</f>
        <v>74.30432190147215</v>
      </c>
      <c r="AY145" s="44">
        <f t="shared" ref="AY145:BL145" si="360">(AY149/AY113)*91.25</f>
        <v>75.488053518856177</v>
      </c>
      <c r="AZ145" s="44">
        <f t="shared" si="360"/>
        <v>81.125849655499351</v>
      </c>
      <c r="BA145" s="44">
        <f t="shared" si="360"/>
        <v>82.984572955270195</v>
      </c>
      <c r="BB145" s="44">
        <f t="shared" si="360"/>
        <v>80.893235472154956</v>
      </c>
      <c r="BC145" s="44">
        <f t="shared" si="360"/>
        <v>72.576623035119511</v>
      </c>
      <c r="BD145" s="44">
        <f t="shared" si="360"/>
        <v>0</v>
      </c>
      <c r="BE145" s="44">
        <f t="shared" si="360"/>
        <v>0</v>
      </c>
      <c r="BF145" s="44">
        <f t="shared" si="360"/>
        <v>0</v>
      </c>
      <c r="BG145" s="44">
        <f t="shared" si="360"/>
        <v>0</v>
      </c>
      <c r="BH145" s="44">
        <f t="shared" si="360"/>
        <v>0</v>
      </c>
      <c r="BI145" s="44">
        <f t="shared" si="360"/>
        <v>0</v>
      </c>
      <c r="BJ145" s="44">
        <f t="shared" si="360"/>
        <v>74.15084199211752</v>
      </c>
      <c r="BK145" s="44">
        <f t="shared" si="360"/>
        <v>83.875008101626804</v>
      </c>
      <c r="BL145" s="44">
        <f t="shared" si="360"/>
        <v>78.0688384140267</v>
      </c>
      <c r="BM145" s="44"/>
      <c r="BN145" s="44"/>
      <c r="BO145" s="44"/>
      <c r="BP145" s="44">
        <f>(BP149/BP113)*91.25</f>
        <v>81.050932706390199</v>
      </c>
      <c r="BQ145" s="44">
        <f>(BQ149/BQ113)*91.25</f>
        <v>82.50665951017811</v>
      </c>
      <c r="BR145" s="44">
        <f>(BR149/BR113)*91.25</f>
        <v>63.279200326095008</v>
      </c>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115"/>
      <c r="CO145" s="115"/>
      <c r="CP145" s="115"/>
      <c r="CQ145" s="115"/>
      <c r="CR145" s="115"/>
      <c r="CS145" s="115"/>
      <c r="CT145" s="115"/>
      <c r="CU145" s="115"/>
      <c r="CV145" s="115"/>
      <c r="CW145" s="115"/>
      <c r="CX145" s="115"/>
      <c r="CY145" s="115"/>
      <c r="CZ145" s="115"/>
      <c r="DA145" s="115"/>
      <c r="DB145" s="115"/>
      <c r="DC145" s="115"/>
      <c r="DD145" s="115"/>
      <c r="DE145" s="115"/>
      <c r="DF145" s="115"/>
      <c r="DG145" s="115"/>
      <c r="DH145" s="115"/>
      <c r="DI145" s="115"/>
      <c r="DJ145" s="115"/>
      <c r="DK145" s="115"/>
      <c r="DL145" s="115"/>
      <c r="DM145" s="115"/>
      <c r="DN145" s="115"/>
      <c r="DO145" s="115"/>
      <c r="DP145" s="44"/>
      <c r="DQ145" s="44"/>
    </row>
    <row r="146" spans="2:177">
      <c r="AP146" s="62"/>
      <c r="AQ146" s="47"/>
      <c r="AR146" s="47"/>
      <c r="AT146" s="47"/>
      <c r="AU146" s="47"/>
      <c r="AV146" s="44"/>
      <c r="AW146" s="44"/>
      <c r="AY146" s="44"/>
      <c r="AZ146" s="44"/>
      <c r="BA146" s="44"/>
      <c r="BB146" s="44"/>
      <c r="FQ146" s="83" t="s">
        <v>834</v>
      </c>
      <c r="FR146" s="40">
        <v>0.05</v>
      </c>
      <c r="FU146" s="14" t="s">
        <v>835</v>
      </c>
    </row>
    <row r="147" spans="2:177">
      <c r="B147" s="4" t="s">
        <v>836</v>
      </c>
      <c r="AP147" s="62"/>
      <c r="AQ147" s="51">
        <f t="shared" ref="AQ147:BA147" si="361">AQ148-AQ158</f>
        <v>20.340000000000003</v>
      </c>
      <c r="AR147" s="51">
        <f t="shared" si="361"/>
        <v>19.651</v>
      </c>
      <c r="AS147" s="51">
        <f t="shared" si="361"/>
        <v>19.2</v>
      </c>
      <c r="AT147" s="44">
        <f t="shared" si="361"/>
        <v>17809</v>
      </c>
      <c r="AU147" s="44">
        <f t="shared" si="361"/>
        <v>16864</v>
      </c>
      <c r="AV147" s="44">
        <f t="shared" si="361"/>
        <v>17980</v>
      </c>
      <c r="AW147" s="44">
        <f t="shared" si="361"/>
        <v>18951</v>
      </c>
      <c r="AX147" s="44">
        <f t="shared" si="361"/>
        <v>0</v>
      </c>
      <c r="AY147" s="44">
        <f t="shared" si="361"/>
        <v>19704</v>
      </c>
      <c r="AZ147" s="44">
        <f t="shared" si="361"/>
        <v>23649</v>
      </c>
      <c r="BA147" s="44">
        <f t="shared" si="361"/>
        <v>26074</v>
      </c>
      <c r="BB147" s="44">
        <f>+BB148-BB158</f>
        <v>-8376</v>
      </c>
      <c r="BC147" s="44">
        <f>+BC148-BC158</f>
        <v>-15788</v>
      </c>
      <c r="BD147" s="44"/>
      <c r="BE147" s="44"/>
      <c r="BF147" s="44"/>
      <c r="BG147" s="44"/>
      <c r="BH147" s="44"/>
      <c r="BI147" s="44"/>
      <c r="BJ147" s="65">
        <f>BJ148-BJ158</f>
        <v>-2683</v>
      </c>
      <c r="BK147" s="65">
        <f>BK148-BK158</f>
        <v>-4465</v>
      </c>
      <c r="BL147" s="65">
        <f>BL148-BL158</f>
        <v>-3717</v>
      </c>
      <c r="BM147" s="44"/>
      <c r="BN147" s="44"/>
      <c r="BO147" s="44"/>
      <c r="BP147" s="65">
        <f>BP148-BP158</f>
        <v>13072</v>
      </c>
      <c r="BQ147" s="65">
        <f>BQ148-BQ158</f>
        <v>12860</v>
      </c>
      <c r="BR147" s="65">
        <f>BR148-BR158</f>
        <v>12325</v>
      </c>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115"/>
      <c r="CO147" s="115"/>
      <c r="CP147" s="115"/>
      <c r="CQ147" s="115"/>
      <c r="CR147" s="115"/>
      <c r="CS147" s="115"/>
      <c r="CT147" s="115"/>
      <c r="CU147" s="115"/>
      <c r="CV147" s="115"/>
      <c r="CW147" s="115"/>
      <c r="CX147" s="115"/>
      <c r="CY147" s="115">
        <f>+CY148-CY158</f>
        <v>8333</v>
      </c>
      <c r="CZ147" s="115">
        <f>+CZ148-CZ158</f>
        <v>11982</v>
      </c>
      <c r="DA147" s="115">
        <f>+DA148-DA158</f>
        <v>13342</v>
      </c>
      <c r="DB147" s="115"/>
      <c r="DC147" s="115"/>
      <c r="DD147" s="115"/>
      <c r="DE147" s="115"/>
      <c r="DF147" s="115"/>
      <c r="DG147" s="115"/>
      <c r="DH147" s="115">
        <f>+DH148-DH158</f>
        <v>-51202</v>
      </c>
      <c r="DI147" s="115"/>
      <c r="DJ147" s="115"/>
      <c r="DK147" s="115"/>
      <c r="DL147" s="115"/>
      <c r="DM147" s="115"/>
      <c r="DN147" s="115"/>
      <c r="DO147" s="115"/>
      <c r="DP147" s="44"/>
      <c r="DQ147" s="44"/>
      <c r="EI147" s="44"/>
      <c r="EJ147" s="44"/>
      <c r="FQ147" s="81" t="s">
        <v>837</v>
      </c>
      <c r="FR147" s="49">
        <v>0.09</v>
      </c>
      <c r="FU147" s="14" t="s">
        <v>838</v>
      </c>
    </row>
    <row r="148" spans="2:177" s="20" customFormat="1">
      <c r="B148" s="20" t="s">
        <v>310</v>
      </c>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68"/>
      <c r="AQ148" s="44">
        <f>2.492+19.978+0.462+4.817</f>
        <v>27.749000000000002</v>
      </c>
      <c r="AR148" s="44">
        <f>2.138+20.115+0.54+5.067</f>
        <v>27.86</v>
      </c>
      <c r="AS148" s="44">
        <v>27.9</v>
      </c>
      <c r="AT148" s="44">
        <f>3406+22069+617+4856</f>
        <v>30948</v>
      </c>
      <c r="AU148" s="44">
        <f>2013+26615+777+4511</f>
        <v>33916</v>
      </c>
      <c r="AV148" s="44">
        <f>820+25359+1041+7105</f>
        <v>34325</v>
      </c>
      <c r="AW148" s="44">
        <f>1265+24752+849+8430</f>
        <v>35296</v>
      </c>
      <c r="AX148" s="44"/>
      <c r="AY148" s="44">
        <f>1247+32805+793+13536</f>
        <v>48381</v>
      </c>
      <c r="AZ148" s="44">
        <f>2244+47403+935+12576</f>
        <v>63158</v>
      </c>
      <c r="BA148" s="44">
        <f>4234+48239+12166+791</f>
        <v>65430</v>
      </c>
      <c r="BB148" s="44">
        <f>1978+23991+1195+13122</f>
        <v>40286</v>
      </c>
      <c r="BC148" s="44">
        <f>1759+15503+12081+919</f>
        <v>30262</v>
      </c>
      <c r="BD148" s="44"/>
      <c r="BE148" s="44"/>
      <c r="BF148" s="44"/>
      <c r="BG148" s="44"/>
      <c r="BH148" s="44"/>
      <c r="BI148" s="44"/>
      <c r="BJ148" s="65">
        <f>3182+23270+9814</f>
        <v>36266</v>
      </c>
      <c r="BK148" s="65">
        <f>2934+21038+10632</f>
        <v>34604</v>
      </c>
      <c r="BL148" s="44">
        <f>3031+21275+10548</f>
        <v>34854</v>
      </c>
      <c r="BM148" s="44"/>
      <c r="BN148" s="44"/>
      <c r="BO148" s="44"/>
      <c r="BP148" s="44">
        <f>2436+31275+16107</f>
        <v>49818</v>
      </c>
      <c r="BQ148" s="44">
        <f>2052+31627+15731</f>
        <v>49410</v>
      </c>
      <c r="BR148" s="44">
        <f>2183+30225+16406</f>
        <v>48814</v>
      </c>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115"/>
      <c r="CO148" s="115"/>
      <c r="CP148" s="115"/>
      <c r="CQ148" s="115"/>
      <c r="CR148" s="115"/>
      <c r="CS148" s="115"/>
      <c r="CT148" s="115"/>
      <c r="CU148" s="115"/>
      <c r="CV148" s="115"/>
      <c r="CW148" s="115"/>
      <c r="CX148" s="115"/>
      <c r="CY148" s="115">
        <f>2470+21427+15995+4742</f>
        <v>44634</v>
      </c>
      <c r="CZ148" s="115">
        <f>1780+31524+14799+4163</f>
        <v>52266</v>
      </c>
      <c r="DA148" s="115">
        <f>1298+34825+9826+4062</f>
        <v>50011</v>
      </c>
      <c r="DB148" s="115"/>
      <c r="DC148" s="115"/>
      <c r="DD148" s="115"/>
      <c r="DE148" s="115"/>
      <c r="DF148" s="115"/>
      <c r="DG148" s="115"/>
      <c r="DH148" s="115">
        <f>1052+6048+8029+3119</f>
        <v>18248</v>
      </c>
      <c r="DI148" s="115"/>
      <c r="DJ148" s="115"/>
      <c r="DK148" s="115"/>
      <c r="DL148" s="115"/>
      <c r="DM148" s="115"/>
      <c r="DN148" s="115"/>
      <c r="DO148" s="115"/>
      <c r="DP148" s="44"/>
      <c r="DQ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44"/>
      <c r="FC148" s="44"/>
      <c r="FD148" s="44"/>
      <c r="FE148" s="44"/>
      <c r="FF148" s="44"/>
      <c r="FG148" s="44"/>
      <c r="FH148" s="44"/>
      <c r="FI148" s="44"/>
      <c r="FJ148" s="44"/>
      <c r="FK148" s="44"/>
      <c r="FL148" s="44"/>
      <c r="FM148" s="44"/>
      <c r="FN148" s="44"/>
      <c r="FO148" s="44"/>
      <c r="FP148" s="44"/>
      <c r="FQ148" s="81" t="s">
        <v>839</v>
      </c>
      <c r="FR148" s="44">
        <v>-0.02</v>
      </c>
      <c r="FS148" s="82"/>
      <c r="FT148" s="44"/>
      <c r="FU148" s="111" t="s">
        <v>840</v>
      </c>
    </row>
    <row r="149" spans="2:177" s="20" customFormat="1">
      <c r="B149" s="20" t="s">
        <v>841</v>
      </c>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68"/>
      <c r="AQ149" s="44">
        <v>10455</v>
      </c>
      <c r="AR149" s="44">
        <v>9947</v>
      </c>
      <c r="AS149" s="44"/>
      <c r="AT149" s="44">
        <v>9843</v>
      </c>
      <c r="AU149" s="44">
        <v>10432</v>
      </c>
      <c r="AV149" s="44">
        <v>10245</v>
      </c>
      <c r="AW149" s="44">
        <v>9901</v>
      </c>
      <c r="AX149" s="44"/>
      <c r="AY149" s="44">
        <v>9596</v>
      </c>
      <c r="AZ149" s="44">
        <v>10446</v>
      </c>
      <c r="BA149" s="44">
        <v>10552</v>
      </c>
      <c r="BB149" s="44">
        <v>14645</v>
      </c>
      <c r="BC149" s="44">
        <v>13611</v>
      </c>
      <c r="BD149" s="44"/>
      <c r="BE149" s="44"/>
      <c r="BF149" s="44"/>
      <c r="BG149" s="44"/>
      <c r="BH149" s="44"/>
      <c r="BI149" s="44"/>
      <c r="BJ149" s="65">
        <v>13608</v>
      </c>
      <c r="BK149" s="65">
        <v>14182</v>
      </c>
      <c r="BL149" s="44">
        <v>12882</v>
      </c>
      <c r="BM149" s="44"/>
      <c r="BN149" s="44"/>
      <c r="BO149" s="44"/>
      <c r="BP149" s="44">
        <v>11523</v>
      </c>
      <c r="BQ149" s="44">
        <v>11371</v>
      </c>
      <c r="BR149" s="44">
        <v>9357</v>
      </c>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115"/>
      <c r="CO149" s="115"/>
      <c r="CP149" s="115"/>
      <c r="CQ149" s="115"/>
      <c r="CR149" s="115"/>
      <c r="CS149" s="115"/>
      <c r="CT149" s="115"/>
      <c r="CU149" s="115"/>
      <c r="CV149" s="115"/>
      <c r="CW149" s="115"/>
      <c r="CX149" s="115"/>
      <c r="CY149" s="115">
        <v>13225</v>
      </c>
      <c r="CZ149" s="115">
        <v>15155</v>
      </c>
      <c r="DA149" s="115">
        <v>16076</v>
      </c>
      <c r="DB149" s="115"/>
      <c r="DC149" s="115"/>
      <c r="DD149" s="115"/>
      <c r="DE149" s="115"/>
      <c r="DF149" s="115"/>
      <c r="DG149" s="115"/>
      <c r="DH149" s="115">
        <v>11393</v>
      </c>
      <c r="DI149" s="115"/>
      <c r="DJ149" s="115"/>
      <c r="DK149" s="115"/>
      <c r="DL149" s="115"/>
      <c r="DM149" s="115"/>
      <c r="DN149" s="115"/>
      <c r="DO149" s="115"/>
      <c r="DP149" s="44"/>
      <c r="DQ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44"/>
      <c r="FC149" s="44"/>
      <c r="FD149" s="44"/>
      <c r="FE149" s="44"/>
      <c r="FF149" s="44"/>
      <c r="FG149" s="44"/>
      <c r="FH149" s="44"/>
      <c r="FI149" s="44"/>
      <c r="FJ149" s="44"/>
      <c r="FK149" s="44"/>
      <c r="FL149" s="44"/>
      <c r="FM149" s="44"/>
      <c r="FN149" s="44"/>
      <c r="FO149" s="44"/>
      <c r="FP149" s="44"/>
      <c r="FQ149" s="81" t="s">
        <v>842</v>
      </c>
      <c r="FR149" s="20">
        <f>NPV(FR147,EO124:HO124)+(Main!K5-Main!K6)*1000+EN124</f>
        <v>-50970261.814990908</v>
      </c>
      <c r="FS149" s="82"/>
      <c r="FT149" s="44"/>
    </row>
    <row r="150" spans="2:177" s="20" customFormat="1">
      <c r="B150" s="20" t="s">
        <v>843</v>
      </c>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68"/>
      <c r="AQ150" s="44"/>
      <c r="AR150" s="44"/>
      <c r="AS150" s="44"/>
      <c r="AT150" s="44">
        <v>5302</v>
      </c>
      <c r="AU150" s="44">
        <v>5148</v>
      </c>
      <c r="AV150" s="44">
        <v>5334</v>
      </c>
      <c r="AW150" s="44">
        <v>4788</v>
      </c>
      <c r="AX150" s="44"/>
      <c r="AY150" s="44">
        <v>4458</v>
      </c>
      <c r="AZ150" s="44">
        <v>4993</v>
      </c>
      <c r="BA150" s="44">
        <v>5058</v>
      </c>
      <c r="BB150" s="44">
        <v>12403</v>
      </c>
      <c r="BC150" s="44">
        <v>10132</v>
      </c>
      <c r="BD150" s="44"/>
      <c r="BE150" s="44"/>
      <c r="BF150" s="44"/>
      <c r="BG150" s="44"/>
      <c r="BH150" s="44"/>
      <c r="BI150" s="44"/>
      <c r="BJ150" s="65">
        <v>6969</v>
      </c>
      <c r="BK150" s="65">
        <v>7189</v>
      </c>
      <c r="BL150" s="44">
        <v>7001</v>
      </c>
      <c r="BM150" s="44"/>
      <c r="BN150" s="44"/>
      <c r="BO150" s="44"/>
      <c r="BP150" s="44">
        <v>6282</v>
      </c>
      <c r="BQ150" s="44">
        <v>6482</v>
      </c>
      <c r="BR150" s="44">
        <v>6166</v>
      </c>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115"/>
      <c r="CO150" s="115"/>
      <c r="CP150" s="115"/>
      <c r="CQ150" s="115"/>
      <c r="CR150" s="115"/>
      <c r="CS150" s="115"/>
      <c r="CT150" s="115"/>
      <c r="CU150" s="115"/>
      <c r="CV150" s="115"/>
      <c r="CW150" s="115"/>
      <c r="CX150" s="115"/>
      <c r="CY150" s="115">
        <v>9979</v>
      </c>
      <c r="CZ150" s="115">
        <v>10454</v>
      </c>
      <c r="DA150" s="115">
        <v>9513</v>
      </c>
      <c r="DB150" s="115"/>
      <c r="DC150" s="115"/>
      <c r="DD150" s="115"/>
      <c r="DE150" s="115"/>
      <c r="DF150" s="115"/>
      <c r="DG150" s="115"/>
      <c r="DH150" s="115">
        <v>11447</v>
      </c>
      <c r="DI150" s="115"/>
      <c r="DJ150" s="115"/>
      <c r="DK150" s="115"/>
      <c r="DL150" s="115"/>
      <c r="DM150" s="115"/>
      <c r="DN150" s="115"/>
      <c r="DO150" s="115"/>
      <c r="DP150" s="44"/>
      <c r="DQ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44"/>
      <c r="FC150" s="44"/>
      <c r="FD150" s="44"/>
      <c r="FE150" s="44"/>
      <c r="FF150" s="44"/>
      <c r="FG150" s="44"/>
      <c r="FH150" s="44"/>
      <c r="FI150" s="44"/>
      <c r="FJ150" s="44"/>
      <c r="FK150" s="44"/>
      <c r="FL150" s="44"/>
      <c r="FM150" s="44"/>
      <c r="FN150" s="44"/>
      <c r="FO150" s="44"/>
      <c r="FP150" s="44"/>
      <c r="FQ150" s="81"/>
      <c r="FR150" s="20">
        <f>FR149/(Main!K3*1000)</f>
        <v>-8.994707111462839</v>
      </c>
      <c r="FS150" s="82"/>
      <c r="FT150" s="44"/>
    </row>
    <row r="151" spans="2:177" s="20" customFormat="1">
      <c r="B151" s="20" t="s">
        <v>844</v>
      </c>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68"/>
      <c r="AQ151" s="44"/>
      <c r="AR151" s="44"/>
      <c r="AS151" s="44"/>
      <c r="AT151" s="44">
        <v>5498</v>
      </c>
      <c r="AU151" s="44">
        <v>5939</v>
      </c>
      <c r="AV151" s="44">
        <v>5711</v>
      </c>
      <c r="AW151" s="44">
        <v>6486</v>
      </c>
      <c r="AX151" s="44"/>
      <c r="AY151" s="44">
        <v>5055</v>
      </c>
      <c r="AZ151" s="44">
        <v>5310</v>
      </c>
      <c r="BA151" s="44">
        <v>4679</v>
      </c>
      <c r="BB151" s="44">
        <v>6962</v>
      </c>
      <c r="BC151" s="44">
        <v>7502</v>
      </c>
      <c r="BD151" s="44"/>
      <c r="BE151" s="44"/>
      <c r="BF151" s="44"/>
      <c r="BG151" s="44"/>
      <c r="BH151" s="44"/>
      <c r="BI151" s="44"/>
      <c r="BJ151" s="65">
        <v>9441</v>
      </c>
      <c r="BK151" s="65">
        <v>9361</v>
      </c>
      <c r="BL151" s="44">
        <v>9215</v>
      </c>
      <c r="BM151" s="44"/>
      <c r="BN151" s="44"/>
      <c r="BO151" s="44"/>
      <c r="BP151" s="44">
        <v>9819</v>
      </c>
      <c r="BQ151" s="44">
        <v>7835</v>
      </c>
      <c r="BR151" s="44">
        <f>4624+3613+1554</f>
        <v>9791</v>
      </c>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115"/>
      <c r="CO151" s="115"/>
      <c r="CP151" s="115"/>
      <c r="CQ151" s="115"/>
      <c r="CR151" s="115"/>
      <c r="CS151" s="115"/>
      <c r="CT151" s="115"/>
      <c r="CU151" s="115"/>
      <c r="CV151" s="115"/>
      <c r="CW151" s="115"/>
      <c r="CX151" s="115"/>
      <c r="CY151" s="115">
        <f>3117+4202+5668</f>
        <v>12987</v>
      </c>
      <c r="CZ151" s="115">
        <f>2583+5970+7002</f>
        <v>15555</v>
      </c>
      <c r="DA151" s="115">
        <f>2544+6149+10890</f>
        <v>19583</v>
      </c>
      <c r="DB151" s="115"/>
      <c r="DC151" s="115"/>
      <c r="DD151" s="115"/>
      <c r="DE151" s="115"/>
      <c r="DF151" s="115"/>
      <c r="DG151" s="115"/>
      <c r="DH151" s="115">
        <f>3694+4190</f>
        <v>7884</v>
      </c>
      <c r="DI151" s="115"/>
      <c r="DJ151" s="115"/>
      <c r="DK151" s="115"/>
      <c r="DL151" s="115"/>
      <c r="DM151" s="115"/>
      <c r="DN151" s="115"/>
      <c r="DO151" s="115"/>
      <c r="DP151" s="44"/>
      <c r="DQ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4"/>
      <c r="EW151" s="44"/>
      <c r="EX151" s="44"/>
      <c r="EY151" s="44"/>
      <c r="EZ151" s="44"/>
      <c r="FA151" s="44"/>
      <c r="FB151" s="44"/>
      <c r="FC151" s="44"/>
      <c r="FD151" s="44"/>
      <c r="FE151" s="44"/>
      <c r="FF151" s="44"/>
      <c r="FG151" s="44"/>
      <c r="FH151" s="44"/>
      <c r="FI151" s="44"/>
      <c r="FJ151" s="44"/>
      <c r="FK151" s="44"/>
      <c r="FL151" s="44"/>
      <c r="FM151" s="44"/>
      <c r="FN151" s="44"/>
      <c r="FO151" s="44"/>
      <c r="FP151" s="44"/>
      <c r="FQ151" s="81"/>
      <c r="FR151" s="44"/>
      <c r="FS151" s="82"/>
      <c r="FT151" s="44"/>
    </row>
    <row r="152" spans="2:177" s="20" customFormat="1">
      <c r="B152" s="20" t="s">
        <v>845</v>
      </c>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68"/>
      <c r="AQ152" s="44"/>
      <c r="AR152" s="44"/>
      <c r="AS152" s="44"/>
      <c r="AT152" s="44">
        <v>114</v>
      </c>
      <c r="AU152" s="44">
        <v>87</v>
      </c>
      <c r="AV152" s="44">
        <v>141</v>
      </c>
      <c r="AW152" s="44">
        <v>186</v>
      </c>
      <c r="AX152" s="44"/>
      <c r="AY152" s="44">
        <v>299</v>
      </c>
      <c r="AZ152" s="44">
        <v>219</v>
      </c>
      <c r="BA152" s="44">
        <v>231</v>
      </c>
      <c r="BB152" s="44">
        <v>496</v>
      </c>
      <c r="BC152" s="44">
        <v>490</v>
      </c>
      <c r="BD152" s="44"/>
      <c r="BE152" s="44"/>
      <c r="BF152" s="44"/>
      <c r="BG152" s="44"/>
      <c r="BH152" s="44"/>
      <c r="BI152" s="44"/>
      <c r="BJ152" s="65">
        <v>101</v>
      </c>
      <c r="BK152" s="65">
        <v>159</v>
      </c>
      <c r="BL152" s="44">
        <v>5361</v>
      </c>
      <c r="BM152" s="44"/>
      <c r="BN152" s="44"/>
      <c r="BO152" s="44"/>
      <c r="BP152" s="44">
        <v>100</v>
      </c>
      <c r="BQ152" s="44">
        <v>133</v>
      </c>
      <c r="BR152" s="44">
        <v>76</v>
      </c>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115"/>
      <c r="CO152" s="115"/>
      <c r="CP152" s="115"/>
      <c r="CQ152" s="115"/>
      <c r="CR152" s="115"/>
      <c r="CS152" s="115"/>
      <c r="CT152" s="115"/>
      <c r="CU152" s="115"/>
      <c r="CV152" s="115"/>
      <c r="CW152" s="115"/>
      <c r="CX152" s="115"/>
      <c r="CY152" s="115">
        <v>0</v>
      </c>
      <c r="CZ152" s="115">
        <v>0</v>
      </c>
      <c r="DA152" s="115">
        <v>0</v>
      </c>
      <c r="DB152" s="115"/>
      <c r="DC152" s="115"/>
      <c r="DD152" s="115"/>
      <c r="DE152" s="115"/>
      <c r="DF152" s="115"/>
      <c r="DG152" s="115"/>
      <c r="DH152" s="115">
        <v>0</v>
      </c>
      <c r="DI152" s="115"/>
      <c r="DJ152" s="115"/>
      <c r="DK152" s="115"/>
      <c r="DL152" s="115"/>
      <c r="DM152" s="115"/>
      <c r="DN152" s="115"/>
      <c r="DO152" s="115"/>
      <c r="DP152" s="44"/>
      <c r="DQ152" s="44"/>
      <c r="DU152" s="44"/>
      <c r="DV152" s="44"/>
      <c r="DW152" s="44"/>
      <c r="DX152" s="44"/>
      <c r="DY152" s="44"/>
      <c r="DZ152" s="44"/>
      <c r="EA152" s="44"/>
      <c r="EB152" s="44"/>
      <c r="EC152" s="44"/>
      <c r="ED152" s="44"/>
      <c r="EE152" s="44"/>
      <c r="EF152" s="44"/>
      <c r="EG152" s="44"/>
      <c r="EH152" s="44"/>
      <c r="EI152" s="44"/>
      <c r="EJ152" s="44"/>
      <c r="EK152" s="44"/>
      <c r="EL152" s="44"/>
      <c r="EM152" s="44"/>
      <c r="EN152" s="44"/>
      <c r="EO152" s="44"/>
      <c r="EP152" s="44"/>
      <c r="EQ152" s="44"/>
      <c r="ER152" s="44"/>
      <c r="ES152" s="44"/>
      <c r="ET152" s="44"/>
      <c r="EU152" s="44"/>
      <c r="EV152" s="44"/>
      <c r="EW152" s="44"/>
      <c r="EX152" s="44"/>
      <c r="EY152" s="44"/>
      <c r="EZ152" s="44"/>
      <c r="FA152" s="44"/>
      <c r="FB152" s="44"/>
      <c r="FC152" s="44"/>
      <c r="FD152" s="44"/>
      <c r="FE152" s="44"/>
      <c r="FF152" s="44"/>
      <c r="FG152" s="44"/>
      <c r="FH152" s="44"/>
      <c r="FI152" s="44"/>
      <c r="FJ152" s="44"/>
      <c r="FK152" s="44"/>
      <c r="FL152" s="44"/>
      <c r="FM152" s="44"/>
      <c r="FN152" s="44"/>
      <c r="FO152" s="44"/>
      <c r="FP152" s="44"/>
      <c r="FQ152" s="81"/>
      <c r="FR152" s="44"/>
      <c r="FS152" s="82"/>
      <c r="FT152" s="44"/>
    </row>
    <row r="153" spans="2:177" s="20" customFormat="1">
      <c r="B153" s="20" t="s">
        <v>846</v>
      </c>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68"/>
      <c r="AQ153" s="44"/>
      <c r="AR153" s="44"/>
      <c r="AS153" s="44"/>
      <c r="AT153" s="44">
        <v>15734</v>
      </c>
      <c r="AU153" s="44">
        <v>15383</v>
      </c>
      <c r="AV153" s="44">
        <v>14925</v>
      </c>
      <c r="AW153" s="44">
        <v>14332</v>
      </c>
      <c r="AX153" s="44"/>
      <c r="AY153" s="44">
        <v>12936</v>
      </c>
      <c r="AZ153" s="44">
        <v>13194</v>
      </c>
      <c r="BA153" s="44">
        <v>13173</v>
      </c>
      <c r="BB153" s="44">
        <v>22780</v>
      </c>
      <c r="BC153" s="44">
        <v>21651</v>
      </c>
      <c r="BD153" s="44"/>
      <c r="BE153" s="44"/>
      <c r="BF153" s="44"/>
      <c r="BG153" s="44"/>
      <c r="BH153" s="44"/>
      <c r="BI153" s="44"/>
      <c r="BJ153" s="65">
        <v>16938</v>
      </c>
      <c r="BK153" s="65">
        <v>16192</v>
      </c>
      <c r="BL153" s="44">
        <v>14756</v>
      </c>
      <c r="BM153" s="44"/>
      <c r="BN153" s="44"/>
      <c r="BO153" s="44"/>
      <c r="BP153" s="44">
        <v>12443</v>
      </c>
      <c r="BQ153" s="44">
        <v>12359</v>
      </c>
      <c r="BR153" s="44">
        <v>12397</v>
      </c>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115"/>
      <c r="CO153" s="115"/>
      <c r="CP153" s="115"/>
      <c r="CQ153" s="115"/>
      <c r="CR153" s="115"/>
      <c r="CS153" s="115"/>
      <c r="CT153" s="115"/>
      <c r="CU153" s="115"/>
      <c r="CV153" s="115"/>
      <c r="CW153" s="115"/>
      <c r="CX153" s="115"/>
      <c r="CY153" s="115">
        <v>15109</v>
      </c>
      <c r="CZ153" s="115">
        <v>15244</v>
      </c>
      <c r="DA153" s="115">
        <v>15441</v>
      </c>
      <c r="DB153" s="115"/>
      <c r="DC153" s="115"/>
      <c r="DD153" s="115"/>
      <c r="DE153" s="115"/>
      <c r="DF153" s="115"/>
      <c r="DG153" s="115"/>
      <c r="DH153" s="115">
        <v>18957</v>
      </c>
      <c r="DI153" s="115"/>
      <c r="DJ153" s="115"/>
      <c r="DK153" s="115"/>
      <c r="DL153" s="115"/>
      <c r="DM153" s="115"/>
      <c r="DN153" s="115"/>
      <c r="DO153" s="115"/>
      <c r="DP153" s="44"/>
      <c r="DQ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44"/>
      <c r="FC153" s="44"/>
      <c r="FD153" s="44"/>
      <c r="FE153" s="44"/>
      <c r="FF153" s="44"/>
      <c r="FG153" s="44"/>
      <c r="FH153" s="44"/>
      <c r="FI153" s="44"/>
      <c r="FJ153" s="44"/>
      <c r="FK153" s="44"/>
      <c r="FL153" s="44"/>
      <c r="FM153" s="44"/>
      <c r="FN153" s="44"/>
      <c r="FO153" s="44"/>
      <c r="FP153" s="44"/>
      <c r="FQ153" s="81"/>
      <c r="FR153" s="44"/>
      <c r="FS153" s="82"/>
      <c r="FT153" s="44"/>
    </row>
    <row r="154" spans="2:177" s="20" customFormat="1">
      <c r="B154" s="20" t="s">
        <v>847</v>
      </c>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68"/>
      <c r="AQ154" s="44"/>
      <c r="AR154" s="44"/>
      <c r="AS154" s="44"/>
      <c r="AT154" s="44">
        <f>21382+20498</f>
        <v>41880</v>
      </c>
      <c r="AU154" s="44">
        <f>21556+19896</f>
        <v>41452</v>
      </c>
      <c r="AV154" s="44">
        <f>21704+19875</f>
        <v>41579</v>
      </c>
      <c r="AW154" s="44">
        <f>21353+18978</f>
        <v>40331</v>
      </c>
      <c r="AX154" s="44"/>
      <c r="AY154" s="44">
        <f>21482+16923</f>
        <v>38405</v>
      </c>
      <c r="AZ154" s="44">
        <f>21794+16611</f>
        <v>38405</v>
      </c>
      <c r="BA154" s="44">
        <f>21796+16125</f>
        <v>37921</v>
      </c>
      <c r="BB154" s="44">
        <f>42376+68015</f>
        <v>110391</v>
      </c>
      <c r="BC154" s="44">
        <f>42648+64480</f>
        <v>107128</v>
      </c>
      <c r="BD154" s="44"/>
      <c r="BE154" s="44"/>
      <c r="BF154" s="44"/>
      <c r="BG154" s="44"/>
      <c r="BH154" s="44"/>
      <c r="BI154" s="44"/>
      <c r="BJ154" s="65">
        <f>45067+53833</f>
        <v>98900</v>
      </c>
      <c r="BK154" s="65">
        <f>45252+52801</f>
        <v>98053</v>
      </c>
      <c r="BL154" s="44">
        <f>44568+48399</f>
        <v>92967</v>
      </c>
      <c r="BM154" s="44"/>
      <c r="BN154" s="44"/>
      <c r="BO154" s="44"/>
      <c r="BP154" s="44">
        <f>42431+41776</f>
        <v>84207</v>
      </c>
      <c r="BQ154" s="44">
        <f>42400+40549</f>
        <v>82949</v>
      </c>
      <c r="BR154" s="44">
        <f>42519+39385</f>
        <v>81904</v>
      </c>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115"/>
      <c r="CO154" s="115"/>
      <c r="CP154" s="115"/>
      <c r="CQ154" s="115"/>
      <c r="CR154" s="115"/>
      <c r="CS154" s="115"/>
      <c r="CT154" s="115"/>
      <c r="CU154" s="115"/>
      <c r="CV154" s="115"/>
      <c r="CW154" s="115"/>
      <c r="CX154" s="115"/>
      <c r="CY154" s="115">
        <f>29816+50211</f>
        <v>80027</v>
      </c>
      <c r="CZ154" s="115">
        <f>29065+49891</f>
        <v>78956</v>
      </c>
      <c r="DA154" s="115">
        <f>28151+49441</f>
        <v>77592</v>
      </c>
      <c r="DB154" s="115"/>
      <c r="DC154" s="115"/>
      <c r="DD154" s="115"/>
      <c r="DE154" s="115"/>
      <c r="DF154" s="115"/>
      <c r="DG154" s="115"/>
      <c r="DH154" s="115">
        <f>61240+68445</f>
        <v>129685</v>
      </c>
      <c r="DI154" s="115"/>
      <c r="DJ154" s="115"/>
      <c r="DK154" s="115"/>
      <c r="DL154" s="115"/>
      <c r="DM154" s="115"/>
      <c r="DN154" s="115"/>
      <c r="DO154" s="115"/>
      <c r="DP154" s="44"/>
      <c r="DQ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44"/>
      <c r="FC154" s="44"/>
      <c r="FD154" s="44"/>
      <c r="FE154" s="44"/>
      <c r="FF154" s="44"/>
      <c r="FG154" s="44"/>
      <c r="FH154" s="44"/>
      <c r="FI154" s="44"/>
      <c r="FJ154" s="44"/>
      <c r="FK154" s="44"/>
      <c r="FL154" s="44"/>
      <c r="FM154" s="44"/>
      <c r="FN154" s="44"/>
      <c r="FO154" s="44"/>
      <c r="FP154" s="44"/>
      <c r="FQ154" s="81"/>
      <c r="FR154" s="44"/>
      <c r="FS154" s="82"/>
      <c r="FT154" s="44"/>
    </row>
    <row r="155" spans="2:177" s="20" customFormat="1">
      <c r="B155" s="20" t="s">
        <v>848</v>
      </c>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68"/>
      <c r="AQ155" s="44"/>
      <c r="AR155" s="44"/>
      <c r="AS155" s="44"/>
      <c r="AT155" s="44">
        <v>5949</v>
      </c>
      <c r="AU155" s="44">
        <v>6193</v>
      </c>
      <c r="AV155" s="44">
        <v>4255</v>
      </c>
      <c r="AW155" s="44">
        <v>3929</v>
      </c>
      <c r="AX155" s="44"/>
      <c r="AY155" s="44">
        <v>3802</v>
      </c>
      <c r="AZ155" s="44">
        <v>3614</v>
      </c>
      <c r="BA155" s="44">
        <v>4520</v>
      </c>
      <c r="BB155" s="44">
        <v>4986</v>
      </c>
      <c r="BC155" s="44">
        <v>4337</v>
      </c>
      <c r="BD155" s="44"/>
      <c r="BE155" s="44"/>
      <c r="BF155" s="44"/>
      <c r="BG155" s="44"/>
      <c r="BH155" s="44"/>
      <c r="BI155" s="44"/>
      <c r="BJ155" s="65">
        <v>5779</v>
      </c>
      <c r="BK155" s="65">
        <v>5943</v>
      </c>
      <c r="BL155" s="44">
        <v>5806</v>
      </c>
      <c r="BM155" s="44"/>
      <c r="BN155" s="44"/>
      <c r="BO155" s="44"/>
      <c r="BP155" s="44">
        <v>5143</v>
      </c>
      <c r="BQ155" s="44">
        <v>4982</v>
      </c>
      <c r="BR155" s="44">
        <v>3596</v>
      </c>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115"/>
      <c r="CO155" s="115"/>
      <c r="CP155" s="115"/>
      <c r="CQ155" s="115"/>
      <c r="CR155" s="115"/>
      <c r="CS155" s="115"/>
      <c r="CT155" s="115"/>
      <c r="CU155" s="115"/>
      <c r="CV155" s="115"/>
      <c r="CW155" s="115"/>
      <c r="CX155" s="115"/>
      <c r="CY155" s="115">
        <v>7879</v>
      </c>
      <c r="CZ155" s="115">
        <v>7659.5</v>
      </c>
      <c r="DA155" s="115">
        <v>7136</v>
      </c>
      <c r="DB155" s="115"/>
      <c r="DC155" s="115"/>
      <c r="DD155" s="115"/>
      <c r="DE155" s="115"/>
      <c r="DF155" s="115"/>
      <c r="DG155" s="115"/>
      <c r="DH155" s="115">
        <f>7867+10710</f>
        <v>18577</v>
      </c>
      <c r="DI155" s="115"/>
      <c r="DJ155" s="115"/>
      <c r="DK155" s="115"/>
      <c r="DL155" s="115"/>
      <c r="DM155" s="115"/>
      <c r="DN155" s="115"/>
      <c r="DO155" s="115"/>
      <c r="DP155" s="44"/>
      <c r="DQ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44"/>
      <c r="FC155" s="44"/>
      <c r="FD155" s="44"/>
      <c r="FE155" s="44"/>
      <c r="FF155" s="44"/>
      <c r="FG155" s="44"/>
      <c r="FH155" s="44"/>
      <c r="FI155" s="44"/>
      <c r="FJ155" s="44"/>
      <c r="FK155" s="44"/>
      <c r="FL155" s="44"/>
      <c r="FM155" s="44"/>
      <c r="FN155" s="44"/>
      <c r="FO155" s="44"/>
      <c r="FP155" s="44"/>
      <c r="FQ155" s="81"/>
      <c r="FR155" s="44"/>
      <c r="FS155" s="82"/>
      <c r="FT155" s="44"/>
    </row>
    <row r="156" spans="2:177" s="20" customFormat="1">
      <c r="B156" s="20" t="s">
        <v>849</v>
      </c>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68"/>
      <c r="AQ156" s="44"/>
      <c r="AR156" s="44"/>
      <c r="AS156" s="44"/>
      <c r="AT156" s="44">
        <f>SUM(AT150:AT155,AT148,AT149)</f>
        <v>115268</v>
      </c>
      <c r="AU156" s="44">
        <f>SUM(AU150:AU155,AU148,AU149)</f>
        <v>118550</v>
      </c>
      <c r="AV156" s="44">
        <f>SUM(AV150:AV155,AV148,AV149)</f>
        <v>116515</v>
      </c>
      <c r="AW156" s="44">
        <f>SUM(AW150:AW155,AW148,AW149)</f>
        <v>115249</v>
      </c>
      <c r="AX156" s="44"/>
      <c r="AY156" s="44">
        <f>SUM(AY150:AY155,AY148,AY149)</f>
        <v>122932</v>
      </c>
      <c r="AZ156" s="44">
        <f>SUM(AZ150:AZ155,AZ148,AZ149)</f>
        <v>139339</v>
      </c>
      <c r="BA156" s="44">
        <f>SUM(BA150:BA155,BA148,BA149)</f>
        <v>141564</v>
      </c>
      <c r="BB156" s="44">
        <f>SUM(BB150:BB155,BB148,BB149)</f>
        <v>212949</v>
      </c>
      <c r="BC156" s="44">
        <f>SUM(BC150:BC155,BC148,BC149)</f>
        <v>195113</v>
      </c>
      <c r="BD156" s="44"/>
      <c r="BE156" s="44"/>
      <c r="BF156" s="44"/>
      <c r="BG156" s="44"/>
      <c r="BH156" s="44"/>
      <c r="BI156" s="44"/>
      <c r="BJ156" s="65">
        <f>SUM(BJ148:BJ155)</f>
        <v>188002</v>
      </c>
      <c r="BK156" s="65">
        <f>SUM(BK148:BK155)</f>
        <v>185683</v>
      </c>
      <c r="BL156" s="65">
        <f>SUM(BL148:BL155)</f>
        <v>182842</v>
      </c>
      <c r="BM156" s="44"/>
      <c r="BN156" s="44"/>
      <c r="BO156" s="44"/>
      <c r="BP156" s="65">
        <f>SUM(BP148:BP155)</f>
        <v>179335</v>
      </c>
      <c r="BQ156" s="65">
        <f>SUM(BQ148:BQ155)</f>
        <v>175521</v>
      </c>
      <c r="BR156" s="65">
        <f>SUM(BR148:BR155)</f>
        <v>172101</v>
      </c>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115"/>
      <c r="CO156" s="115"/>
      <c r="CP156" s="115"/>
      <c r="CQ156" s="115"/>
      <c r="CR156" s="115"/>
      <c r="CS156" s="115"/>
      <c r="CT156" s="115"/>
      <c r="CU156" s="115"/>
      <c r="CV156" s="115"/>
      <c r="CW156" s="115"/>
      <c r="CX156" s="115"/>
      <c r="CY156" s="115">
        <f>SUM(CY148:CY155)</f>
        <v>183840</v>
      </c>
      <c r="CZ156" s="115">
        <f>SUM(CZ148:CZ155)</f>
        <v>195289.5</v>
      </c>
      <c r="DA156" s="115">
        <f>SUM(DA148:DA155)</f>
        <v>195352</v>
      </c>
      <c r="DB156" s="115"/>
      <c r="DC156" s="115"/>
      <c r="DD156" s="115"/>
      <c r="DE156" s="115"/>
      <c r="DF156" s="115"/>
      <c r="DG156" s="115"/>
      <c r="DH156" s="115">
        <f>SUM(DH148:DH155)</f>
        <v>216191</v>
      </c>
      <c r="DI156" s="115"/>
      <c r="DJ156" s="115"/>
      <c r="DK156" s="115"/>
      <c r="DL156" s="115"/>
      <c r="DM156" s="115"/>
      <c r="DN156" s="115"/>
      <c r="DO156" s="115"/>
      <c r="DP156" s="44"/>
      <c r="DQ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44"/>
      <c r="FC156" s="44"/>
      <c r="FD156" s="44"/>
      <c r="FE156" s="44"/>
      <c r="FF156" s="44"/>
      <c r="FG156" s="44"/>
      <c r="FH156" s="44"/>
      <c r="FI156" s="44"/>
      <c r="FJ156" s="44"/>
      <c r="FK156" s="44"/>
      <c r="FL156" s="44"/>
      <c r="FM156" s="44"/>
      <c r="FN156" s="44"/>
      <c r="FO156" s="44"/>
      <c r="FP156" s="44"/>
      <c r="FQ156" s="81"/>
      <c r="FR156" s="44"/>
      <c r="FS156" s="82"/>
      <c r="FT156" s="44"/>
    </row>
    <row r="157" spans="2:177">
      <c r="AP157" s="62"/>
      <c r="AT157" s="44"/>
      <c r="AU157" s="44"/>
      <c r="AV157" s="44"/>
      <c r="AW157" s="44"/>
      <c r="AY157" s="44"/>
      <c r="AZ157" s="44"/>
      <c r="BA157" s="44"/>
      <c r="BB157" s="44"/>
      <c r="BC157" s="44"/>
      <c r="BJ157" s="65"/>
      <c r="BK157" s="65"/>
      <c r="BL157" s="65"/>
      <c r="BP157" s="65"/>
      <c r="BQ157" s="65"/>
      <c r="BR157" s="65"/>
    </row>
    <row r="158" spans="2:177" s="20" customFormat="1">
      <c r="B158" s="20" t="s">
        <v>314</v>
      </c>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68"/>
      <c r="AQ158" s="44">
        <f>2.638+4.771</f>
        <v>7.4089999999999998</v>
      </c>
      <c r="AR158" s="44">
        <f>2.432+5.777</f>
        <v>8.2089999999999996</v>
      </c>
      <c r="AS158" s="44">
        <v>8.6999999999999993</v>
      </c>
      <c r="AT158" s="44">
        <f>5825+7314</f>
        <v>13139</v>
      </c>
      <c r="AU158" s="44">
        <f>8143+8909</f>
        <v>17052</v>
      </c>
      <c r="AV158" s="44">
        <f>9193+7152</f>
        <v>16345</v>
      </c>
      <c r="AW158" s="44">
        <f>9193+7152</f>
        <v>16345</v>
      </c>
      <c r="AX158" s="44"/>
      <c r="AY158" s="44">
        <f>7613+21064</f>
        <v>28677</v>
      </c>
      <c r="AZ158" s="44">
        <f>7645+31864</f>
        <v>39509</v>
      </c>
      <c r="BA158" s="44">
        <f>6954+32402</f>
        <v>39356</v>
      </c>
      <c r="BB158" s="44">
        <f>5469+43193</f>
        <v>48662</v>
      </c>
      <c r="BC158" s="44">
        <f>7769+38281</f>
        <v>46050</v>
      </c>
      <c r="BD158" s="44"/>
      <c r="BE158" s="44"/>
      <c r="BF158" s="44"/>
      <c r="BG158" s="44"/>
      <c r="BH158" s="44"/>
      <c r="BI158" s="44"/>
      <c r="BJ158" s="65">
        <f>4018+34931</f>
        <v>38949</v>
      </c>
      <c r="BK158" s="65">
        <f>5526+33543</f>
        <v>39069</v>
      </c>
      <c r="BL158" s="44">
        <f>7703+30868</f>
        <v>38571</v>
      </c>
      <c r="BM158" s="44"/>
      <c r="BN158" s="44"/>
      <c r="BO158" s="44"/>
      <c r="BP158" s="44">
        <f>5214+31532</f>
        <v>36746</v>
      </c>
      <c r="BQ158" s="44">
        <f>4738+31812</f>
        <v>36550</v>
      </c>
      <c r="BR158" s="44">
        <f>6027+30462</f>
        <v>36489</v>
      </c>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115"/>
      <c r="CO158" s="115"/>
      <c r="CP158" s="115"/>
      <c r="CQ158" s="115"/>
      <c r="CR158" s="115"/>
      <c r="CS158" s="115"/>
      <c r="CT158" s="115"/>
      <c r="CU158" s="115"/>
      <c r="CV158" s="115"/>
      <c r="CW158" s="115"/>
      <c r="CX158" s="115"/>
      <c r="CY158" s="115">
        <f>645+35656</f>
        <v>36301</v>
      </c>
      <c r="CZ158" s="115">
        <f>5990+34294</f>
        <v>40284</v>
      </c>
      <c r="DA158" s="115">
        <f>4040+32629</f>
        <v>36669</v>
      </c>
      <c r="DB158" s="115"/>
      <c r="DC158" s="115"/>
      <c r="DD158" s="115"/>
      <c r="DE158" s="115"/>
      <c r="DF158" s="115"/>
      <c r="DG158" s="115"/>
      <c r="DH158" s="115">
        <f>11944+57506</f>
        <v>69450</v>
      </c>
      <c r="DI158" s="115"/>
      <c r="DJ158" s="115"/>
      <c r="DK158" s="115"/>
      <c r="DL158" s="115"/>
      <c r="DM158" s="115"/>
      <c r="DN158" s="115"/>
      <c r="DO158" s="115"/>
      <c r="DP158" s="44"/>
      <c r="DQ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44"/>
      <c r="FC158" s="44"/>
      <c r="FD158" s="44"/>
      <c r="FE158" s="44"/>
      <c r="FF158" s="44"/>
      <c r="FG158" s="44"/>
      <c r="FH158" s="44"/>
      <c r="FI158" s="44"/>
      <c r="FJ158" s="44"/>
      <c r="FK158" s="44"/>
      <c r="FL158" s="44"/>
      <c r="FM158" s="44"/>
      <c r="FN158" s="44"/>
      <c r="FO158" s="44"/>
      <c r="FP158" s="44"/>
      <c r="FQ158" s="81"/>
      <c r="FR158" s="44"/>
      <c r="FS158" s="82"/>
      <c r="FT158" s="44"/>
    </row>
    <row r="159" spans="2:177" s="20" customFormat="1">
      <c r="B159" s="20" t="s">
        <v>850</v>
      </c>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68"/>
      <c r="AQ159" s="44"/>
      <c r="AR159" s="44"/>
      <c r="AS159" s="44"/>
      <c r="AT159" s="44"/>
      <c r="AU159" s="44"/>
      <c r="AV159" s="44"/>
      <c r="AW159" s="44">
        <v>1649</v>
      </c>
      <c r="AX159" s="44"/>
      <c r="AY159" s="44">
        <v>1573</v>
      </c>
      <c r="AZ159" s="44">
        <v>2595</v>
      </c>
      <c r="BA159" s="44">
        <v>2481</v>
      </c>
      <c r="BB159" s="44">
        <v>4370</v>
      </c>
      <c r="BC159" s="44">
        <v>3028</v>
      </c>
      <c r="BD159" s="44"/>
      <c r="BE159" s="44"/>
      <c r="BF159" s="44"/>
      <c r="BG159" s="44"/>
      <c r="BH159" s="44"/>
      <c r="BI159" s="44"/>
      <c r="BJ159" s="65">
        <v>3836</v>
      </c>
      <c r="BK159" s="65">
        <v>3091</v>
      </c>
      <c r="BL159" s="44">
        <v>3165</v>
      </c>
      <c r="BM159" s="44"/>
      <c r="BN159" s="44"/>
      <c r="BO159" s="44"/>
      <c r="BP159" s="44">
        <v>1978</v>
      </c>
      <c r="BQ159" s="44">
        <v>2287</v>
      </c>
      <c r="BR159" s="44">
        <v>3234</v>
      </c>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115"/>
      <c r="CO159" s="115"/>
      <c r="CP159" s="115"/>
      <c r="CQ159" s="115"/>
      <c r="CR159" s="115"/>
      <c r="CS159" s="115"/>
      <c r="CT159" s="115"/>
      <c r="CU159" s="115"/>
      <c r="CV159" s="115"/>
      <c r="CW159" s="115"/>
      <c r="CX159" s="115"/>
      <c r="CY159" s="115">
        <v>5506</v>
      </c>
      <c r="CZ159" s="115">
        <v>6208</v>
      </c>
      <c r="DA159" s="115">
        <v>6267</v>
      </c>
      <c r="DB159" s="115"/>
      <c r="DC159" s="115"/>
      <c r="DD159" s="115"/>
      <c r="DE159" s="115"/>
      <c r="DF159" s="115"/>
      <c r="DG159" s="115"/>
      <c r="DH159" s="115">
        <v>5106</v>
      </c>
      <c r="DI159" s="115"/>
      <c r="DJ159" s="115"/>
      <c r="DK159" s="115"/>
      <c r="DL159" s="115"/>
      <c r="DM159" s="115"/>
      <c r="DN159" s="115"/>
      <c r="DO159" s="115"/>
      <c r="DP159" s="44"/>
      <c r="DQ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44"/>
      <c r="FC159" s="44"/>
      <c r="FD159" s="44"/>
      <c r="FE159" s="44"/>
      <c r="FF159" s="44"/>
      <c r="FG159" s="44"/>
      <c r="FH159" s="44"/>
      <c r="FI159" s="44"/>
      <c r="FJ159" s="44"/>
      <c r="FK159" s="44"/>
      <c r="FL159" s="44"/>
      <c r="FM159" s="44"/>
      <c r="FN159" s="44"/>
      <c r="FO159" s="44"/>
      <c r="FP159" s="44"/>
      <c r="FQ159" s="81"/>
      <c r="FR159" s="44"/>
      <c r="FS159" s="82"/>
      <c r="FT159" s="44"/>
    </row>
    <row r="160" spans="2:177" s="20" customFormat="1">
      <c r="B160" s="20" t="s">
        <v>851</v>
      </c>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68"/>
      <c r="AQ160" s="44"/>
      <c r="AR160" s="44"/>
      <c r="AS160" s="44"/>
      <c r="AT160" s="44"/>
      <c r="AU160" s="44"/>
      <c r="AV160" s="44"/>
      <c r="AW160" s="44">
        <v>1</v>
      </c>
      <c r="AX160" s="44"/>
      <c r="AY160" s="44">
        <v>1</v>
      </c>
      <c r="AZ160" s="44">
        <v>1081</v>
      </c>
      <c r="BA160" s="44">
        <v>1</v>
      </c>
      <c r="BB160" s="44">
        <v>1454</v>
      </c>
      <c r="BC160" s="44">
        <v>1</v>
      </c>
      <c r="BD160" s="44"/>
      <c r="BE160" s="44"/>
      <c r="BF160" s="44"/>
      <c r="BG160" s="44"/>
      <c r="BH160" s="44"/>
      <c r="BI160" s="44"/>
      <c r="BJ160" s="65">
        <v>1796</v>
      </c>
      <c r="BK160" s="65">
        <v>1</v>
      </c>
      <c r="BL160" s="44">
        <v>1826</v>
      </c>
      <c r="BM160" s="44"/>
      <c r="BN160" s="44"/>
      <c r="BO160" s="44"/>
      <c r="BP160" s="44">
        <v>1685</v>
      </c>
      <c r="BQ160" s="44">
        <v>1</v>
      </c>
      <c r="BR160" s="44">
        <v>1663</v>
      </c>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115"/>
      <c r="CO160" s="115"/>
      <c r="CP160" s="115"/>
      <c r="CQ160" s="115"/>
      <c r="CR160" s="115"/>
      <c r="CS160" s="115"/>
      <c r="CT160" s="115"/>
      <c r="CU160" s="115"/>
      <c r="CV160" s="115"/>
      <c r="CW160" s="115"/>
      <c r="CX160" s="115"/>
      <c r="CY160" s="115">
        <v>0</v>
      </c>
      <c r="CZ160" s="115">
        <v>2245</v>
      </c>
      <c r="DA160" s="115">
        <v>2245</v>
      </c>
      <c r="DB160" s="115"/>
      <c r="DC160" s="115"/>
      <c r="DD160" s="115"/>
      <c r="DE160" s="115"/>
      <c r="DF160" s="115"/>
      <c r="DG160" s="115"/>
      <c r="DH160" s="115">
        <v>2380</v>
      </c>
      <c r="DI160" s="115"/>
      <c r="DJ160" s="115"/>
      <c r="DK160" s="115"/>
      <c r="DL160" s="115"/>
      <c r="DM160" s="115"/>
      <c r="DN160" s="115"/>
      <c r="DO160" s="115"/>
      <c r="DP160" s="44"/>
      <c r="DQ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44"/>
      <c r="FC160" s="44"/>
      <c r="FD160" s="44"/>
      <c r="FE160" s="44"/>
      <c r="FF160" s="44"/>
      <c r="FG160" s="44"/>
      <c r="FH160" s="44"/>
      <c r="FI160" s="44"/>
      <c r="FJ160" s="44"/>
      <c r="FK160" s="44"/>
      <c r="FL160" s="44"/>
      <c r="FM160" s="44"/>
      <c r="FN160" s="44"/>
      <c r="FO160" s="44"/>
      <c r="FP160" s="44"/>
      <c r="FQ160" s="81"/>
      <c r="FR160" s="44"/>
      <c r="FS160" s="82"/>
      <c r="FT160" s="44"/>
    </row>
    <row r="161" spans="2:177" s="20" customFormat="1">
      <c r="B161" s="20" t="s">
        <v>852</v>
      </c>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68"/>
      <c r="AQ161" s="44"/>
      <c r="AR161" s="44"/>
      <c r="AS161" s="44"/>
      <c r="AT161" s="44"/>
      <c r="AU161" s="44"/>
      <c r="AV161" s="44"/>
      <c r="AW161" s="44">
        <v>735</v>
      </c>
      <c r="AX161" s="44"/>
      <c r="AY161" s="44">
        <v>542</v>
      </c>
      <c r="AZ161" s="44">
        <v>607</v>
      </c>
      <c r="BA161" s="44">
        <f>485+1816</f>
        <v>2301</v>
      </c>
      <c r="BB161" s="44">
        <v>10107</v>
      </c>
      <c r="BC161" s="44">
        <f>765+12301</f>
        <v>13066</v>
      </c>
      <c r="BD161" s="44"/>
      <c r="BE161" s="44"/>
      <c r="BF161" s="44"/>
      <c r="BG161" s="44"/>
      <c r="BH161" s="44"/>
      <c r="BI161" s="44"/>
      <c r="BJ161" s="65">
        <v>1013</v>
      </c>
      <c r="BK161" s="65">
        <v>1930</v>
      </c>
      <c r="BL161" s="44">
        <v>2098</v>
      </c>
      <c r="BM161" s="44"/>
      <c r="BN161" s="44"/>
      <c r="BO161" s="44"/>
      <c r="BP161" s="44">
        <v>904</v>
      </c>
      <c r="BQ161" s="44">
        <v>802</v>
      </c>
      <c r="BR161" s="44">
        <v>678</v>
      </c>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115"/>
      <c r="CO161" s="115"/>
      <c r="CP161" s="115"/>
      <c r="CQ161" s="115"/>
      <c r="CR161" s="115"/>
      <c r="CS161" s="115"/>
      <c r="CT161" s="115"/>
      <c r="CU161" s="115"/>
      <c r="CV161" s="115"/>
      <c r="CW161" s="115"/>
      <c r="CX161" s="115"/>
      <c r="CY161" s="115">
        <v>3177</v>
      </c>
      <c r="CZ161" s="115">
        <v>3350</v>
      </c>
      <c r="DA161" s="115">
        <v>3071</v>
      </c>
      <c r="DB161" s="115"/>
      <c r="DC161" s="115"/>
      <c r="DD161" s="115"/>
      <c r="DE161" s="115"/>
      <c r="DF161" s="115"/>
      <c r="DG161" s="115"/>
      <c r="DH161" s="115">
        <v>2884</v>
      </c>
      <c r="DI161" s="115"/>
      <c r="DJ161" s="115"/>
      <c r="DK161" s="115"/>
      <c r="DL161" s="115"/>
      <c r="DM161" s="115"/>
      <c r="DN161" s="115"/>
      <c r="DO161" s="115"/>
      <c r="DP161" s="44"/>
      <c r="DQ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44"/>
      <c r="FC161" s="44"/>
      <c r="FD161" s="44"/>
      <c r="FE161" s="44"/>
      <c r="FF161" s="44"/>
      <c r="FG161" s="44"/>
      <c r="FH161" s="44"/>
      <c r="FI161" s="44"/>
      <c r="FJ161" s="44"/>
      <c r="FK161" s="44"/>
      <c r="FL161" s="44"/>
      <c r="FM161" s="44"/>
      <c r="FN161" s="44"/>
      <c r="FO161" s="44"/>
      <c r="FP161" s="44"/>
      <c r="FQ161" s="81"/>
      <c r="FR161" s="44"/>
      <c r="FS161" s="82"/>
      <c r="FT161" s="44"/>
    </row>
    <row r="162" spans="2:177" s="20" customFormat="1">
      <c r="B162" s="20" t="s">
        <v>853</v>
      </c>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68"/>
      <c r="AQ162" s="44"/>
      <c r="AR162" s="44"/>
      <c r="AS162" s="44"/>
      <c r="AT162" s="44"/>
      <c r="AU162" s="44"/>
      <c r="AV162" s="44"/>
      <c r="AW162" s="44">
        <v>1752</v>
      </c>
      <c r="AX162" s="44"/>
      <c r="AY162" s="44">
        <v>1565</v>
      </c>
      <c r="AZ162" s="44">
        <v>1549</v>
      </c>
      <c r="BA162" s="44">
        <v>1678</v>
      </c>
      <c r="BB162" s="44">
        <v>2242</v>
      </c>
      <c r="BC162" s="44">
        <v>2060</v>
      </c>
      <c r="BD162" s="44"/>
      <c r="BE162" s="44"/>
      <c r="BF162" s="44"/>
      <c r="BG162" s="44"/>
      <c r="BH162" s="44"/>
      <c r="BI162" s="44"/>
      <c r="BJ162" s="65">
        <v>2169</v>
      </c>
      <c r="BK162" s="65">
        <v>1752</v>
      </c>
      <c r="BL162" s="44">
        <v>1493</v>
      </c>
      <c r="BM162" s="44"/>
      <c r="BN162" s="44"/>
      <c r="BO162" s="44"/>
      <c r="BP162" s="44">
        <v>1430</v>
      </c>
      <c r="BQ162" s="44">
        <v>1750</v>
      </c>
      <c r="BR162" s="44">
        <v>1792</v>
      </c>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115"/>
      <c r="CO162" s="115"/>
      <c r="CP162" s="115"/>
      <c r="CQ162" s="115"/>
      <c r="CR162" s="115"/>
      <c r="CS162" s="115"/>
      <c r="CT162" s="115"/>
      <c r="CU162" s="115"/>
      <c r="CV162" s="115"/>
      <c r="CW162" s="115"/>
      <c r="CX162" s="115"/>
      <c r="CY162" s="115">
        <v>2249</v>
      </c>
      <c r="CZ162" s="115">
        <v>1997</v>
      </c>
      <c r="DA162" s="115">
        <v>2852</v>
      </c>
      <c r="DB162" s="115"/>
      <c r="DC162" s="115"/>
      <c r="DD162" s="115"/>
      <c r="DE162" s="115"/>
      <c r="DF162" s="115"/>
      <c r="DG162" s="115"/>
      <c r="DH162" s="115">
        <v>2566</v>
      </c>
      <c r="DI162" s="115"/>
      <c r="DJ162" s="115"/>
      <c r="DK162" s="115"/>
      <c r="DL162" s="115"/>
      <c r="DM162" s="115"/>
      <c r="DN162" s="115"/>
      <c r="DO162" s="115"/>
      <c r="DP162" s="44"/>
      <c r="DQ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44"/>
      <c r="FC162" s="44"/>
      <c r="FD162" s="44"/>
      <c r="FE162" s="44"/>
      <c r="FF162" s="44"/>
      <c r="FG162" s="44"/>
      <c r="FH162" s="44"/>
      <c r="FI162" s="44"/>
      <c r="FJ162" s="44"/>
      <c r="FK162" s="44"/>
      <c r="FL162" s="44"/>
      <c r="FM162" s="44"/>
      <c r="FN162" s="44"/>
      <c r="FO162" s="44"/>
      <c r="FP162" s="44"/>
      <c r="FQ162" s="81"/>
      <c r="FR162" s="44"/>
      <c r="FS162" s="82"/>
      <c r="FT162" s="44"/>
    </row>
    <row r="163" spans="2:177" s="20" customFormat="1">
      <c r="B163" s="111" t="s">
        <v>1380</v>
      </c>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68"/>
      <c r="AQ163" s="44"/>
      <c r="AR163" s="44"/>
      <c r="AS163" s="44"/>
      <c r="AT163" s="44"/>
      <c r="AU163" s="44"/>
      <c r="AV163" s="44"/>
      <c r="AW163" s="44"/>
      <c r="AX163" s="44"/>
      <c r="AY163" s="44"/>
      <c r="AZ163" s="44"/>
      <c r="BA163" s="44"/>
      <c r="BB163" s="44"/>
      <c r="BC163" s="44"/>
      <c r="BD163" s="44"/>
      <c r="BE163" s="44"/>
      <c r="BF163" s="44"/>
      <c r="BG163" s="44"/>
      <c r="BH163" s="44"/>
      <c r="BI163" s="44"/>
      <c r="BJ163" s="65"/>
      <c r="BK163" s="65"/>
      <c r="BL163" s="44"/>
      <c r="BM163" s="44"/>
      <c r="BN163" s="44"/>
      <c r="BO163" s="44"/>
      <c r="BP163" s="44"/>
      <c r="BQ163" s="44"/>
      <c r="BR163" s="44"/>
      <c r="BS163" s="44"/>
      <c r="BT163" s="44"/>
      <c r="BU163" s="44"/>
      <c r="BV163" s="44"/>
      <c r="BW163" s="44"/>
      <c r="BX163" s="44"/>
      <c r="BY163" s="44"/>
      <c r="BZ163" s="44"/>
      <c r="CA163" s="44"/>
      <c r="CB163" s="44"/>
      <c r="CC163" s="44"/>
      <c r="CD163" s="44"/>
      <c r="CE163" s="44"/>
      <c r="CF163" s="44"/>
      <c r="CG163" s="44"/>
      <c r="CH163" s="44"/>
      <c r="CI163" s="44"/>
      <c r="CJ163" s="44"/>
      <c r="CK163" s="44"/>
      <c r="CL163" s="44"/>
      <c r="CM163" s="44"/>
      <c r="CN163" s="115"/>
      <c r="CO163" s="115"/>
      <c r="CP163" s="115"/>
      <c r="CQ163" s="115"/>
      <c r="CR163" s="115"/>
      <c r="CS163" s="115"/>
      <c r="CT163" s="115"/>
      <c r="CU163" s="115"/>
      <c r="CV163" s="115"/>
      <c r="CW163" s="115"/>
      <c r="CX163" s="115"/>
      <c r="CY163" s="115">
        <v>3108</v>
      </c>
      <c r="CZ163" s="115">
        <v>3804</v>
      </c>
      <c r="DA163" s="115">
        <v>6191</v>
      </c>
      <c r="DB163" s="115"/>
      <c r="DC163" s="115"/>
      <c r="DD163" s="115"/>
      <c r="DE163" s="115"/>
      <c r="DF163" s="115"/>
      <c r="DG163" s="115"/>
      <c r="DH163" s="115">
        <v>2528</v>
      </c>
      <c r="DI163" s="115"/>
      <c r="DJ163" s="115"/>
      <c r="DK163" s="115"/>
      <c r="DL163" s="115"/>
      <c r="DM163" s="115"/>
      <c r="DN163" s="115"/>
      <c r="DO163" s="115"/>
      <c r="DP163" s="44"/>
      <c r="DQ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44"/>
      <c r="FC163" s="44"/>
      <c r="FD163" s="44"/>
      <c r="FE163" s="44"/>
      <c r="FF163" s="44"/>
      <c r="FG163" s="44"/>
      <c r="FH163" s="44"/>
      <c r="FI163" s="44"/>
      <c r="FJ163" s="44"/>
      <c r="FK163" s="44"/>
      <c r="FL163" s="44"/>
      <c r="FM163" s="44"/>
      <c r="FN163" s="44"/>
      <c r="FO163" s="44"/>
      <c r="FP163" s="44"/>
      <c r="FQ163" s="81"/>
      <c r="FR163" s="44"/>
      <c r="FS163" s="82"/>
      <c r="FT163" s="44"/>
    </row>
    <row r="164" spans="2:177" s="20" customFormat="1">
      <c r="B164" s="20" t="s">
        <v>854</v>
      </c>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68"/>
      <c r="AQ164" s="44"/>
      <c r="AR164" s="44"/>
      <c r="AS164" s="44"/>
      <c r="AT164" s="44"/>
      <c r="AU164" s="44"/>
      <c r="AV164" s="44"/>
      <c r="AW164" s="44">
        <v>8173</v>
      </c>
      <c r="AX164" s="44"/>
      <c r="AY164" s="44">
        <v>12046</v>
      </c>
      <c r="AZ164" s="44">
        <v>12632</v>
      </c>
      <c r="BA164" s="44">
        <v>10577</v>
      </c>
      <c r="BB164" s="44">
        <v>13583</v>
      </c>
      <c r="BC164" s="44">
        <v>0</v>
      </c>
      <c r="BD164" s="44"/>
      <c r="BE164" s="44"/>
      <c r="BF164" s="44"/>
      <c r="BG164" s="44"/>
      <c r="BH164" s="44"/>
      <c r="BI164" s="44"/>
      <c r="BJ164" s="65">
        <v>15237</v>
      </c>
      <c r="BK164" s="65">
        <v>14794</v>
      </c>
      <c r="BL164" s="44">
        <f>13215+1298</f>
        <v>14513</v>
      </c>
      <c r="BM164" s="44"/>
      <c r="BN164" s="44"/>
      <c r="BO164" s="44"/>
      <c r="BP164" s="44">
        <f>12218+21</f>
        <v>12239</v>
      </c>
      <c r="BQ164" s="44">
        <v>10774</v>
      </c>
      <c r="BR164" s="44">
        <f>9951+21</f>
        <v>9972</v>
      </c>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115"/>
      <c r="CO164" s="115"/>
      <c r="CP164" s="115"/>
      <c r="CQ164" s="115"/>
      <c r="CR164" s="115"/>
      <c r="CS164" s="115"/>
      <c r="CT164" s="115"/>
      <c r="CU164" s="115"/>
      <c r="CV164" s="115"/>
      <c r="CW164" s="115"/>
      <c r="CX164" s="115"/>
      <c r="CY164" s="115">
        <v>24583</v>
      </c>
      <c r="CZ164" s="115">
        <v>23816</v>
      </c>
      <c r="DA164" s="115">
        <v>19647</v>
      </c>
      <c r="DB164" s="115"/>
      <c r="DC164" s="115"/>
      <c r="DD164" s="115"/>
      <c r="DE164" s="115"/>
      <c r="DF164" s="115"/>
      <c r="DG164" s="115"/>
      <c r="DH164" s="115">
        <v>16410</v>
      </c>
      <c r="DI164" s="115"/>
      <c r="DJ164" s="115"/>
      <c r="DK164" s="115"/>
      <c r="DL164" s="115"/>
      <c r="DM164" s="115"/>
      <c r="DN164" s="115"/>
      <c r="DO164" s="115"/>
      <c r="DP164" s="44"/>
      <c r="DQ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44"/>
      <c r="FC164" s="44"/>
      <c r="FD164" s="44"/>
      <c r="FE164" s="44"/>
      <c r="FF164" s="44"/>
      <c r="FG164" s="44"/>
      <c r="FH164" s="44"/>
      <c r="FI164" s="44"/>
      <c r="FJ164" s="44"/>
      <c r="FK164" s="44"/>
      <c r="FL164" s="44"/>
      <c r="FM164" s="44"/>
      <c r="FN164" s="44"/>
      <c r="FO164" s="44"/>
      <c r="FP164" s="44"/>
      <c r="FQ164" s="81"/>
      <c r="FR164" s="44"/>
      <c r="FS164" s="82"/>
      <c r="FT164" s="44"/>
    </row>
    <row r="165" spans="2:177" s="20" customFormat="1">
      <c r="B165" s="20" t="s">
        <v>855</v>
      </c>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68"/>
      <c r="AQ165" s="44"/>
      <c r="AR165" s="44"/>
      <c r="AS165" s="44"/>
      <c r="AT165" s="44"/>
      <c r="AU165" s="44"/>
      <c r="AV165" s="44"/>
      <c r="AW165" s="44">
        <f>2425+1747</f>
        <v>4172</v>
      </c>
      <c r="AX165" s="44"/>
      <c r="AY165" s="44">
        <f>4038+1604</f>
        <v>5642</v>
      </c>
      <c r="AZ165" s="44">
        <f>4159+1602</f>
        <v>5761</v>
      </c>
      <c r="BA165" s="44">
        <f>4647+1605</f>
        <v>6252</v>
      </c>
      <c r="BB165" s="44">
        <v>6392</v>
      </c>
      <c r="BC165" s="44">
        <f>6119+3239</f>
        <v>9358</v>
      </c>
      <c r="BD165" s="44"/>
      <c r="BE165" s="44"/>
      <c r="BF165" s="44"/>
      <c r="BG165" s="44"/>
      <c r="BH165" s="44"/>
      <c r="BI165" s="44"/>
      <c r="BJ165" s="65">
        <f>6355+3344</f>
        <v>9699</v>
      </c>
      <c r="BK165" s="65">
        <f>6181+3346</f>
        <v>9527</v>
      </c>
      <c r="BL165" s="44">
        <f>6484+3309</f>
        <v>9793</v>
      </c>
      <c r="BM165" s="44"/>
      <c r="BN165" s="44"/>
      <c r="BO165" s="44"/>
      <c r="BP165" s="44">
        <f>7534+3454</f>
        <v>10988</v>
      </c>
      <c r="BQ165" s="44">
        <f>7588+3423</f>
        <v>11011</v>
      </c>
      <c r="BR165" s="44">
        <f>4635+2668</f>
        <v>7303</v>
      </c>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115"/>
      <c r="CO165" s="115"/>
      <c r="CP165" s="115"/>
      <c r="CQ165" s="115"/>
      <c r="CR165" s="115"/>
      <c r="CS165" s="115"/>
      <c r="CT165" s="115"/>
      <c r="CU165" s="115"/>
      <c r="CV165" s="115"/>
      <c r="CW165" s="115"/>
      <c r="CX165" s="115"/>
      <c r="CY165" s="115">
        <f>3261+233</f>
        <v>3494</v>
      </c>
      <c r="CZ165" s="115">
        <f>3030+227</f>
        <v>3257</v>
      </c>
      <c r="DA165" s="115">
        <f>2738+222</f>
        <v>2960</v>
      </c>
      <c r="DB165" s="115"/>
      <c r="DC165" s="115"/>
      <c r="DD165" s="115"/>
      <c r="DE165" s="115"/>
      <c r="DF165" s="115"/>
      <c r="DG165" s="115"/>
      <c r="DH165" s="115">
        <v>2040</v>
      </c>
      <c r="DI165" s="115"/>
      <c r="DJ165" s="115"/>
      <c r="DK165" s="115"/>
      <c r="DL165" s="115"/>
      <c r="DM165" s="115"/>
      <c r="DN165" s="115"/>
      <c r="DO165" s="115"/>
      <c r="DP165" s="44"/>
      <c r="DQ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44"/>
      <c r="FC165" s="44"/>
      <c r="FD165" s="44"/>
      <c r="FE165" s="44"/>
      <c r="FF165" s="44"/>
      <c r="FG165" s="44"/>
      <c r="FH165" s="44"/>
      <c r="FI165" s="44"/>
      <c r="FJ165" s="44"/>
      <c r="FK165" s="44"/>
      <c r="FL165" s="44"/>
      <c r="FM165" s="44"/>
      <c r="FN165" s="44"/>
      <c r="FO165" s="44"/>
      <c r="FP165" s="44"/>
      <c r="FQ165" s="81"/>
      <c r="FR165" s="44"/>
      <c r="FS165" s="82"/>
      <c r="FT165" s="44"/>
    </row>
    <row r="166" spans="2:177" s="20" customFormat="1">
      <c r="B166" s="20" t="s">
        <v>856</v>
      </c>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68"/>
      <c r="AQ166" s="44"/>
      <c r="AR166" s="44"/>
      <c r="AS166" s="44"/>
      <c r="AT166" s="44"/>
      <c r="AU166" s="44"/>
      <c r="AV166" s="44"/>
      <c r="AW166" s="44">
        <v>5824</v>
      </c>
      <c r="AX166" s="44"/>
      <c r="AY166" s="44">
        <v>2849</v>
      </c>
      <c r="AZ166" s="44">
        <v>2356</v>
      </c>
      <c r="BA166" s="44">
        <v>2419</v>
      </c>
      <c r="BB166" s="44">
        <v>3243</v>
      </c>
      <c r="BC166" s="44">
        <v>17460</v>
      </c>
      <c r="BD166" s="44"/>
      <c r="BE166" s="44"/>
      <c r="BF166" s="44"/>
      <c r="BG166" s="44"/>
      <c r="BH166" s="44"/>
      <c r="BI166" s="44"/>
      <c r="BJ166" s="65">
        <v>19597</v>
      </c>
      <c r="BK166" s="65">
        <v>19739</v>
      </c>
      <c r="BL166" s="44">
        <v>18487</v>
      </c>
      <c r="BM166" s="44"/>
      <c r="BN166" s="44"/>
      <c r="BO166" s="44"/>
      <c r="BP166" s="44">
        <v>22338</v>
      </c>
      <c r="BQ166" s="44">
        <v>22432</v>
      </c>
      <c r="BR166" s="44">
        <v>25590</v>
      </c>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115"/>
      <c r="CO166" s="115"/>
      <c r="CP166" s="115"/>
      <c r="CQ166" s="115"/>
      <c r="CR166" s="115"/>
      <c r="CS166" s="115"/>
      <c r="CT166" s="115"/>
      <c r="CU166" s="115"/>
      <c r="CV166" s="115"/>
      <c r="CW166" s="115"/>
      <c r="CX166" s="115"/>
      <c r="CY166" s="115">
        <v>655</v>
      </c>
      <c r="CZ166" s="115">
        <v>558</v>
      </c>
      <c r="DA166" s="115">
        <v>616</v>
      </c>
      <c r="DB166" s="115"/>
      <c r="DC166" s="115"/>
      <c r="DD166" s="115"/>
      <c r="DE166" s="115"/>
      <c r="DF166" s="115"/>
      <c r="DG166" s="115"/>
      <c r="DH166" s="115">
        <f>2227+6532</f>
        <v>8759</v>
      </c>
      <c r="DI166" s="115"/>
      <c r="DJ166" s="115"/>
      <c r="DK166" s="115"/>
      <c r="DL166" s="115"/>
      <c r="DM166" s="115"/>
      <c r="DN166" s="115"/>
      <c r="DO166" s="115"/>
      <c r="DP166" s="44"/>
      <c r="DQ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44"/>
      <c r="FC166" s="44"/>
      <c r="FD166" s="44"/>
      <c r="FE166" s="44"/>
      <c r="FF166" s="44"/>
      <c r="FG166" s="44"/>
      <c r="FH166" s="44"/>
      <c r="FI166" s="44"/>
      <c r="FJ166" s="44"/>
      <c r="FK166" s="44"/>
      <c r="FL166" s="44"/>
      <c r="FM166" s="44"/>
      <c r="FN166" s="44"/>
      <c r="FO166" s="44"/>
      <c r="FP166" s="44"/>
      <c r="FQ166" s="81"/>
      <c r="FR166" s="44"/>
      <c r="FS166" s="82"/>
      <c r="FT166" s="44"/>
    </row>
    <row r="167" spans="2:177" s="20" customFormat="1">
      <c r="B167" s="20" t="s">
        <v>857</v>
      </c>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68"/>
      <c r="AQ167" s="44"/>
      <c r="AR167" s="44"/>
      <c r="AS167" s="44"/>
      <c r="AT167" s="44"/>
      <c r="AU167" s="44"/>
      <c r="AV167" s="44"/>
      <c r="AW167" s="44">
        <v>6594</v>
      </c>
      <c r="AX167" s="44"/>
      <c r="AY167" s="44">
        <v>6770</v>
      </c>
      <c r="AZ167" s="44">
        <v>7029</v>
      </c>
      <c r="BA167" s="44">
        <v>6843</v>
      </c>
      <c r="BB167" s="44">
        <f>9000+17839</f>
        <v>26839</v>
      </c>
      <c r="BC167" s="44">
        <v>8338</v>
      </c>
      <c r="BD167" s="44"/>
      <c r="BE167" s="44"/>
      <c r="BF167" s="44"/>
      <c r="BG167" s="44"/>
      <c r="BH167" s="44"/>
      <c r="BI167" s="44"/>
      <c r="BJ167" s="65">
        <v>6886</v>
      </c>
      <c r="BK167" s="65">
        <v>6984</v>
      </c>
      <c r="BL167" s="44">
        <v>7099</v>
      </c>
      <c r="BM167" s="44"/>
      <c r="BN167" s="44"/>
      <c r="BO167" s="44"/>
      <c r="BP167" s="44">
        <v>6819</v>
      </c>
      <c r="BQ167" s="44">
        <v>7024</v>
      </c>
      <c r="BR167" s="44">
        <v>3993</v>
      </c>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115"/>
      <c r="CO167" s="115"/>
      <c r="CP167" s="115"/>
      <c r="CQ167" s="115"/>
      <c r="CR167" s="115"/>
      <c r="CS167" s="115"/>
      <c r="CT167" s="115"/>
      <c r="CU167" s="115"/>
      <c r="CV167" s="115"/>
      <c r="CW167" s="115"/>
      <c r="CX167" s="115"/>
      <c r="CY167" s="115">
        <v>11574</v>
      </c>
      <c r="CZ167" s="115">
        <v>10990</v>
      </c>
      <c r="DA167" s="115">
        <v>9701</v>
      </c>
      <c r="DB167" s="115"/>
      <c r="DC167" s="115"/>
      <c r="DD167" s="115"/>
      <c r="DE167" s="115"/>
      <c r="DF167" s="115"/>
      <c r="DG167" s="115"/>
      <c r="DH167" s="115"/>
      <c r="DI167" s="115"/>
      <c r="DJ167" s="115"/>
      <c r="DK167" s="115"/>
      <c r="DL167" s="115"/>
      <c r="DM167" s="115"/>
      <c r="DN167" s="115"/>
      <c r="DO167" s="115"/>
      <c r="DP167" s="44"/>
      <c r="DQ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44"/>
      <c r="FC167" s="44"/>
      <c r="FD167" s="44"/>
      <c r="FE167" s="44"/>
      <c r="FF167" s="44"/>
      <c r="FG167" s="44"/>
      <c r="FH167" s="44"/>
      <c r="FI167" s="44"/>
      <c r="FJ167" s="44"/>
      <c r="FK167" s="44"/>
      <c r="FL167" s="44"/>
      <c r="FM167" s="44"/>
      <c r="FN167" s="44"/>
      <c r="FO167" s="44"/>
      <c r="FP167" s="44"/>
      <c r="FQ167" s="81"/>
      <c r="FR167" s="44"/>
      <c r="FS167" s="82"/>
      <c r="FT167" s="44"/>
    </row>
    <row r="168" spans="2:177" s="20" customFormat="1">
      <c r="B168" s="20" t="s">
        <v>858</v>
      </c>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68"/>
      <c r="AQ168" s="44"/>
      <c r="AR168" s="44"/>
      <c r="AS168" s="44"/>
      <c r="AT168" s="44"/>
      <c r="AU168" s="44"/>
      <c r="AV168" s="44"/>
      <c r="AW168" s="44">
        <v>2513</v>
      </c>
      <c r="AX168" s="44"/>
      <c r="AY168" s="44">
        <v>2826</v>
      </c>
      <c r="AZ168" s="44">
        <v>2985</v>
      </c>
      <c r="BA168" s="44">
        <v>3136</v>
      </c>
      <c r="BB168" s="44">
        <v>5611</v>
      </c>
      <c r="BC168" s="44">
        <v>5670</v>
      </c>
      <c r="BD168" s="44"/>
      <c r="BE168" s="44"/>
      <c r="BF168" s="44"/>
      <c r="BG168" s="44"/>
      <c r="BH168" s="44"/>
      <c r="BI168" s="44"/>
      <c r="BJ168" s="65">
        <v>6199</v>
      </c>
      <c r="BK168" s="65">
        <v>5119</v>
      </c>
      <c r="BL168" s="44">
        <v>5836</v>
      </c>
      <c r="BM168" s="44"/>
      <c r="BN168" s="44"/>
      <c r="BO168" s="44"/>
      <c r="BP168" s="44">
        <v>5231</v>
      </c>
      <c r="BQ168" s="44">
        <f>4515+21</f>
        <v>4536</v>
      </c>
      <c r="BR168" s="44">
        <v>4767</v>
      </c>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115"/>
      <c r="CO168" s="115"/>
      <c r="CP168" s="115"/>
      <c r="CQ168" s="115"/>
      <c r="CR168" s="115"/>
      <c r="CS168" s="115"/>
      <c r="CT168" s="115"/>
      <c r="CU168" s="115"/>
      <c r="CV168" s="115"/>
      <c r="CW168" s="115"/>
      <c r="CX168" s="115"/>
      <c r="CY168" s="115">
        <v>10508</v>
      </c>
      <c r="CZ168" s="115">
        <v>11311.5</v>
      </c>
      <c r="DA168" s="115">
        <v>12239</v>
      </c>
      <c r="DB168" s="115"/>
      <c r="DC168" s="115"/>
      <c r="DD168" s="115"/>
      <c r="DE168" s="115"/>
      <c r="DF168" s="115"/>
      <c r="DG168" s="115"/>
      <c r="DH168" s="115">
        <v>16095</v>
      </c>
      <c r="DI168" s="115"/>
      <c r="DJ168" s="115"/>
      <c r="DK168" s="115"/>
      <c r="DL168" s="115"/>
      <c r="DM168" s="115"/>
      <c r="DN168" s="115"/>
      <c r="DO168" s="115"/>
      <c r="DP168" s="44"/>
      <c r="DQ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44"/>
      <c r="FC168" s="44"/>
      <c r="FD168" s="44"/>
      <c r="FE168" s="44"/>
      <c r="FF168" s="44"/>
      <c r="FG168" s="44"/>
      <c r="FH168" s="44"/>
      <c r="FI168" s="44"/>
      <c r="FJ168" s="44"/>
      <c r="FK168" s="44"/>
      <c r="FL168" s="44"/>
      <c r="FM168" s="44"/>
      <c r="FN168" s="44"/>
      <c r="FO168" s="44"/>
      <c r="FP168" s="44"/>
      <c r="FQ168" s="81"/>
      <c r="FR168" s="44"/>
      <c r="FS168" s="82"/>
      <c r="FT168" s="44"/>
    </row>
    <row r="169" spans="2:177" s="20" customFormat="1">
      <c r="B169" s="20" t="s">
        <v>859</v>
      </c>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68"/>
      <c r="AQ169" s="44"/>
      <c r="AR169" s="44"/>
      <c r="AS169" s="44"/>
      <c r="AT169" s="44"/>
      <c r="AU169" s="44"/>
      <c r="AV169" s="44"/>
      <c r="AW169" s="44">
        <f>SUM(AW159:AW168,AW158)</f>
        <v>47758</v>
      </c>
      <c r="AX169" s="44"/>
      <c r="AY169" s="44">
        <f>SUM(AY159:AY168,AY158)</f>
        <v>62491</v>
      </c>
      <c r="AZ169" s="44">
        <f>SUM(AZ159:AZ168,AZ158)</f>
        <v>76104</v>
      </c>
      <c r="BA169" s="44">
        <f>SUM(BA159:BA168,BA158)</f>
        <v>75044</v>
      </c>
      <c r="BB169" s="44">
        <f>SUM(BB159:BB168,BB158)</f>
        <v>122503</v>
      </c>
      <c r="BC169" s="44">
        <f>SUM(BC159:BC168,BC158)</f>
        <v>105031</v>
      </c>
      <c r="BD169" s="44"/>
      <c r="BE169" s="44"/>
      <c r="BF169" s="44"/>
      <c r="BG169" s="44"/>
      <c r="BH169" s="44"/>
      <c r="BI169" s="44"/>
      <c r="BJ169" s="65">
        <f>SUM(BJ158:BJ168)</f>
        <v>105381</v>
      </c>
      <c r="BK169" s="65">
        <f>SUM(BK158:BK168)</f>
        <v>102006</v>
      </c>
      <c r="BL169" s="65">
        <f>SUM(BL158:BL168)</f>
        <v>102881</v>
      </c>
      <c r="BM169" s="44"/>
      <c r="BN169" s="44"/>
      <c r="BO169" s="44"/>
      <c r="BP169" s="65">
        <f>SUM(BP158:BP168)</f>
        <v>100358</v>
      </c>
      <c r="BQ169" s="65">
        <f>SUM(BQ158:BQ168)</f>
        <v>97167</v>
      </c>
      <c r="BR169" s="65">
        <f>SUM(BR158:BR168)</f>
        <v>95481</v>
      </c>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115"/>
      <c r="CO169" s="115"/>
      <c r="CP169" s="115"/>
      <c r="CQ169" s="115"/>
      <c r="CR169" s="115"/>
      <c r="CS169" s="115"/>
      <c r="CT169" s="115"/>
      <c r="CU169" s="115"/>
      <c r="CV169" s="115"/>
      <c r="CW169" s="115"/>
      <c r="CX169" s="115"/>
      <c r="CY169" s="115">
        <f>SUM(CY158:CY168)</f>
        <v>101155</v>
      </c>
      <c r="CZ169" s="115">
        <f>SUM(CZ158:CZ168)</f>
        <v>107820.5</v>
      </c>
      <c r="DA169" s="115">
        <f>SUM(DA158:DA168)</f>
        <v>102458</v>
      </c>
      <c r="DB169" s="115"/>
      <c r="DC169" s="115"/>
      <c r="DD169" s="115"/>
      <c r="DE169" s="115"/>
      <c r="DF169" s="115"/>
      <c r="DG169" s="115"/>
      <c r="DH169" s="115"/>
      <c r="DI169" s="115"/>
      <c r="DJ169" s="115"/>
      <c r="DK169" s="115"/>
      <c r="DL169" s="115"/>
      <c r="DM169" s="115"/>
      <c r="DN169" s="115"/>
      <c r="DO169" s="115"/>
      <c r="DP169" s="44"/>
      <c r="DQ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44"/>
      <c r="FC169" s="44"/>
      <c r="FD169" s="44"/>
      <c r="FE169" s="44"/>
      <c r="FF169" s="44"/>
      <c r="FG169" s="44"/>
      <c r="FH169" s="44"/>
      <c r="FI169" s="44"/>
      <c r="FJ169" s="44"/>
      <c r="FK169" s="44"/>
      <c r="FL169" s="44"/>
      <c r="FM169" s="44"/>
      <c r="FN169" s="44"/>
      <c r="FO169" s="44"/>
      <c r="FP169" s="44"/>
      <c r="FQ169" s="81"/>
      <c r="FR169" s="44"/>
      <c r="FS169" s="82"/>
      <c r="FT169" s="44"/>
    </row>
    <row r="170" spans="2:177" s="20" customFormat="1">
      <c r="B170" s="111" t="s">
        <v>860</v>
      </c>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68"/>
      <c r="AQ170" s="44"/>
      <c r="AR170" s="44"/>
      <c r="AS170" s="44"/>
      <c r="AT170" s="44"/>
      <c r="AU170" s="44"/>
      <c r="AV170" s="44"/>
      <c r="AW170" s="44"/>
      <c r="AX170" s="44"/>
      <c r="AY170" s="44"/>
      <c r="AZ170" s="44"/>
      <c r="BA170" s="44"/>
      <c r="BB170" s="44">
        <v>90446</v>
      </c>
      <c r="BC170" s="44">
        <v>90082</v>
      </c>
      <c r="BD170" s="44"/>
      <c r="BE170" s="44"/>
      <c r="BF170" s="44"/>
      <c r="BG170" s="44"/>
      <c r="BH170" s="44"/>
      <c r="BI170" s="44"/>
      <c r="BJ170" s="65">
        <v>82621</v>
      </c>
      <c r="BK170" s="65">
        <v>83677</v>
      </c>
      <c r="BL170" s="65">
        <v>79961</v>
      </c>
      <c r="BM170" s="44"/>
      <c r="BN170" s="44"/>
      <c r="BO170" s="44"/>
      <c r="BP170" s="65">
        <v>78977</v>
      </c>
      <c r="BQ170" s="65">
        <v>78354</v>
      </c>
      <c r="BR170" s="65">
        <v>76620</v>
      </c>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115"/>
      <c r="CO170" s="115"/>
      <c r="CP170" s="115"/>
      <c r="CQ170" s="115"/>
      <c r="CR170" s="115"/>
      <c r="CS170" s="115"/>
      <c r="CT170" s="115"/>
      <c r="CU170" s="115"/>
      <c r="CV170" s="115"/>
      <c r="CW170" s="115"/>
      <c r="CX170" s="115"/>
      <c r="CY170" s="115">
        <v>82685</v>
      </c>
      <c r="CZ170" s="115">
        <v>87469</v>
      </c>
      <c r="DA170" s="115">
        <v>92891</v>
      </c>
      <c r="DB170" s="115"/>
      <c r="DC170" s="115"/>
      <c r="DD170" s="115"/>
      <c r="DE170" s="115"/>
      <c r="DF170" s="115"/>
      <c r="DG170" s="115"/>
      <c r="DH170" s="115">
        <v>87975</v>
      </c>
      <c r="DI170" s="115"/>
      <c r="DJ170" s="115"/>
      <c r="DK170" s="115"/>
      <c r="DL170" s="115"/>
      <c r="DM170" s="115"/>
      <c r="DN170" s="115"/>
      <c r="DO170" s="115"/>
      <c r="DP170" s="44"/>
      <c r="DQ170" s="44"/>
      <c r="DU170" s="44"/>
      <c r="DV170" s="44"/>
      <c r="DW170" s="44"/>
      <c r="DX170" s="44"/>
      <c r="DY170" s="44"/>
      <c r="DZ170" s="44"/>
      <c r="EA170" s="44"/>
      <c r="EB170" s="44"/>
      <c r="EC170" s="44"/>
      <c r="ED170" s="44"/>
      <c r="EE170" s="44"/>
      <c r="EF170" s="44"/>
      <c r="EG170" s="44"/>
      <c r="EH170" s="44"/>
      <c r="EI170" s="44"/>
      <c r="EJ170" s="44"/>
      <c r="EK170" s="44"/>
      <c r="EL170" s="44"/>
      <c r="EM170" s="44"/>
      <c r="EN170" s="44"/>
      <c r="EO170" s="44"/>
      <c r="EP170" s="44"/>
      <c r="EQ170" s="44"/>
      <c r="ER170" s="44"/>
      <c r="ES170" s="44"/>
      <c r="ET170" s="44"/>
      <c r="EU170" s="44"/>
      <c r="EV170" s="44"/>
      <c r="EW170" s="44"/>
      <c r="EX170" s="44"/>
      <c r="EY170" s="44"/>
      <c r="EZ170" s="44"/>
      <c r="FA170" s="44"/>
      <c r="FB170" s="44"/>
      <c r="FC170" s="44"/>
      <c r="FD170" s="44"/>
      <c r="FE170" s="44"/>
      <c r="FF170" s="44"/>
      <c r="FG170" s="44"/>
      <c r="FH170" s="44"/>
      <c r="FI170" s="44"/>
      <c r="FJ170" s="44"/>
      <c r="FK170" s="44"/>
      <c r="FL170" s="44"/>
      <c r="FM170" s="44"/>
      <c r="FN170" s="44"/>
      <c r="FO170" s="44"/>
      <c r="FP170" s="44"/>
      <c r="FQ170" s="81"/>
      <c r="FR170" s="44"/>
      <c r="FS170" s="82"/>
      <c r="FT170" s="44"/>
    </row>
    <row r="171" spans="2:177" s="20" customFormat="1">
      <c r="B171" s="111" t="s">
        <v>861</v>
      </c>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68"/>
      <c r="AQ171" s="44"/>
      <c r="AR171" s="44"/>
      <c r="AS171" s="44"/>
      <c r="AT171" s="44"/>
      <c r="AU171" s="44"/>
      <c r="AV171" s="44"/>
      <c r="AW171" s="44"/>
      <c r="AX171" s="44"/>
      <c r="AY171" s="44"/>
      <c r="AZ171" s="44"/>
      <c r="BA171" s="44"/>
      <c r="BB171" s="44">
        <f>+BB169+BB170</f>
        <v>212949</v>
      </c>
      <c r="BC171" s="44">
        <f>+BC169+BC170</f>
        <v>195113</v>
      </c>
      <c r="BD171" s="44"/>
      <c r="BE171" s="44"/>
      <c r="BF171" s="44"/>
      <c r="BG171" s="44"/>
      <c r="BH171" s="44"/>
      <c r="BI171" s="44"/>
      <c r="BJ171" s="65">
        <f>BJ170+BJ169</f>
        <v>188002</v>
      </c>
      <c r="BK171" s="65">
        <f>BK170+BK169</f>
        <v>185683</v>
      </c>
      <c r="BL171" s="65">
        <f>BL170+BL169</f>
        <v>182842</v>
      </c>
      <c r="BM171" s="44"/>
      <c r="BN171" s="44"/>
      <c r="BO171" s="44"/>
      <c r="BP171" s="65">
        <f>BP170+BP169</f>
        <v>179335</v>
      </c>
      <c r="BQ171" s="65">
        <f>BQ170+BQ169</f>
        <v>175521</v>
      </c>
      <c r="BR171" s="65">
        <f>BR170+BR169</f>
        <v>172101</v>
      </c>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115"/>
      <c r="CO171" s="115"/>
      <c r="CP171" s="115"/>
      <c r="CQ171" s="115"/>
      <c r="CR171" s="115"/>
      <c r="CS171" s="115"/>
      <c r="CT171" s="115"/>
      <c r="CU171" s="115"/>
      <c r="CV171" s="115"/>
      <c r="CW171" s="115"/>
      <c r="CX171" s="115"/>
      <c r="CY171" s="115">
        <f>CY169+CY170</f>
        <v>183840</v>
      </c>
      <c r="CZ171" s="115">
        <f>CZ169+CZ170</f>
        <v>195289.5</v>
      </c>
      <c r="DA171" s="115">
        <f>DA169+DA170</f>
        <v>195349</v>
      </c>
      <c r="DB171" s="115"/>
      <c r="DC171" s="115"/>
      <c r="DD171" s="115"/>
      <c r="DE171" s="115"/>
      <c r="DF171" s="115"/>
      <c r="DG171" s="115"/>
      <c r="DH171" s="115">
        <f>SUM(DH158:DH170)</f>
        <v>216193</v>
      </c>
      <c r="DI171" s="115"/>
      <c r="DJ171" s="115"/>
      <c r="DK171" s="115"/>
      <c r="DL171" s="115"/>
      <c r="DM171" s="115"/>
      <c r="DN171" s="115"/>
      <c r="DO171" s="115"/>
      <c r="DP171" s="44"/>
      <c r="DQ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44"/>
      <c r="FC171" s="44"/>
      <c r="FD171" s="44"/>
      <c r="FE171" s="44"/>
      <c r="FF171" s="44"/>
      <c r="FG171" s="44"/>
      <c r="FH171" s="44"/>
      <c r="FI171" s="44"/>
      <c r="FJ171" s="44"/>
      <c r="FK171" s="44"/>
      <c r="FL171" s="44"/>
      <c r="FM171" s="44"/>
      <c r="FN171" s="44"/>
      <c r="FO171" s="44"/>
      <c r="FP171" s="44"/>
      <c r="FQ171" s="81"/>
      <c r="FR171" s="44"/>
      <c r="FS171" s="82"/>
      <c r="FT171" s="44"/>
    </row>
    <row r="172" spans="2:177">
      <c r="B172" s="14"/>
      <c r="AP172" s="62"/>
      <c r="AT172" s="44"/>
      <c r="AU172" s="44"/>
      <c r="AV172" s="44"/>
      <c r="AW172" s="44"/>
      <c r="AY172" s="44"/>
      <c r="AZ172" s="44"/>
      <c r="BA172" s="44"/>
      <c r="BB172" s="44"/>
    </row>
    <row r="173" spans="2:177">
      <c r="B173" s="4" t="s">
        <v>862</v>
      </c>
      <c r="AP173" s="62"/>
      <c r="AQ173" s="44">
        <f t="shared" ref="AQ173:BL173" si="362">AQ124</f>
        <v>4815</v>
      </c>
      <c r="AR173" s="44">
        <f t="shared" si="362"/>
        <v>2751</v>
      </c>
      <c r="AS173" s="44">
        <f t="shared" si="362"/>
        <v>3992</v>
      </c>
      <c r="AT173" s="44">
        <f t="shared" si="362"/>
        <v>3591</v>
      </c>
      <c r="AU173" s="44">
        <f t="shared" si="362"/>
        <v>4831.8029999999999</v>
      </c>
      <c r="AV173" s="44">
        <f t="shared" si="362"/>
        <v>4423.6540000000005</v>
      </c>
      <c r="AW173" s="44">
        <f t="shared" si="362"/>
        <v>4216</v>
      </c>
      <c r="AX173" s="44">
        <f t="shared" si="362"/>
        <v>4434</v>
      </c>
      <c r="AY173" s="44">
        <f t="shared" si="362"/>
        <v>4289.6499999999996</v>
      </c>
      <c r="AZ173" s="44">
        <f t="shared" si="362"/>
        <v>4059.6149999999998</v>
      </c>
      <c r="BA173" s="44">
        <f t="shared" si="362"/>
        <v>3495</v>
      </c>
      <c r="BB173" s="44">
        <f t="shared" si="362"/>
        <v>3872</v>
      </c>
      <c r="BC173" s="44">
        <f t="shared" si="362"/>
        <v>5278</v>
      </c>
      <c r="BD173" s="44">
        <f t="shared" si="362"/>
        <v>5289</v>
      </c>
      <c r="BE173" s="44">
        <f t="shared" si="362"/>
        <v>4967</v>
      </c>
      <c r="BF173" s="44">
        <f t="shared" si="362"/>
        <v>4539</v>
      </c>
      <c r="BG173" s="44">
        <f t="shared" si="362"/>
        <v>4899</v>
      </c>
      <c r="BH173" s="44">
        <f t="shared" si="362"/>
        <v>5527</v>
      </c>
      <c r="BI173" s="44">
        <f t="shared" si="362"/>
        <v>4917</v>
      </c>
      <c r="BJ173" s="44">
        <f t="shared" si="362"/>
        <v>3927</v>
      </c>
      <c r="BK173" s="44">
        <f t="shared" si="362"/>
        <v>4544</v>
      </c>
      <c r="BL173" s="44">
        <f t="shared" si="362"/>
        <v>4744</v>
      </c>
      <c r="CY173" s="115">
        <f>+CY124</f>
        <v>8986.3999999999978</v>
      </c>
      <c r="CZ173" s="115">
        <f>+CZ124</f>
        <v>11389.80000000001</v>
      </c>
      <c r="DA173" s="115">
        <f>+DA124</f>
        <v>10802.800000000003</v>
      </c>
    </row>
    <row r="174" spans="2:177">
      <c r="B174" s="4" t="s">
        <v>863</v>
      </c>
      <c r="AP174" s="62"/>
      <c r="AQ174" s="44">
        <v>3392</v>
      </c>
      <c r="AR174" s="44"/>
      <c r="AS174" s="44"/>
      <c r="AT174" s="44"/>
      <c r="AU174" s="44">
        <v>2784</v>
      </c>
      <c r="AV174" s="44">
        <v>2776</v>
      </c>
      <c r="AW174" s="44">
        <v>2278</v>
      </c>
      <c r="AX174" s="44"/>
      <c r="AY174" s="44">
        <v>2730</v>
      </c>
      <c r="AZ174" s="44">
        <f>4996-AY174</f>
        <v>2266</v>
      </c>
      <c r="BA174" s="44">
        <f>7877-AZ174-AY174</f>
        <v>2881</v>
      </c>
      <c r="BB174" s="44">
        <f>8644-BA174-AZ174-AY174</f>
        <v>767</v>
      </c>
      <c r="BC174" s="44">
        <v>2035</v>
      </c>
      <c r="BK174" s="65">
        <v>1803</v>
      </c>
      <c r="BL174" s="65">
        <f>5063-BK174</f>
        <v>3260</v>
      </c>
      <c r="CY174" s="115">
        <v>7879</v>
      </c>
      <c r="CZ174" s="115">
        <f>17756-CY174</f>
        <v>9877</v>
      </c>
      <c r="DA174" s="115">
        <f>26400-CZ174-CY174</f>
        <v>8644</v>
      </c>
      <c r="FU174" s="20"/>
    </row>
    <row r="175" spans="2:177">
      <c r="B175" s="4" t="s">
        <v>864</v>
      </c>
      <c r="AP175" s="62"/>
      <c r="AQ175" s="44">
        <v>1271</v>
      </c>
      <c r="AR175" s="44"/>
      <c r="AS175" s="44"/>
      <c r="AT175" s="44"/>
      <c r="AU175" s="44">
        <v>1487</v>
      </c>
      <c r="AV175" s="44">
        <f>2716-AU175</f>
        <v>1229</v>
      </c>
      <c r="AW175" s="44">
        <f>3912-AV175-AU175</f>
        <v>1196</v>
      </c>
      <c r="AX175" s="44"/>
      <c r="AY175" s="44">
        <v>1008</v>
      </c>
      <c r="AZ175" s="44">
        <f>2014-AY175</f>
        <v>1006</v>
      </c>
      <c r="BA175" s="44">
        <f>2983-AZ175-AY175</f>
        <v>969</v>
      </c>
      <c r="BB175" s="44">
        <f>4757-BA175-AZ175-AY175</f>
        <v>1774</v>
      </c>
      <c r="BC175" s="44">
        <v>2051</v>
      </c>
      <c r="BK175" s="65">
        <v>2252</v>
      </c>
      <c r="BL175" s="44">
        <f>4002-BK175</f>
        <v>1750</v>
      </c>
      <c r="CY175" s="115">
        <v>1187</v>
      </c>
      <c r="CZ175" s="115">
        <f>2362-CY175</f>
        <v>1175</v>
      </c>
      <c r="DA175" s="115">
        <f>3545-CZ175-CY175</f>
        <v>1183</v>
      </c>
      <c r="FU175" s="39"/>
    </row>
    <row r="176" spans="2:177">
      <c r="B176" s="4" t="s">
        <v>865</v>
      </c>
      <c r="AP176" s="62"/>
      <c r="AQ176" s="44"/>
      <c r="AR176" s="44"/>
      <c r="AS176" s="44"/>
      <c r="AT176" s="44"/>
      <c r="AU176" s="44">
        <v>101</v>
      </c>
      <c r="AV176" s="44">
        <f>166-AU176</f>
        <v>65</v>
      </c>
      <c r="AW176" s="44">
        <f>263-AV176-AU176</f>
        <v>97</v>
      </c>
      <c r="AX176" s="44"/>
      <c r="AY176" s="44">
        <v>71</v>
      </c>
      <c r="AZ176" s="44">
        <f>169-AY176</f>
        <v>98</v>
      </c>
      <c r="BA176" s="44">
        <f>258-AZ176-AY176</f>
        <v>89</v>
      </c>
      <c r="BB176" s="44">
        <f>349-BA176-AZ176-AY176</f>
        <v>91</v>
      </c>
      <c r="BC176" s="44">
        <v>138</v>
      </c>
      <c r="BK176" s="65">
        <v>130</v>
      </c>
      <c r="BL176" s="44">
        <f>247-BK176</f>
        <v>117</v>
      </c>
      <c r="CY176" s="115">
        <v>86</v>
      </c>
      <c r="CZ176" s="115">
        <f>373-CY176</f>
        <v>287</v>
      </c>
      <c r="DA176" s="115">
        <f>508-CZ176-CY176</f>
        <v>135</v>
      </c>
    </row>
    <row r="177" spans="2:105">
      <c r="B177" s="4" t="s">
        <v>866</v>
      </c>
      <c r="AP177" s="62"/>
      <c r="AQ177" s="44"/>
      <c r="AR177" s="44"/>
      <c r="AS177" s="44"/>
      <c r="AT177" s="44"/>
      <c r="AU177" s="44">
        <v>398</v>
      </c>
      <c r="AV177" s="44">
        <f>554-AU177</f>
        <v>156</v>
      </c>
      <c r="AW177" s="44">
        <f>567-AV177-AU177</f>
        <v>13</v>
      </c>
      <c r="AX177" s="44"/>
      <c r="AY177" s="44">
        <v>0</v>
      </c>
      <c r="AZ177" s="44">
        <f>20-AY177</f>
        <v>20</v>
      </c>
      <c r="BA177" s="44">
        <f>20-AZ177-AY177</f>
        <v>0</v>
      </c>
      <c r="BB177" s="44">
        <f>68-BA177-AZ177-AY177-670</f>
        <v>-622</v>
      </c>
      <c r="BC177" s="44">
        <v>74</v>
      </c>
      <c r="BK177" s="65">
        <v>650</v>
      </c>
      <c r="BL177" s="44">
        <f>758-BK177</f>
        <v>108</v>
      </c>
      <c r="CY177" s="115">
        <v>31</v>
      </c>
      <c r="CZ177" s="115">
        <f>58-CY177</f>
        <v>27</v>
      </c>
      <c r="DA177" s="115">
        <f>287-CZ177-CY177</f>
        <v>229</v>
      </c>
    </row>
    <row r="178" spans="2:105">
      <c r="B178" s="4" t="s">
        <v>856</v>
      </c>
      <c r="AP178" s="62"/>
      <c r="AQ178" s="44"/>
      <c r="AR178" s="44"/>
      <c r="AS178" s="44"/>
      <c r="AT178" s="44"/>
      <c r="AU178" s="44">
        <v>544</v>
      </c>
      <c r="AV178" s="44">
        <f>439-AU178</f>
        <v>-105</v>
      </c>
      <c r="AW178" s="44">
        <f>580-AV178-AU178</f>
        <v>141</v>
      </c>
      <c r="AX178" s="44"/>
      <c r="AY178" s="44">
        <v>533</v>
      </c>
      <c r="AZ178" s="44">
        <f>731-AY178</f>
        <v>198</v>
      </c>
      <c r="BA178" s="44">
        <f>1121-AZ178-AY178</f>
        <v>390</v>
      </c>
      <c r="BB178" s="44">
        <f>-9582-BA178-AZ178-AY178</f>
        <v>-10703</v>
      </c>
      <c r="BC178" s="44">
        <v>840</v>
      </c>
      <c r="BK178" s="65">
        <v>-404</v>
      </c>
      <c r="BL178" s="44">
        <f>-120-BK178</f>
        <v>284</v>
      </c>
      <c r="CY178" s="115">
        <v>-2321</v>
      </c>
      <c r="CZ178" s="115">
        <f>-3461-CY178</f>
        <v>-1140</v>
      </c>
      <c r="DA178" s="115">
        <f>-3399-CZ178-CY178</f>
        <v>62</v>
      </c>
    </row>
    <row r="179" spans="2:105">
      <c r="B179" s="4" t="s">
        <v>867</v>
      </c>
      <c r="AP179" s="62"/>
      <c r="AQ179" s="44"/>
      <c r="AR179" s="44"/>
      <c r="AS179" s="44"/>
      <c r="AT179" s="44"/>
      <c r="AU179" s="44">
        <v>242</v>
      </c>
      <c r="AV179" s="44">
        <f>509-AU179</f>
        <v>267</v>
      </c>
      <c r="AW179" s="44">
        <f>649-AV179-AU179</f>
        <v>140</v>
      </c>
      <c r="AX179" s="44"/>
      <c r="AY179" s="44">
        <v>-296</v>
      </c>
      <c r="AZ179" s="44">
        <f>-22-AY179</f>
        <v>274</v>
      </c>
      <c r="BA179" s="44">
        <f>25-AZ179-AY179</f>
        <v>47</v>
      </c>
      <c r="BB179" s="44">
        <f>504-BA179-AZ179-AY179</f>
        <v>479</v>
      </c>
      <c r="BC179" s="44">
        <v>319</v>
      </c>
      <c r="BK179" s="65">
        <v>-28</v>
      </c>
      <c r="BL179" s="44">
        <f>14-BK179</f>
        <v>42</v>
      </c>
      <c r="CY179" s="115">
        <v>815</v>
      </c>
      <c r="CZ179" s="115">
        <f>1270-CY179</f>
        <v>455</v>
      </c>
      <c r="DA179" s="115">
        <f>1481-CZ179-CY179</f>
        <v>211</v>
      </c>
    </row>
    <row r="180" spans="2:105">
      <c r="B180" s="14" t="s">
        <v>868</v>
      </c>
      <c r="AP180" s="62"/>
      <c r="AQ180" s="44"/>
      <c r="AR180" s="44"/>
      <c r="AS180" s="44"/>
      <c r="AT180" s="44"/>
      <c r="AU180" s="44"/>
      <c r="AV180" s="44"/>
      <c r="AW180" s="44"/>
      <c r="AX180" s="44"/>
      <c r="AY180" s="44"/>
      <c r="AZ180" s="44"/>
      <c r="BA180" s="44"/>
      <c r="BB180" s="44"/>
      <c r="BC180" s="44"/>
      <c r="BK180" s="65">
        <v>-71</v>
      </c>
      <c r="BL180" s="44">
        <f>-20-BK180</f>
        <v>51</v>
      </c>
      <c r="CY180" s="115">
        <v>-404</v>
      </c>
      <c r="CZ180" s="115">
        <f>-146-CY180</f>
        <v>258</v>
      </c>
      <c r="DA180" s="115">
        <f>-532-CZ180-CY180</f>
        <v>-386</v>
      </c>
    </row>
    <row r="181" spans="2:105">
      <c r="B181" s="4" t="s">
        <v>869</v>
      </c>
      <c r="AP181" s="62"/>
      <c r="AQ181" s="44"/>
      <c r="AR181" s="44"/>
      <c r="AS181" s="44"/>
      <c r="AT181" s="44"/>
      <c r="AU181" s="44">
        <v>-23</v>
      </c>
      <c r="AV181" s="44">
        <v>23</v>
      </c>
      <c r="AW181" s="44"/>
      <c r="AX181" s="44"/>
      <c r="AY181" s="44">
        <v>0</v>
      </c>
      <c r="AZ181" s="37">
        <v>0</v>
      </c>
      <c r="BA181" s="37">
        <v>0</v>
      </c>
      <c r="BB181" s="37">
        <v>0</v>
      </c>
      <c r="BK181" s="65"/>
      <c r="CY181" s="115">
        <v>0</v>
      </c>
      <c r="CZ181" s="115">
        <v>0</v>
      </c>
      <c r="DA181" s="115">
        <v>0</v>
      </c>
    </row>
    <row r="182" spans="2:105">
      <c r="B182" s="4" t="s">
        <v>870</v>
      </c>
      <c r="AP182" s="62"/>
      <c r="AQ182" s="44">
        <v>-3587</v>
      </c>
      <c r="AU182" s="44">
        <v>-2262</v>
      </c>
      <c r="AV182" s="44">
        <f>-1631-AU182</f>
        <v>631</v>
      </c>
      <c r="AW182" s="44">
        <f>-1544-AV182-AU182</f>
        <v>87</v>
      </c>
      <c r="AX182" s="44"/>
      <c r="AY182" s="44">
        <v>-899</v>
      </c>
      <c r="AZ182" s="44">
        <f>-247-AY182</f>
        <v>652</v>
      </c>
      <c r="BA182" s="44">
        <f>-522-AZ182-AY182</f>
        <v>-275</v>
      </c>
      <c r="BB182" s="44">
        <f>-472+1631-867+1695-9454+1076-BA182-AZ182-AY182</f>
        <v>-5869</v>
      </c>
      <c r="BC182" s="44">
        <v>-11817</v>
      </c>
      <c r="BK182" s="65">
        <v>-1558</v>
      </c>
      <c r="BL182" s="44">
        <f>-3035-BK182-114</f>
        <v>-1591</v>
      </c>
      <c r="CY182" s="115">
        <v>-730</v>
      </c>
      <c r="CZ182" s="115">
        <f>-3496-CY182-5</f>
        <v>-2771</v>
      </c>
      <c r="DA182" s="115">
        <f>-7605-CZ182-CY182</f>
        <v>-4104</v>
      </c>
    </row>
    <row r="183" spans="2:105">
      <c r="B183" s="4" t="s">
        <v>871</v>
      </c>
      <c r="AP183" s="62"/>
      <c r="AQ183" s="44">
        <v>1243</v>
      </c>
      <c r="AR183" s="44">
        <f>4908-AQ183</f>
        <v>3665</v>
      </c>
      <c r="AS183" s="44"/>
      <c r="AT183" s="44"/>
      <c r="AU183" s="44">
        <f>SUM(AU174:AU182)</f>
        <v>3271</v>
      </c>
      <c r="AV183" s="44">
        <f>SUM(AV174:AV182)</f>
        <v>5042</v>
      </c>
      <c r="AW183" s="44">
        <f>SUM(AW174:AW182)</f>
        <v>3952</v>
      </c>
      <c r="AY183" s="44">
        <f>SUM(AY174:AY182)</f>
        <v>3147</v>
      </c>
      <c r="AZ183" s="44">
        <f>SUM(AZ174:AZ182)</f>
        <v>4514</v>
      </c>
      <c r="BA183" s="44">
        <f>SUM(BA174:BA182)</f>
        <v>4101</v>
      </c>
      <c r="BB183" s="44">
        <f>SUM(BB174:BB182)</f>
        <v>-14083</v>
      </c>
      <c r="BC183" s="44">
        <f>SUM(BC174:BC182)</f>
        <v>-6360</v>
      </c>
      <c r="BK183" s="65">
        <f>SUM(BK174:BK182)</f>
        <v>2774</v>
      </c>
      <c r="BL183" s="65">
        <f>SUM(BL174:BL182)</f>
        <v>4021</v>
      </c>
      <c r="BM183" s="44"/>
      <c r="CY183" s="115">
        <f>SUM(CY174:CY182)</f>
        <v>6543</v>
      </c>
      <c r="CZ183" s="115">
        <f>SUM(CZ174:CZ182)</f>
        <v>8168</v>
      </c>
      <c r="DA183" s="115">
        <f>SUM(DA174:DA182)</f>
        <v>5974</v>
      </c>
    </row>
    <row r="184" spans="2:105">
      <c r="AP184" s="62"/>
      <c r="AQ184" s="44"/>
      <c r="AR184" s="44"/>
      <c r="AS184" s="44"/>
      <c r="AT184" s="44"/>
      <c r="AU184" s="44"/>
      <c r="AV184" s="44"/>
      <c r="AW184" s="44"/>
      <c r="AY184" s="44"/>
      <c r="AZ184" s="44"/>
      <c r="BA184" s="44"/>
      <c r="BB184" s="44"/>
      <c r="BC184" s="44"/>
      <c r="BK184" s="65"/>
      <c r="BL184" s="65"/>
      <c r="BM184" s="44"/>
      <c r="CZ184" s="115"/>
      <c r="DA184" s="115"/>
    </row>
    <row r="185" spans="2:105">
      <c r="B185" s="14" t="s">
        <v>872</v>
      </c>
      <c r="AP185" s="62"/>
      <c r="AU185" s="44"/>
      <c r="AY185" s="37">
        <v>-253</v>
      </c>
      <c r="AZ185" s="37">
        <f>-522-AY185</f>
        <v>-269</v>
      </c>
      <c r="BA185" s="37">
        <f>-783-AZ185-AY185</f>
        <v>-261</v>
      </c>
      <c r="BB185" s="37">
        <f>-1205-BA185-AZ185-AY185</f>
        <v>-422</v>
      </c>
      <c r="BC185" s="37">
        <v>-305</v>
      </c>
      <c r="BK185" s="69">
        <v>-254</v>
      </c>
      <c r="BL185" s="37">
        <f>-548-BK185</f>
        <v>-294</v>
      </c>
      <c r="CY185" s="115">
        <v>-643</v>
      </c>
      <c r="CZ185" s="115">
        <f>-1394-CY185</f>
        <v>-751</v>
      </c>
      <c r="DA185" s="115">
        <f>-2235-CZ185-CY185</f>
        <v>-841</v>
      </c>
    </row>
    <row r="186" spans="2:105">
      <c r="B186" s="14" t="s">
        <v>1572</v>
      </c>
      <c r="AP186" s="62"/>
      <c r="AU186" s="44"/>
      <c r="CY186" s="115">
        <f>-8758+13421+3409-676+52-13</f>
        <v>7435</v>
      </c>
      <c r="CZ186" s="115">
        <f>-18937+20151-3153-1324+226-CY186</f>
        <v>-10472</v>
      </c>
      <c r="DA186" s="115">
        <f>-29701+35087-10877-1627+446-200-CZ186-CY186</f>
        <v>-3835</v>
      </c>
    </row>
    <row r="187" spans="2:105">
      <c r="B187" s="14" t="s">
        <v>874</v>
      </c>
      <c r="AP187" s="62"/>
      <c r="AU187" s="44"/>
      <c r="CY187" s="115">
        <v>-6225</v>
      </c>
      <c r="CZ187" s="115">
        <f>-6225-CY187-91</f>
        <v>-91</v>
      </c>
      <c r="DA187" s="115">
        <f>-6225-CZ187-CY187</f>
        <v>91</v>
      </c>
    </row>
    <row r="188" spans="2:105">
      <c r="B188" s="14" t="s">
        <v>1574</v>
      </c>
      <c r="AP188" s="62"/>
      <c r="AU188" s="44"/>
      <c r="CY188" s="115">
        <v>0</v>
      </c>
      <c r="CZ188" s="115">
        <v>0</v>
      </c>
      <c r="DA188" s="122">
        <f>3960-CZ188-CZ187</f>
        <v>4051</v>
      </c>
    </row>
    <row r="189" spans="2:105">
      <c r="B189" s="14" t="s">
        <v>1573</v>
      </c>
      <c r="AP189" s="62"/>
      <c r="AU189" s="44"/>
      <c r="CY189" s="115">
        <f>SUM(CY185:CY188)</f>
        <v>567</v>
      </c>
      <c r="CZ189" s="115">
        <f>SUM(CZ185:CZ188)</f>
        <v>-11314</v>
      </c>
      <c r="DA189" s="115">
        <f>SUM(DA185:DA188)</f>
        <v>-534</v>
      </c>
    </row>
    <row r="190" spans="2:105">
      <c r="B190" s="14"/>
      <c r="AP190" s="62"/>
      <c r="AU190" s="44"/>
      <c r="CZ190" s="115"/>
      <c r="DA190" s="115"/>
    </row>
    <row r="191" spans="2:105">
      <c r="B191" s="14" t="s">
        <v>314</v>
      </c>
      <c r="AP191" s="62"/>
      <c r="AU191" s="44"/>
      <c r="CY191" s="115">
        <f>-220-1609</f>
        <v>-1829</v>
      </c>
      <c r="CZ191" s="115">
        <f>4012+379-1609</f>
        <v>2782</v>
      </c>
      <c r="DA191" s="115">
        <f>3887-3887+870-1609-CZ191-CY191</f>
        <v>-1692</v>
      </c>
    </row>
    <row r="192" spans="2:105">
      <c r="B192" s="14" t="s">
        <v>1576</v>
      </c>
      <c r="AP192" s="62"/>
      <c r="AU192" s="44"/>
      <c r="CY192" s="115">
        <v>-2000</v>
      </c>
      <c r="CZ192" s="115">
        <f>-2000-CY192</f>
        <v>0</v>
      </c>
      <c r="DA192" s="115">
        <f>-2000-CZ192-CY192</f>
        <v>0</v>
      </c>
    </row>
    <row r="193" spans="2:211">
      <c r="B193" s="14" t="s">
        <v>1577</v>
      </c>
      <c r="AP193" s="62"/>
      <c r="AU193" s="44"/>
      <c r="CY193" s="115">
        <v>-2249</v>
      </c>
      <c r="CZ193" s="115">
        <f>-4493-CY193</f>
        <v>-2244</v>
      </c>
      <c r="DA193" s="115">
        <f>-6738-CZ193-CY193</f>
        <v>-2245</v>
      </c>
    </row>
    <row r="194" spans="2:211">
      <c r="B194" s="14" t="s">
        <v>1578</v>
      </c>
      <c r="AP194" s="62"/>
      <c r="AU194" s="44"/>
      <c r="CY194" s="115">
        <v>-501</v>
      </c>
      <c r="CZ194" s="115">
        <f>-347-CY194</f>
        <v>154</v>
      </c>
      <c r="DA194" s="115">
        <f>-342-CZ194-CY194</f>
        <v>5</v>
      </c>
    </row>
    <row r="195" spans="2:211">
      <c r="B195" s="14" t="s">
        <v>1575</v>
      </c>
      <c r="AP195" s="62"/>
      <c r="AU195" s="44"/>
      <c r="CY195" s="115">
        <f>SUM(CY191:CY194)</f>
        <v>-6579</v>
      </c>
      <c r="CZ195" s="115">
        <f>SUM(CZ191:CZ194)</f>
        <v>692</v>
      </c>
      <c r="DA195" s="115">
        <f>SUM(DA191:DA194)</f>
        <v>-3932</v>
      </c>
    </row>
    <row r="196" spans="2:211">
      <c r="B196" s="14" t="s">
        <v>872</v>
      </c>
      <c r="AP196" s="62"/>
      <c r="AU196" s="44"/>
      <c r="CY196" s="115">
        <v>-1</v>
      </c>
      <c r="CZ196" s="115">
        <v>-67</v>
      </c>
      <c r="DA196" s="115">
        <v>-139</v>
      </c>
    </row>
    <row r="197" spans="2:211">
      <c r="B197" s="14" t="s">
        <v>1579</v>
      </c>
      <c r="AP197" s="62"/>
      <c r="AU197" s="44"/>
      <c r="CY197" s="115">
        <f>+CY195+CY183+CY189+CY196</f>
        <v>530</v>
      </c>
      <c r="CZ197" s="115">
        <f>+CZ195+CZ183+CZ189+CZ196</f>
        <v>-2521</v>
      </c>
      <c r="DA197" s="115">
        <f>+DA195+DA183+DA189+DA196</f>
        <v>1369</v>
      </c>
    </row>
    <row r="198" spans="2:211">
      <c r="B198" s="14"/>
      <c r="AP198" s="62"/>
      <c r="AU198" s="44"/>
      <c r="DA198" s="115"/>
    </row>
    <row r="199" spans="2:211">
      <c r="B199" s="14" t="s">
        <v>873</v>
      </c>
      <c r="AP199" s="62"/>
      <c r="AU199" s="44"/>
      <c r="AY199" s="44">
        <f>+AY185+AY183</f>
        <v>2894</v>
      </c>
      <c r="AZ199" s="44">
        <f>+AZ185+AZ183</f>
        <v>4245</v>
      </c>
      <c r="BA199" s="44">
        <f>+BA185+BA183</f>
        <v>3840</v>
      </c>
      <c r="BB199" s="44">
        <f>+BB185+BB183</f>
        <v>-14505</v>
      </c>
      <c r="BC199" s="44">
        <f>+BC185+BC183</f>
        <v>-6665</v>
      </c>
      <c r="BK199" s="65">
        <f>BK185+BK183</f>
        <v>2520</v>
      </c>
      <c r="BL199" s="65">
        <f>BL185+BL183</f>
        <v>3727</v>
      </c>
      <c r="BM199" s="55"/>
      <c r="CY199" s="115">
        <f>+CY183+CY185</f>
        <v>5900</v>
      </c>
      <c r="CZ199" s="115">
        <f>+CZ183+CZ185</f>
        <v>7417</v>
      </c>
      <c r="DA199" s="115">
        <f>+DA183+DA185</f>
        <v>5133</v>
      </c>
    </row>
    <row r="200" spans="2:211">
      <c r="B200" s="14" t="s">
        <v>874</v>
      </c>
      <c r="AP200" s="62"/>
      <c r="AU200" s="44"/>
      <c r="AY200" s="44"/>
      <c r="AZ200" s="44"/>
      <c r="BA200" s="44"/>
      <c r="BB200" s="44"/>
      <c r="BC200" s="44"/>
      <c r="BK200" s="65">
        <v>-782</v>
      </c>
      <c r="DA200" s="115"/>
    </row>
    <row r="201" spans="2:211">
      <c r="B201" s="4" t="s">
        <v>875</v>
      </c>
      <c r="AP201" s="62"/>
      <c r="AU201" s="44">
        <f>AU173-AU183</f>
        <v>1560.8029999999999</v>
      </c>
      <c r="AV201" s="44">
        <f>AV173-AV183</f>
        <v>-618.34599999999955</v>
      </c>
      <c r="AW201" s="44">
        <f>AW173-AW183</f>
        <v>264</v>
      </c>
      <c r="AY201" s="44">
        <f>AY173-AY199</f>
        <v>1395.6499999999996</v>
      </c>
      <c r="AZ201" s="44">
        <f>AZ173-AZ199</f>
        <v>-185.38500000000022</v>
      </c>
      <c r="BA201" s="44">
        <f>BA173-BA199</f>
        <v>-345</v>
      </c>
      <c r="BB201" s="44">
        <f>BB173-BB199</f>
        <v>18377</v>
      </c>
      <c r="BC201" s="44">
        <f>BC173-BC199</f>
        <v>11943</v>
      </c>
    </row>
    <row r="202" spans="2:211">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65"/>
      <c r="BK202" s="65"/>
      <c r="BL202" s="44"/>
      <c r="BM202" s="44"/>
      <c r="BN202" s="44"/>
      <c r="BO202" s="44"/>
      <c r="BP202" s="44"/>
      <c r="BQ202" s="44"/>
      <c r="BR202" s="44"/>
      <c r="BS202" s="44"/>
      <c r="BT202" s="44"/>
      <c r="BU202" s="44"/>
      <c r="BV202" s="44"/>
      <c r="BW202" s="44"/>
      <c r="BX202" s="44"/>
      <c r="BY202" s="44"/>
      <c r="BZ202" s="44"/>
      <c r="CA202" s="44"/>
      <c r="CB202" s="44"/>
      <c r="CC202" s="44"/>
      <c r="CD202" s="44"/>
      <c r="CE202" s="44"/>
      <c r="CF202" s="44"/>
      <c r="CG202" s="44"/>
      <c r="CH202" s="44"/>
      <c r="CI202" s="44"/>
      <c r="CJ202" s="44"/>
      <c r="CK202" s="44"/>
      <c r="CL202" s="44"/>
      <c r="CM202" s="44"/>
      <c r="CN202" s="115"/>
      <c r="CO202" s="115"/>
      <c r="CP202" s="115"/>
      <c r="CQ202" s="115"/>
      <c r="CR202" s="115"/>
      <c r="CS202" s="115"/>
      <c r="CT202" s="115"/>
      <c r="CU202" s="115"/>
      <c r="CV202" s="115"/>
      <c r="CW202" s="115"/>
      <c r="CX202" s="115"/>
      <c r="CY202" s="115"/>
      <c r="CZ202" s="115"/>
      <c r="DA202" s="115"/>
      <c r="DB202" s="115"/>
      <c r="DC202" s="115"/>
      <c r="DD202" s="115"/>
      <c r="DE202" s="115"/>
      <c r="DF202" s="115"/>
      <c r="DG202" s="115"/>
      <c r="DH202" s="115"/>
      <c r="DI202" s="115"/>
      <c r="DJ202" s="115"/>
      <c r="DK202" s="115"/>
      <c r="DL202" s="115"/>
      <c r="DM202" s="115"/>
      <c r="DN202" s="115"/>
      <c r="DO202" s="115"/>
      <c r="DP202" s="44"/>
      <c r="DQ202" s="44"/>
      <c r="DR202" s="19"/>
      <c r="DS202" s="19"/>
      <c r="DT202" s="19"/>
      <c r="EK202" s="44">
        <f t="shared" ref="EK202:ET202" si="363">EK124</f>
        <v>15716.264999999999</v>
      </c>
      <c r="EL202" s="44">
        <f t="shared" si="363"/>
        <v>20073</v>
      </c>
      <c r="EM202" s="44">
        <f t="shared" si="363"/>
        <v>19209.05</v>
      </c>
      <c r="EN202" s="44">
        <f t="shared" si="363"/>
        <v>16949.830000000002</v>
      </c>
      <c r="EO202" s="44">
        <f t="shared" si="363"/>
        <v>0</v>
      </c>
      <c r="EP202" s="44">
        <f t="shared" si="363"/>
        <v>0</v>
      </c>
      <c r="EQ202" s="44">
        <f t="shared" si="363"/>
        <v>0</v>
      </c>
      <c r="ER202" s="44">
        <f t="shared" si="363"/>
        <v>0</v>
      </c>
      <c r="ES202" s="44">
        <f t="shared" si="363"/>
        <v>0</v>
      </c>
      <c r="ET202" s="44">
        <f t="shared" si="363"/>
        <v>0</v>
      </c>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row>
    <row r="203" spans="2:211">
      <c r="B203" s="14" t="s">
        <v>876</v>
      </c>
      <c r="AP203" s="62"/>
      <c r="BA203" s="44">
        <v>75100</v>
      </c>
      <c r="BB203" s="44">
        <f>BC203+2700</f>
        <v>116500</v>
      </c>
      <c r="BC203" s="44">
        <v>113800</v>
      </c>
      <c r="BD203" s="44">
        <f>BC203</f>
        <v>113800</v>
      </c>
      <c r="EL203" s="44">
        <f>BD203</f>
        <v>113800</v>
      </c>
      <c r="EM203" s="44">
        <f>EL203</f>
        <v>113800</v>
      </c>
      <c r="EN203" s="44">
        <f t="shared" ref="EN203:ET203" si="364">EM203</f>
        <v>113800</v>
      </c>
      <c r="EO203" s="44">
        <f t="shared" si="364"/>
        <v>113800</v>
      </c>
      <c r="EP203" s="44">
        <f t="shared" si="364"/>
        <v>113800</v>
      </c>
      <c r="EQ203" s="44">
        <f t="shared" si="364"/>
        <v>113800</v>
      </c>
      <c r="ER203" s="44">
        <f t="shared" si="364"/>
        <v>113800</v>
      </c>
      <c r="ES203" s="44">
        <f t="shared" si="364"/>
        <v>113800</v>
      </c>
      <c r="ET203" s="44">
        <f t="shared" si="364"/>
        <v>113800</v>
      </c>
    </row>
    <row r="204" spans="2:211">
      <c r="B204" s="14" t="s">
        <v>877</v>
      </c>
      <c r="AP204" s="62"/>
      <c r="BA204" s="44">
        <f>BA116*1000/BA203*1000</f>
        <v>42942.743009320904</v>
      </c>
      <c r="BB204" s="44">
        <f>BB116*1000/BB203*1000</f>
        <v>45879.828326180257</v>
      </c>
      <c r="BC204" s="44">
        <f>BC116*1000/BC203*1000</f>
        <v>38444.639718804923</v>
      </c>
      <c r="BD204" s="44">
        <f>BD116*1000/BD203*1000</f>
        <v>41537.785588752202</v>
      </c>
      <c r="BE204" s="44"/>
      <c r="BF204" s="44"/>
      <c r="BG204" s="44"/>
      <c r="BH204" s="44"/>
      <c r="BI204" s="44"/>
      <c r="BJ204" s="65"/>
      <c r="BK204" s="65"/>
      <c r="BL204" s="44"/>
      <c r="BM204" s="44"/>
      <c r="BN204" s="44"/>
      <c r="BO204" s="44"/>
      <c r="BP204" s="44"/>
      <c r="BQ204" s="44"/>
      <c r="BR204" s="44"/>
      <c r="BS204" s="44"/>
      <c r="BT204" s="44"/>
      <c r="BU204" s="44"/>
      <c r="BV204" s="44"/>
      <c r="BW204" s="44"/>
      <c r="BX204" s="44"/>
      <c r="BY204" s="44"/>
      <c r="BZ204" s="44"/>
      <c r="CA204" s="44"/>
      <c r="CB204" s="44"/>
      <c r="CC204" s="44"/>
      <c r="CD204" s="44"/>
      <c r="CE204" s="44"/>
      <c r="CF204" s="44"/>
      <c r="CG204" s="44"/>
      <c r="CH204" s="44"/>
      <c r="CI204" s="44"/>
      <c r="CJ204" s="44"/>
      <c r="CK204" s="44"/>
      <c r="CL204" s="44"/>
      <c r="CM204" s="44"/>
      <c r="CN204" s="115"/>
      <c r="CO204" s="115"/>
      <c r="CP204" s="115"/>
      <c r="CQ204" s="115"/>
      <c r="CR204" s="115"/>
      <c r="CS204" s="115"/>
      <c r="CT204" s="115"/>
      <c r="CU204" s="115"/>
      <c r="CV204" s="115"/>
      <c r="CW204" s="115"/>
      <c r="CX204" s="115"/>
      <c r="CY204" s="115"/>
      <c r="CZ204" s="115"/>
      <c r="DA204" s="115"/>
      <c r="DB204" s="115"/>
      <c r="DC204" s="115"/>
      <c r="DD204" s="115"/>
      <c r="DE204" s="115"/>
      <c r="DF204" s="115"/>
      <c r="DG204" s="115"/>
      <c r="DH204" s="115"/>
      <c r="DI204" s="115"/>
      <c r="DJ204" s="115"/>
      <c r="DK204" s="115"/>
      <c r="DL204" s="115"/>
      <c r="DM204" s="115"/>
      <c r="DN204" s="115"/>
      <c r="DO204" s="115"/>
      <c r="DP204" s="44"/>
      <c r="DQ204" s="44"/>
      <c r="DR204" s="44"/>
      <c r="DS204" s="44"/>
      <c r="DT204" s="44"/>
      <c r="DU204" s="44"/>
      <c r="DV204" s="44"/>
      <c r="DW204" s="44"/>
      <c r="DX204" s="44"/>
      <c r="DY204" s="44"/>
      <c r="DZ204" s="44"/>
      <c r="EA204" s="44"/>
      <c r="EB204" s="44"/>
      <c r="EC204" s="44"/>
      <c r="ED204" s="44"/>
      <c r="EE204" s="44"/>
      <c r="EF204" s="44"/>
      <c r="EG204" s="44"/>
      <c r="EH204" s="44"/>
      <c r="EI204" s="44"/>
      <c r="EJ204" s="44"/>
      <c r="EL204" s="44">
        <f t="shared" ref="EL204:ET204" si="365">EL116*1000/EL203*1000</f>
        <v>171001.7574692443</v>
      </c>
      <c r="EM204" s="44">
        <f t="shared" si="365"/>
        <v>170105.44815465729</v>
      </c>
      <c r="EN204" s="44">
        <f t="shared" si="365"/>
        <v>144420.0351493849</v>
      </c>
      <c r="EO204" s="44">
        <f t="shared" si="365"/>
        <v>127311.07205623902</v>
      </c>
      <c r="EP204" s="44">
        <f t="shared" si="365"/>
        <v>0</v>
      </c>
      <c r="EQ204" s="44">
        <f t="shared" si="365"/>
        <v>0</v>
      </c>
      <c r="ER204" s="44">
        <f t="shared" si="365"/>
        <v>0</v>
      </c>
      <c r="ES204" s="44">
        <f t="shared" si="365"/>
        <v>0</v>
      </c>
      <c r="ET204" s="44">
        <f t="shared" si="365"/>
        <v>0</v>
      </c>
      <c r="FU204" s="44"/>
    </row>
    <row r="205" spans="2:211">
      <c r="B205" s="14" t="s">
        <v>796</v>
      </c>
      <c r="AP205" s="62"/>
      <c r="BA205" s="44">
        <f>BA116</f>
        <v>3225</v>
      </c>
      <c r="BB205" s="44">
        <f>BB116</f>
        <v>5345</v>
      </c>
      <c r="BC205" s="44">
        <f>BC116</f>
        <v>4375</v>
      </c>
      <c r="BD205" s="44">
        <f>BD116</f>
        <v>4727</v>
      </c>
      <c r="BE205" s="44"/>
      <c r="BF205" s="44"/>
      <c r="BG205" s="44"/>
      <c r="BH205" s="44"/>
      <c r="BI205" s="44"/>
      <c r="BJ205" s="65"/>
      <c r="BK205" s="65"/>
      <c r="BL205" s="44"/>
      <c r="BM205" s="44"/>
      <c r="BN205" s="44"/>
      <c r="BO205" s="44"/>
      <c r="BP205" s="44"/>
      <c r="BQ205" s="44"/>
      <c r="BR205" s="44"/>
      <c r="BS205" s="44"/>
      <c r="BT205" s="44"/>
      <c r="BU205" s="44"/>
      <c r="BV205" s="44"/>
      <c r="BW205" s="44"/>
      <c r="BX205" s="44"/>
      <c r="BY205" s="44"/>
      <c r="BZ205" s="44"/>
      <c r="CA205" s="44"/>
      <c r="CB205" s="44"/>
      <c r="CC205" s="44"/>
      <c r="CD205" s="44"/>
      <c r="CE205" s="44"/>
      <c r="CF205" s="44"/>
      <c r="CG205" s="44"/>
      <c r="CH205" s="44"/>
      <c r="CI205" s="44"/>
      <c r="CJ205" s="44"/>
      <c r="CK205" s="44"/>
      <c r="CL205" s="44"/>
      <c r="CM205" s="44"/>
      <c r="CN205" s="115"/>
      <c r="CO205" s="115"/>
      <c r="CP205" s="115"/>
      <c r="CQ205" s="115"/>
      <c r="CR205" s="115"/>
      <c r="CS205" s="115"/>
      <c r="CT205" s="115"/>
      <c r="CU205" s="115"/>
      <c r="CV205" s="115"/>
      <c r="CW205" s="115"/>
      <c r="CX205" s="115"/>
      <c r="CY205" s="115"/>
      <c r="CZ205" s="115"/>
      <c r="DA205" s="115"/>
      <c r="DB205" s="115"/>
      <c r="DC205" s="115"/>
      <c r="DD205" s="115"/>
      <c r="DE205" s="115"/>
      <c r="DF205" s="115"/>
      <c r="DG205" s="115"/>
      <c r="DH205" s="115"/>
      <c r="DI205" s="115"/>
      <c r="DJ205" s="115"/>
      <c r="DK205" s="115"/>
      <c r="DL205" s="115"/>
      <c r="DM205" s="115"/>
      <c r="DN205" s="115"/>
      <c r="DO205" s="115"/>
      <c r="DP205" s="44"/>
      <c r="DQ205" s="44"/>
      <c r="DR205" s="44"/>
      <c r="DS205" s="44"/>
      <c r="DT205" s="44"/>
      <c r="DU205" s="44"/>
      <c r="DV205" s="44"/>
      <c r="DW205" s="44"/>
      <c r="DX205" s="44"/>
      <c r="DY205" s="44"/>
      <c r="DZ205" s="44"/>
      <c r="EA205" s="44"/>
      <c r="EB205" s="44"/>
      <c r="EC205" s="44"/>
      <c r="ED205" s="44"/>
      <c r="EE205" s="44"/>
      <c r="EF205" s="44"/>
      <c r="EG205" s="44"/>
      <c r="EH205" s="44"/>
      <c r="EI205" s="44"/>
      <c r="EJ205" s="44"/>
      <c r="EL205" s="44">
        <f t="shared" ref="EL205:ET205" si="366">EL116</f>
        <v>19460</v>
      </c>
      <c r="EM205" s="44">
        <f t="shared" si="366"/>
        <v>19358</v>
      </c>
      <c r="EN205" s="44">
        <f t="shared" si="366"/>
        <v>16435</v>
      </c>
      <c r="EO205" s="44">
        <f t="shared" si="366"/>
        <v>14488</v>
      </c>
      <c r="EP205" s="44">
        <f t="shared" si="366"/>
        <v>0</v>
      </c>
      <c r="EQ205" s="44">
        <f t="shared" si="366"/>
        <v>0</v>
      </c>
      <c r="ER205" s="44">
        <f t="shared" si="366"/>
        <v>0</v>
      </c>
      <c r="ES205" s="44">
        <f t="shared" si="366"/>
        <v>0</v>
      </c>
      <c r="ET205" s="44">
        <f t="shared" si="366"/>
        <v>0</v>
      </c>
    </row>
    <row r="206" spans="2:211">
      <c r="B206" s="14" t="s">
        <v>878</v>
      </c>
      <c r="AP206" s="62"/>
      <c r="BA206" s="44">
        <f>BA113</f>
        <v>11603</v>
      </c>
      <c r="BB206" s="44">
        <f>BB113</f>
        <v>16520</v>
      </c>
      <c r="BC206" s="44">
        <f>BC113</f>
        <v>17113</v>
      </c>
      <c r="BD206" s="44">
        <f>BD113</f>
        <v>17607</v>
      </c>
      <c r="BE206" s="44"/>
      <c r="BF206" s="44"/>
      <c r="BG206" s="44"/>
      <c r="BH206" s="44"/>
      <c r="BI206" s="44"/>
      <c r="BJ206" s="65"/>
      <c r="BK206" s="65"/>
      <c r="BL206" s="44"/>
      <c r="BM206" s="44"/>
      <c r="BN206" s="44"/>
      <c r="BO206" s="44"/>
      <c r="BP206" s="44"/>
      <c r="BQ206" s="44"/>
      <c r="BR206" s="44"/>
      <c r="BS206" s="44"/>
      <c r="BT206" s="44"/>
      <c r="BU206" s="44"/>
      <c r="BV206" s="44"/>
      <c r="BW206" s="44"/>
      <c r="BX206" s="44"/>
      <c r="BY206" s="44"/>
      <c r="BZ206" s="44"/>
      <c r="CA206" s="44"/>
      <c r="CB206" s="44"/>
      <c r="CC206" s="44"/>
      <c r="CD206" s="44"/>
      <c r="CE206" s="44"/>
      <c r="CF206" s="44"/>
      <c r="CG206" s="44"/>
      <c r="CH206" s="44"/>
      <c r="CI206" s="44"/>
      <c r="CJ206" s="44"/>
      <c r="CK206" s="44"/>
      <c r="CL206" s="44"/>
      <c r="CM206" s="44"/>
      <c r="CN206" s="115"/>
      <c r="CO206" s="115"/>
      <c r="CP206" s="115"/>
      <c r="CQ206" s="115"/>
      <c r="CR206" s="115"/>
      <c r="CS206" s="115"/>
      <c r="CT206" s="115"/>
      <c r="CU206" s="115"/>
      <c r="CV206" s="115"/>
      <c r="CW206" s="115"/>
      <c r="CX206" s="115"/>
      <c r="CY206" s="115"/>
      <c r="CZ206" s="115"/>
      <c r="DA206" s="115"/>
      <c r="DB206" s="115"/>
      <c r="DC206" s="115"/>
      <c r="DD206" s="115"/>
      <c r="DE206" s="115"/>
      <c r="DF206" s="115"/>
      <c r="DG206" s="115"/>
      <c r="DH206" s="115"/>
      <c r="DI206" s="115"/>
      <c r="DJ206" s="115"/>
      <c r="DK206" s="115"/>
      <c r="DL206" s="115"/>
      <c r="DM206" s="115"/>
      <c r="DN206" s="115"/>
      <c r="DO206" s="115"/>
      <c r="DP206" s="44"/>
      <c r="DQ206" s="44"/>
      <c r="DR206" s="44"/>
      <c r="DS206" s="44"/>
      <c r="DT206" s="44"/>
      <c r="DU206" s="44"/>
      <c r="DV206" s="44"/>
      <c r="DW206" s="44"/>
      <c r="DX206" s="44"/>
      <c r="DY206" s="44"/>
      <c r="DZ206" s="44"/>
      <c r="EA206" s="44"/>
      <c r="EB206" s="44"/>
      <c r="EC206" s="44"/>
      <c r="ED206" s="44"/>
      <c r="EE206" s="44"/>
      <c r="EF206" s="44"/>
      <c r="EG206" s="44"/>
      <c r="EH206" s="44"/>
      <c r="EI206" s="44"/>
      <c r="EJ206" s="44"/>
      <c r="EL206" s="44">
        <f t="shared" ref="EL206:ET206" si="367">EL113</f>
        <v>43686</v>
      </c>
      <c r="EM206" s="44">
        <f t="shared" si="367"/>
        <v>41620</v>
      </c>
      <c r="EN206" s="44">
        <f t="shared" si="367"/>
        <v>34396.199999999997</v>
      </c>
      <c r="EO206" s="44">
        <f t="shared" si="367"/>
        <v>51247</v>
      </c>
      <c r="EP206" s="44">
        <f t="shared" si="367"/>
        <v>48522.78</v>
      </c>
      <c r="EQ206" s="44">
        <f t="shared" si="367"/>
        <v>42071.249900000003</v>
      </c>
      <c r="ER206" s="44">
        <f t="shared" si="367"/>
        <v>31074.791678999998</v>
      </c>
      <c r="ES206" s="44">
        <f t="shared" si="367"/>
        <v>29059.533359869998</v>
      </c>
      <c r="ET206" s="44">
        <f t="shared" si="367"/>
        <v>23889.756463466103</v>
      </c>
    </row>
    <row r="207" spans="2:211">
      <c r="B207" s="14" t="s">
        <v>879</v>
      </c>
      <c r="AP207" s="62"/>
      <c r="BA207" s="55">
        <f>BA206/BA205</f>
        <v>3.597829457364341</v>
      </c>
      <c r="BB207" s="55">
        <f t="shared" ref="BB207:BD207" si="368">BB206/BB205</f>
        <v>3.0907390084190833</v>
      </c>
      <c r="BC207" s="55">
        <f t="shared" si="368"/>
        <v>3.911542857142857</v>
      </c>
      <c r="BD207" s="55">
        <f t="shared" si="368"/>
        <v>3.7247725830336367</v>
      </c>
      <c r="BE207" s="55"/>
      <c r="BF207" s="55"/>
      <c r="BG207" s="55"/>
      <c r="BH207" s="55"/>
      <c r="BI207" s="55"/>
      <c r="BJ207" s="108"/>
      <c r="BK207" s="108"/>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141"/>
      <c r="CO207" s="141"/>
      <c r="CP207" s="141"/>
      <c r="CQ207" s="141"/>
      <c r="CR207" s="141"/>
      <c r="CS207" s="141"/>
      <c r="CT207" s="141"/>
      <c r="CU207" s="141"/>
      <c r="CV207" s="141"/>
      <c r="CW207" s="141"/>
      <c r="CX207" s="141"/>
      <c r="CY207" s="141"/>
      <c r="CZ207" s="141"/>
      <c r="DA207" s="141"/>
      <c r="DB207" s="141"/>
      <c r="DC207" s="141"/>
      <c r="DD207" s="141"/>
      <c r="DE207" s="141"/>
      <c r="DF207" s="141"/>
      <c r="DG207" s="141"/>
      <c r="DH207" s="141"/>
      <c r="DI207" s="141"/>
      <c r="DJ207" s="141"/>
      <c r="DK207" s="141"/>
      <c r="DL207" s="141"/>
      <c r="DM207" s="141"/>
      <c r="DN207" s="141"/>
      <c r="DO207" s="141"/>
      <c r="DP207" s="55"/>
      <c r="DQ207" s="55"/>
      <c r="DR207" s="55"/>
      <c r="DS207" s="55"/>
      <c r="DT207" s="55"/>
      <c r="DU207" s="55"/>
      <c r="DV207" s="55"/>
      <c r="DW207" s="55"/>
      <c r="DX207" s="55"/>
      <c r="DY207" s="55"/>
      <c r="DZ207" s="55"/>
      <c r="EA207" s="55"/>
      <c r="EB207" s="55"/>
      <c r="EC207" s="55"/>
      <c r="ED207" s="55"/>
      <c r="EE207" s="55"/>
      <c r="EF207" s="55"/>
      <c r="EG207" s="55"/>
      <c r="EH207" s="55"/>
      <c r="EI207" s="55"/>
      <c r="EJ207" s="55"/>
      <c r="EK207" s="55"/>
      <c r="EL207" s="55">
        <f>EL206/EL205</f>
        <v>2.2449126413155192</v>
      </c>
      <c r="EM207" s="55">
        <f t="shared" ref="EM207:ES207" si="369">EM206/EM205</f>
        <v>2.1500154974687469</v>
      </c>
      <c r="EN207" s="55">
        <f t="shared" si="369"/>
        <v>2.0928627928202008</v>
      </c>
      <c r="EO207" s="55">
        <f t="shared" si="369"/>
        <v>3.5372032026504692</v>
      </c>
      <c r="EP207" s="55" t="e">
        <f t="shared" si="369"/>
        <v>#DIV/0!</v>
      </c>
      <c r="EQ207" s="55" t="e">
        <f t="shared" si="369"/>
        <v>#DIV/0!</v>
      </c>
      <c r="ER207" s="55" t="e">
        <f t="shared" si="369"/>
        <v>#DIV/0!</v>
      </c>
      <c r="ES207" s="55" t="e">
        <f t="shared" si="369"/>
        <v>#DIV/0!</v>
      </c>
      <c r="ET207" s="55" t="e">
        <f>ET206/ET205</f>
        <v>#DIV/0!</v>
      </c>
      <c r="EU207" s="55"/>
      <c r="EV207" s="55"/>
      <c r="EW207" s="55"/>
      <c r="EX207" s="55"/>
      <c r="EY207" s="55"/>
      <c r="EZ207" s="55"/>
      <c r="FA207" s="55"/>
      <c r="FB207" s="55"/>
      <c r="FC207" s="55"/>
      <c r="FD207" s="55"/>
      <c r="FE207" s="55"/>
      <c r="FF207" s="55"/>
      <c r="FG207" s="55"/>
      <c r="FH207" s="55"/>
      <c r="FI207" s="55"/>
      <c r="FJ207" s="55"/>
      <c r="FK207" s="55"/>
      <c r="FL207" s="55"/>
      <c r="FM207" s="55"/>
      <c r="FN207" s="55"/>
      <c r="FO207" s="55"/>
      <c r="FP207" s="55"/>
      <c r="FQ207" s="97"/>
      <c r="FR207" s="55"/>
      <c r="FS207" s="98"/>
      <c r="FT207" s="55"/>
    </row>
    <row r="208" spans="2:211">
      <c r="B208" s="14" t="s">
        <v>880</v>
      </c>
      <c r="AP208" s="62"/>
      <c r="BA208" s="101">
        <f>BA206/BA203*1000</f>
        <v>154.50066577896138</v>
      </c>
      <c r="BB208" s="101">
        <f t="shared" ref="BB208:BD208" si="370">BB206/BB203*1000</f>
        <v>141.80257510729612</v>
      </c>
      <c r="BC208" s="101">
        <f t="shared" si="370"/>
        <v>150.37785588752197</v>
      </c>
      <c r="BD208" s="101">
        <f t="shared" si="370"/>
        <v>154.7188049209139</v>
      </c>
    </row>
    <row r="210" spans="2:147">
      <c r="B210" s="14" t="s">
        <v>881</v>
      </c>
      <c r="AE210" s="44"/>
      <c r="AF210" s="44"/>
      <c r="AG210" s="44"/>
      <c r="AH210" s="44"/>
      <c r="AK210" s="44">
        <v>12189</v>
      </c>
      <c r="AL210" s="44">
        <v>13592</v>
      </c>
      <c r="AM210" s="44">
        <v>12660</v>
      </c>
      <c r="AN210" s="44">
        <v>11741</v>
      </c>
      <c r="AO210" s="44">
        <v>12280</v>
      </c>
      <c r="AP210" s="44">
        <v>12603</v>
      </c>
      <c r="AQ210" s="44">
        <v>12474</v>
      </c>
      <c r="AR210" s="44">
        <v>11084</v>
      </c>
      <c r="AS210" s="44">
        <v>11950</v>
      </c>
      <c r="AT210" s="44">
        <v>12990</v>
      </c>
      <c r="AU210" s="44">
        <v>11796</v>
      </c>
      <c r="AV210" s="44">
        <v>12075</v>
      </c>
      <c r="AW210" s="44">
        <v>12159</v>
      </c>
      <c r="AX210" s="44">
        <v>12311</v>
      </c>
      <c r="AY210" s="44">
        <v>10845</v>
      </c>
      <c r="AZ210" s="44">
        <v>10966</v>
      </c>
      <c r="BA210" s="44">
        <v>11603</v>
      </c>
      <c r="BB210" s="44">
        <v>16520</v>
      </c>
      <c r="BC210" s="44">
        <v>16750</v>
      </c>
      <c r="BD210" s="44">
        <v>16707</v>
      </c>
      <c r="BE210" s="44">
        <v>16674</v>
      </c>
      <c r="BF210" s="44">
        <v>16970</v>
      </c>
      <c r="BG210" s="44">
        <v>16751</v>
      </c>
      <c r="BH210" s="44">
        <v>16950</v>
      </c>
      <c r="BI210" s="44">
        <v>16194</v>
      </c>
      <c r="BJ210" s="65"/>
      <c r="BK210" s="65">
        <v>15460</v>
      </c>
      <c r="BL210" s="44"/>
      <c r="BM210" s="44"/>
      <c r="BN210" s="44"/>
      <c r="BO210" s="44"/>
      <c r="BP210" s="44"/>
      <c r="BQ210" s="44"/>
      <c r="BR210" s="44"/>
      <c r="BS210" s="44"/>
      <c r="BT210" s="44"/>
      <c r="BU210" s="44"/>
      <c r="BV210" s="44"/>
      <c r="BW210" s="44"/>
      <c r="BX210" s="44"/>
      <c r="BY210" s="44"/>
      <c r="BZ210" s="44"/>
      <c r="CA210" s="44"/>
      <c r="CB210" s="44"/>
      <c r="CC210" s="44"/>
      <c r="CD210" s="44"/>
      <c r="CE210" s="44"/>
      <c r="CF210" s="44"/>
      <c r="CG210" s="44"/>
      <c r="CH210" s="44"/>
      <c r="CI210" s="44"/>
      <c r="CJ210" s="44"/>
      <c r="CK210" s="44"/>
      <c r="CL210" s="44"/>
      <c r="CM210" s="44"/>
      <c r="CN210" s="115"/>
      <c r="CO210" s="115"/>
      <c r="CP210" s="115"/>
      <c r="CQ210" s="115"/>
      <c r="CR210" s="115"/>
      <c r="CS210" s="115"/>
      <c r="CT210" s="115"/>
      <c r="CU210" s="115"/>
      <c r="CV210" s="115"/>
      <c r="CW210" s="115"/>
      <c r="CX210" s="115"/>
      <c r="CY210" s="115"/>
      <c r="CZ210" s="115"/>
      <c r="DA210" s="115"/>
      <c r="DB210" s="115"/>
      <c r="DC210" s="115"/>
      <c r="DD210" s="115"/>
      <c r="DE210" s="115"/>
      <c r="DF210" s="115"/>
      <c r="DG210" s="115"/>
      <c r="DH210" s="115"/>
      <c r="DI210" s="115"/>
      <c r="DJ210" s="115"/>
      <c r="DK210" s="115"/>
      <c r="DL210" s="115"/>
      <c r="DM210" s="115"/>
      <c r="DN210" s="115"/>
      <c r="DO210" s="115"/>
      <c r="DP210" s="44"/>
      <c r="DQ210" s="44"/>
      <c r="DU210" s="44"/>
      <c r="DV210" s="44"/>
      <c r="DW210" s="44"/>
      <c r="DX210" s="44"/>
      <c r="DY210" s="44"/>
      <c r="DZ210" s="44"/>
      <c r="EA210" s="44"/>
      <c r="EB210" s="44"/>
      <c r="EC210" s="44"/>
      <c r="ED210" s="44"/>
      <c r="EE210" s="44"/>
      <c r="EF210" s="44"/>
      <c r="EG210" s="44"/>
      <c r="EH210" s="48"/>
      <c r="EI210" s="45">
        <v>47546.93</v>
      </c>
      <c r="EJ210" s="45">
        <v>48296</v>
      </c>
      <c r="EK210" s="45">
        <v>49934</v>
      </c>
      <c r="EL210" s="45">
        <v>67279</v>
      </c>
      <c r="EM210" s="45">
        <v>66210</v>
      </c>
      <c r="EN210" s="45">
        <v>62514</v>
      </c>
      <c r="EO210" s="44">
        <v>61732</v>
      </c>
      <c r="EP210" s="44">
        <v>61614</v>
      </c>
      <c r="EQ210" s="44">
        <v>61332</v>
      </c>
    </row>
    <row r="211" spans="2:147">
      <c r="B211" s="4" t="s">
        <v>875</v>
      </c>
      <c r="AE211" s="44"/>
      <c r="AF211" s="44"/>
      <c r="AG211" s="44"/>
      <c r="AH211" s="44"/>
      <c r="AK211" s="44">
        <f t="shared" ref="AK211:BF211" si="371">AK113-AK210</f>
        <v>393.10000000000036</v>
      </c>
      <c r="AL211" s="44">
        <f t="shared" si="371"/>
        <v>400.79999999999927</v>
      </c>
      <c r="AM211" s="44">
        <f t="shared" si="371"/>
        <v>431.60000000000036</v>
      </c>
      <c r="AN211" s="44">
        <f t="shared" si="371"/>
        <v>518.20000000000073</v>
      </c>
      <c r="AO211" s="44">
        <f t="shared" si="371"/>
        <v>509.79999999999927</v>
      </c>
      <c r="AP211" s="44">
        <f t="shared" si="371"/>
        <v>501.70000000000073</v>
      </c>
      <c r="AQ211" s="44">
        <f t="shared" si="371"/>
        <v>0</v>
      </c>
      <c r="AR211" s="44">
        <f t="shared" si="371"/>
        <v>0</v>
      </c>
      <c r="AS211" s="44">
        <f t="shared" si="371"/>
        <v>0</v>
      </c>
      <c r="AT211" s="44">
        <f t="shared" si="371"/>
        <v>0</v>
      </c>
      <c r="AU211" s="44">
        <f t="shared" si="371"/>
        <v>705.80299999999988</v>
      </c>
      <c r="AV211" s="44">
        <f t="shared" si="371"/>
        <v>690.65400000000045</v>
      </c>
      <c r="AW211" s="44">
        <f t="shared" si="371"/>
        <v>0</v>
      </c>
      <c r="AX211" s="44">
        <f t="shared" si="371"/>
        <v>0</v>
      </c>
      <c r="AY211" s="44">
        <f t="shared" si="371"/>
        <v>754.64999999999964</v>
      </c>
      <c r="AZ211" s="44">
        <f t="shared" si="371"/>
        <v>783.61499999999978</v>
      </c>
      <c r="BA211" s="44">
        <f t="shared" si="371"/>
        <v>0</v>
      </c>
      <c r="BB211" s="44">
        <f t="shared" si="371"/>
        <v>0</v>
      </c>
      <c r="BC211" s="44">
        <f t="shared" si="371"/>
        <v>363</v>
      </c>
      <c r="BD211" s="44">
        <f t="shared" si="371"/>
        <v>900</v>
      </c>
      <c r="BE211" s="44">
        <f t="shared" si="371"/>
        <v>55</v>
      </c>
      <c r="BF211" s="44">
        <f t="shared" si="371"/>
        <v>1320</v>
      </c>
      <c r="BG211" s="44"/>
      <c r="BH211" s="44"/>
      <c r="BI211" s="44"/>
      <c r="BJ211" s="65"/>
      <c r="BK211" s="44">
        <f>BK113-BK210</f>
        <v>-31</v>
      </c>
      <c r="BL211" s="44"/>
      <c r="BM211" s="44"/>
      <c r="BN211" s="44"/>
      <c r="BO211" s="44"/>
      <c r="BP211" s="44"/>
      <c r="BQ211" s="44"/>
      <c r="BR211" s="44"/>
      <c r="BS211" s="44"/>
      <c r="BT211" s="44"/>
      <c r="BU211" s="44"/>
      <c r="BV211" s="44"/>
      <c r="BW211" s="44"/>
      <c r="BX211" s="44"/>
      <c r="BY211" s="44"/>
      <c r="BZ211" s="44"/>
      <c r="CA211" s="44"/>
      <c r="CB211" s="44"/>
      <c r="CC211" s="44"/>
      <c r="CD211" s="44"/>
      <c r="CE211" s="44"/>
      <c r="CF211" s="44"/>
      <c r="CG211" s="44"/>
      <c r="CH211" s="44"/>
      <c r="CI211" s="44"/>
      <c r="CJ211" s="44"/>
      <c r="CK211" s="44"/>
      <c r="CL211" s="44"/>
      <c r="CM211" s="44"/>
      <c r="CN211" s="115"/>
      <c r="CO211" s="115"/>
      <c r="CP211" s="115"/>
      <c r="CQ211" s="115"/>
      <c r="CR211" s="115"/>
      <c r="CS211" s="115"/>
      <c r="CT211" s="115"/>
      <c r="CU211" s="115"/>
      <c r="CV211" s="115"/>
      <c r="CW211" s="115"/>
      <c r="CX211" s="115"/>
      <c r="CY211" s="115"/>
      <c r="CZ211" s="115"/>
      <c r="DA211" s="115"/>
      <c r="DB211" s="115"/>
      <c r="DC211" s="115"/>
      <c r="DD211" s="115"/>
      <c r="DE211" s="115"/>
      <c r="DF211" s="115"/>
      <c r="DG211" s="115"/>
      <c r="DH211" s="115"/>
      <c r="DI211" s="115"/>
      <c r="DJ211" s="115"/>
      <c r="DK211" s="115"/>
      <c r="DL211" s="115"/>
      <c r="DM211" s="115"/>
      <c r="DN211" s="115"/>
      <c r="DO211" s="115"/>
      <c r="DP211" s="44"/>
      <c r="DQ211" s="44"/>
      <c r="DU211" s="44"/>
      <c r="DV211" s="44"/>
      <c r="DW211" s="44"/>
      <c r="DX211" s="44"/>
      <c r="DY211" s="44"/>
      <c r="DZ211" s="44"/>
      <c r="EA211" s="44"/>
      <c r="EB211" s="44"/>
      <c r="EC211" s="44"/>
      <c r="ED211" s="44"/>
      <c r="EE211" s="44"/>
      <c r="EF211" s="44"/>
      <c r="EG211" s="44"/>
      <c r="EH211" s="48"/>
      <c r="EI211" s="45">
        <f t="shared" ref="EI211:EN211" si="372">EI113-EI210</f>
        <v>-14077.510000000002</v>
      </c>
      <c r="EJ211" s="45">
        <f t="shared" si="372"/>
        <v>-20343</v>
      </c>
      <c r="EK211" s="45">
        <f t="shared" si="372"/>
        <v>-13155</v>
      </c>
      <c r="EL211" s="45">
        <f t="shared" si="372"/>
        <v>-23593</v>
      </c>
      <c r="EM211" s="45">
        <f t="shared" si="372"/>
        <v>-24590</v>
      </c>
      <c r="EN211" s="45">
        <f t="shared" si="372"/>
        <v>-28117.800000000003</v>
      </c>
    </row>
    <row r="212" spans="2:147">
      <c r="B212" s="4" t="s">
        <v>882</v>
      </c>
      <c r="AP212" s="62"/>
      <c r="AR212" s="37">
        <v>0.42</v>
      </c>
      <c r="AS212" s="37">
        <v>0.57999999999999996</v>
      </c>
      <c r="AT212" s="37">
        <v>0.52</v>
      </c>
      <c r="AU212" s="37">
        <v>0.61</v>
      </c>
      <c r="AV212" s="37">
        <v>0.55000000000000004</v>
      </c>
      <c r="AW212" s="37">
        <v>0.62</v>
      </c>
      <c r="AX212" s="37">
        <v>0.65</v>
      </c>
      <c r="AY212" s="37">
        <v>0.54</v>
      </c>
      <c r="AZ212" s="37">
        <v>0.48</v>
      </c>
      <c r="BA212" s="37">
        <v>0.51</v>
      </c>
      <c r="BB212" s="37">
        <v>0.49</v>
      </c>
      <c r="BC212" s="55">
        <v>0.6</v>
      </c>
      <c r="BD212" s="37">
        <v>0.52</v>
      </c>
      <c r="BK212" s="69">
        <v>0.57999999999999996</v>
      </c>
      <c r="EI212" s="37">
        <v>2.12</v>
      </c>
      <c r="EJ212" s="37">
        <v>2.42</v>
      </c>
      <c r="EK212" s="37">
        <v>2.02</v>
      </c>
      <c r="EL212" s="37">
        <v>2.61</v>
      </c>
      <c r="EM212" s="55">
        <v>2.4300000000000002</v>
      </c>
      <c r="EN212" s="37"/>
      <c r="EO212" s="37"/>
    </row>
    <row r="213" spans="2:147">
      <c r="B213" s="4" t="s">
        <v>875</v>
      </c>
      <c r="AP213" s="62"/>
      <c r="AR213" s="99">
        <f t="shared" ref="AR213:BC213" si="373">AR125-AR212</f>
        <v>-2.6437768240343329E-2</v>
      </c>
      <c r="AS213" s="99">
        <f t="shared" si="373"/>
        <v>-9.4574992747309405E-4</v>
      </c>
      <c r="AT213" s="99">
        <f t="shared" si="373"/>
        <v>8.7102473498232857E-3</v>
      </c>
      <c r="AU213" s="99">
        <f t="shared" si="373"/>
        <v>0.1045523513753327</v>
      </c>
      <c r="AV213" s="99">
        <f t="shared" si="373"/>
        <v>0.10555038529934802</v>
      </c>
      <c r="AW213" s="99">
        <f t="shared" si="373"/>
        <v>5.890736342042735E-3</v>
      </c>
      <c r="AX213" s="99">
        <f t="shared" si="373"/>
        <v>7.9611218281644414E-3</v>
      </c>
      <c r="AY213" s="99">
        <f t="shared" si="373"/>
        <v>9.5221383088997413E-2</v>
      </c>
      <c r="AZ213" s="99">
        <f t="shared" si="373"/>
        <v>0.1212462973933649</v>
      </c>
      <c r="BA213" s="99">
        <f t="shared" si="373"/>
        <v>6.8589174800355313E-3</v>
      </c>
      <c r="BB213" s="99">
        <f t="shared" si="373"/>
        <v>3.4369822862240218E-3</v>
      </c>
      <c r="BC213" s="99">
        <f t="shared" si="373"/>
        <v>5.4351599305727749E-2</v>
      </c>
      <c r="BK213" s="99">
        <f>BK125-BK212</f>
        <v>1.8052118978678644E-2</v>
      </c>
      <c r="EJ213" s="100">
        <f>EJ125-EJ212</f>
        <v>0.39999999999999991</v>
      </c>
      <c r="EK213" s="100">
        <f>EK125-EK212</f>
        <v>0.2200000000000002</v>
      </c>
      <c r="EL213" s="37"/>
      <c r="EM213" s="55"/>
      <c r="EN213" s="37"/>
      <c r="EO213" s="37"/>
    </row>
    <row r="214" spans="2:147">
      <c r="AP214" s="62"/>
      <c r="AX214" s="99"/>
      <c r="AY214" s="99"/>
      <c r="AZ214" s="99"/>
      <c r="BA214" s="99"/>
      <c r="BB214" s="99"/>
      <c r="BC214" s="99"/>
      <c r="EK214" s="37"/>
      <c r="EL214" s="37"/>
      <c r="EM214" s="55"/>
      <c r="EN214" s="37"/>
      <c r="EO214" s="37"/>
    </row>
  </sheetData>
  <phoneticPr fontId="3" type="noConversion"/>
  <hyperlinks>
    <hyperlink ref="A1" location="Main!A1" display="Main" xr:uid="{00000000-0004-0000-0400-000000000000}"/>
  </hyperlinks>
  <pageMargins left="7.0000000000000007E-2" right="7.0000000000000007E-2" top="0.59" bottom="0.33" header="0.5" footer="0.18"/>
  <pageSetup scale="22" orientation="landscape" verticalDpi="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166A6-88F2-4382-838E-80A08D3919AC}">
  <sheetPr codeName="Sheet6"/>
  <dimension ref="A1:C20"/>
  <sheetViews>
    <sheetView zoomScale="145" zoomScaleNormal="145" workbookViewId="0"/>
  </sheetViews>
  <sheetFormatPr baseColWidth="10" defaultColWidth="8.83203125" defaultRowHeight="13"/>
  <cols>
    <col min="1" max="1" width="5" bestFit="1" customWidth="1"/>
    <col min="2" max="2" width="12" bestFit="1" customWidth="1"/>
  </cols>
  <sheetData>
    <row r="1" spans="1:3">
      <c r="A1" s="16" t="s">
        <v>0</v>
      </c>
    </row>
    <row r="2" spans="1:3">
      <c r="B2" s="102" t="s">
        <v>1398</v>
      </c>
      <c r="C2" s="102" t="s">
        <v>1353</v>
      </c>
    </row>
    <row r="3" spans="1:3">
      <c r="B3" s="102" t="s">
        <v>885</v>
      </c>
      <c r="C3" s="102" t="s">
        <v>1420</v>
      </c>
    </row>
    <row r="4" spans="1:3">
      <c r="B4" s="102" t="s">
        <v>1400</v>
      </c>
      <c r="C4" s="102" t="s">
        <v>1403</v>
      </c>
    </row>
    <row r="5" spans="1:3">
      <c r="B5" s="102" t="s">
        <v>1438</v>
      </c>
      <c r="C5" s="102" t="s">
        <v>1449</v>
      </c>
    </row>
    <row r="6" spans="1:3">
      <c r="B6" s="102"/>
      <c r="C6" s="102" t="s">
        <v>1448</v>
      </c>
    </row>
    <row r="7" spans="1:3">
      <c r="B7" s="102" t="s">
        <v>933</v>
      </c>
    </row>
    <row r="8" spans="1:3">
      <c r="C8" s="38" t="s">
        <v>1421</v>
      </c>
    </row>
    <row r="11" spans="1:3">
      <c r="C11" s="38" t="s">
        <v>1442</v>
      </c>
    </row>
    <row r="12" spans="1:3">
      <c r="C12" s="102" t="s">
        <v>1443</v>
      </c>
    </row>
    <row r="13" spans="1:3">
      <c r="C13" s="102" t="s">
        <v>1445</v>
      </c>
    </row>
    <row r="14" spans="1:3">
      <c r="C14" s="102" t="s">
        <v>1441</v>
      </c>
    </row>
    <row r="15" spans="1:3">
      <c r="C15" s="102" t="s">
        <v>1444</v>
      </c>
    </row>
    <row r="17" spans="3:3">
      <c r="C17" s="38" t="s">
        <v>1446</v>
      </c>
    </row>
    <row r="18" spans="3:3">
      <c r="C18" s="102" t="s">
        <v>1447</v>
      </c>
    </row>
    <row r="20" spans="3:3">
      <c r="C20" s="38"/>
    </row>
  </sheetData>
  <hyperlinks>
    <hyperlink ref="A1" location="Main!A1" display="Main" xr:uid="{98A3B779-882F-494E-846C-144E2DE3F7C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8B7D-0CCB-45E8-A156-5230E221E0C9}">
  <sheetPr codeName="Sheet7"/>
  <dimension ref="A1:C12"/>
  <sheetViews>
    <sheetView zoomScale="160" zoomScaleNormal="160" workbookViewId="0">
      <selection activeCell="C6" sqref="C6"/>
    </sheetView>
  </sheetViews>
  <sheetFormatPr baseColWidth="10" defaultColWidth="8.83203125" defaultRowHeight="13"/>
  <cols>
    <col min="1" max="1" width="5" bestFit="1" customWidth="1"/>
    <col min="2" max="2" width="12" bestFit="1" customWidth="1"/>
  </cols>
  <sheetData>
    <row r="1" spans="1:3">
      <c r="A1" s="16" t="s">
        <v>0</v>
      </c>
    </row>
    <row r="2" spans="1:3">
      <c r="B2" s="102" t="s">
        <v>1398</v>
      </c>
      <c r="C2" s="102" t="s">
        <v>1426</v>
      </c>
    </row>
    <row r="3" spans="1:3">
      <c r="B3" s="102" t="s">
        <v>1399</v>
      </c>
      <c r="C3" s="102" t="s">
        <v>1422</v>
      </c>
    </row>
    <row r="4" spans="1:3">
      <c r="B4" s="102" t="s">
        <v>5</v>
      </c>
      <c r="C4" s="102" t="s">
        <v>1425</v>
      </c>
    </row>
    <row r="5" spans="1:3">
      <c r="B5" s="102" t="s">
        <v>1400</v>
      </c>
      <c r="C5" s="102" t="s">
        <v>1423</v>
      </c>
    </row>
    <row r="6" spans="1:3">
      <c r="B6" t="s">
        <v>1475</v>
      </c>
      <c r="C6" s="102" t="s">
        <v>1474</v>
      </c>
    </row>
    <row r="7" spans="1:3">
      <c r="B7" t="s">
        <v>1477</v>
      </c>
      <c r="C7" t="s">
        <v>1476</v>
      </c>
    </row>
    <row r="8" spans="1:3">
      <c r="B8" t="s">
        <v>1478</v>
      </c>
      <c r="C8" t="s">
        <v>1479</v>
      </c>
    </row>
    <row r="9" spans="1:3">
      <c r="B9" s="102" t="s">
        <v>933</v>
      </c>
    </row>
    <row r="10" spans="1:3">
      <c r="C10" s="38" t="s">
        <v>1454</v>
      </c>
    </row>
    <row r="11" spans="1:3">
      <c r="C11" s="102" t="s">
        <v>1452</v>
      </c>
    </row>
    <row r="12" spans="1:3">
      <c r="C12" s="102" t="s">
        <v>1453</v>
      </c>
    </row>
  </sheetData>
  <hyperlinks>
    <hyperlink ref="A1" location="Main!A1" display="Main" xr:uid="{CE0CEA34-BB51-4E13-84A4-3B40004361A9}"/>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C6"/>
  <sheetViews>
    <sheetView workbookViewId="0"/>
  </sheetViews>
  <sheetFormatPr baseColWidth="10" defaultColWidth="8.83203125" defaultRowHeight="13"/>
  <cols>
    <col min="1" max="1" width="5" bestFit="1" customWidth="1"/>
    <col min="2" max="2" width="15.1640625" customWidth="1"/>
    <col min="3" max="3" width="12" customWidth="1"/>
  </cols>
  <sheetData>
    <row r="1" spans="1:3">
      <c r="A1" s="16" t="s">
        <v>0</v>
      </c>
    </row>
    <row r="2" spans="1:3">
      <c r="B2" s="102" t="s">
        <v>2</v>
      </c>
      <c r="C2" s="102" t="s">
        <v>883</v>
      </c>
    </row>
    <row r="3" spans="1:3">
      <c r="B3" s="102" t="s">
        <v>3</v>
      </c>
      <c r="C3" s="102" t="s">
        <v>884</v>
      </c>
    </row>
    <row r="4" spans="1:3">
      <c r="B4" s="102" t="s">
        <v>885</v>
      </c>
      <c r="C4" s="102" t="s">
        <v>886</v>
      </c>
    </row>
    <row r="5" spans="1:3">
      <c r="B5" s="102" t="s">
        <v>5</v>
      </c>
      <c r="C5" s="102" t="s">
        <v>302</v>
      </c>
    </row>
    <row r="6" spans="1:3">
      <c r="B6" s="102" t="s">
        <v>1400</v>
      </c>
      <c r="C6" s="102" t="s">
        <v>1419</v>
      </c>
    </row>
  </sheetData>
  <hyperlinks>
    <hyperlink ref="A1" location="Main!A1" display="Main" xr:uid="{00000000-0004-0000-05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5545D45-516D-4DDF-9114-4CE5EB9B77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52DF851-3645-47A4-A055-2CC8CDBC51FE}">
  <ds:schemaRefs>
    <ds:schemaRef ds:uri="http://schemas.microsoft.com/sharepoint/v3/contenttype/forms"/>
  </ds:schemaRefs>
</ds:datastoreItem>
</file>

<file path=customXml/itemProps3.xml><?xml version="1.0" encoding="utf-8"?>
<ds:datastoreItem xmlns:ds="http://schemas.openxmlformats.org/officeDocument/2006/customXml" ds:itemID="{B355FF63-26A9-4F1D-825F-615458595BD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40</vt:i4>
      </vt:variant>
    </vt:vector>
  </HeadingPairs>
  <TitlesOfParts>
    <vt:vector size="40" baseType="lpstr">
      <vt:lpstr>Failures</vt:lpstr>
      <vt:lpstr>Master Pipeline</vt:lpstr>
      <vt:lpstr>Approved Products</vt:lpstr>
      <vt:lpstr>Management</vt:lpstr>
      <vt:lpstr>Main</vt:lpstr>
      <vt:lpstr>Model</vt:lpstr>
      <vt:lpstr>Comirnaty</vt:lpstr>
      <vt:lpstr>Ibrance</vt:lpstr>
      <vt:lpstr>Enbrel</vt:lpstr>
      <vt:lpstr>Paxlovid</vt:lpstr>
      <vt:lpstr>Eliquis</vt:lpstr>
      <vt:lpstr>Prevnar</vt:lpstr>
      <vt:lpstr>Inlyta</vt:lpstr>
      <vt:lpstr>Xeljanz</vt:lpstr>
      <vt:lpstr>Chantix</vt:lpstr>
      <vt:lpstr>Chantix Model</vt:lpstr>
      <vt:lpstr>Lorbrena</vt:lpstr>
      <vt:lpstr>Xalkori</vt:lpstr>
      <vt:lpstr>Myfembree</vt:lpstr>
      <vt:lpstr>etrasimod</vt:lpstr>
      <vt:lpstr>elranatamab</vt:lpstr>
      <vt:lpstr>giroctocogene</vt:lpstr>
      <vt:lpstr>PF-06425090</vt:lpstr>
      <vt:lpstr>VLA15</vt:lpstr>
      <vt:lpstr>Sutent</vt:lpstr>
      <vt:lpstr>Diflucan</vt:lpstr>
      <vt:lpstr>Cardura</vt:lpstr>
      <vt:lpstr>Vfend</vt:lpstr>
      <vt:lpstr>Zyvox</vt:lpstr>
      <vt:lpstr>Selzentry</vt:lpstr>
      <vt:lpstr>PF868554</vt:lpstr>
      <vt:lpstr>Aricept</vt:lpstr>
      <vt:lpstr>Zithromax</vt:lpstr>
      <vt:lpstr>fordadistrogene</vt:lpstr>
      <vt:lpstr>Genotropin</vt:lpstr>
      <vt:lpstr>Accupril</vt:lpstr>
      <vt:lpstr>Fablyn</vt:lpstr>
      <vt:lpstr>tanezumab</vt:lpstr>
      <vt:lpstr>Acquisitions</vt:lpstr>
      <vt:lpstr>IP</vt:lpstr>
    </vt:vector>
  </TitlesOfParts>
  <Manager/>
  <Company>Capital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Shkreli</dc:creator>
  <cp:keywords/>
  <dc:description/>
  <cp:lastModifiedBy>Martin Shkreli</cp:lastModifiedBy>
  <cp:revision/>
  <dcterms:created xsi:type="dcterms:W3CDTF">2004-12-12T18:55:15Z</dcterms:created>
  <dcterms:modified xsi:type="dcterms:W3CDTF">2024-08-27T05:44:05Z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