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7E4A6777-C77B-8C47-8473-A4DBC223DBBB}" xr6:coauthVersionLast="47" xr6:coauthVersionMax="47" xr10:uidLastSave="{00000000-0000-0000-0000-000000000000}"/>
  <bookViews>
    <workbookView xWindow="-20240" yWindow="-21100" windowWidth="17900" windowHeight="20120" activeTab="2" xr2:uid="{00000000-000D-0000-FFFF-FFFF00000000}"/>
  </bookViews>
  <sheets>
    <sheet name="Master" sheetId="22" r:id="rId1"/>
    <sheet name="Main" sheetId="2" r:id="rId2"/>
    <sheet name="Model" sheetId="1" r:id="rId3"/>
    <sheet name="Lovenox" sheetId="13" r:id="rId4"/>
    <sheet name="Lantus" sheetId="18" r:id="rId5"/>
    <sheet name="Aubagio" sheetId="17" r:id="rId6"/>
    <sheet name="Plavix" sheetId="10" r:id="rId7"/>
    <sheet name="Multaq" sheetId="16" r:id="rId8"/>
    <sheet name="idraparinux" sheetId="14" r:id="rId9"/>
    <sheet name="SR 58611" sheetId="4" r:id="rId10"/>
    <sheet name="Eplivanserin" sheetId="5" r:id="rId11"/>
    <sheet name="SSR 591813" sheetId="6" r:id="rId12"/>
    <sheet name="Xaliproden" sheetId="7" r:id="rId13"/>
    <sheet name="Alvocidib" sheetId="8" r:id="rId14"/>
    <sheet name="SR 121463" sheetId="9" r:id="rId15"/>
    <sheet name="BSI-201" sheetId="19" r:id="rId16"/>
    <sheet name="Zimulti" sheetId="12" r:id="rId17"/>
    <sheet name="Failures" sheetId="1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16" i="1" l="1"/>
  <c r="CK16" i="1"/>
  <c r="CJ16" i="1"/>
  <c r="CI16" i="1"/>
  <c r="CH16" i="1"/>
  <c r="CG16" i="1"/>
  <c r="CL15" i="1"/>
  <c r="CK15" i="1"/>
  <c r="CJ15" i="1"/>
  <c r="CI15" i="1"/>
  <c r="CH15" i="1"/>
  <c r="CG15" i="1"/>
  <c r="CL14" i="1"/>
  <c r="CK14" i="1"/>
  <c r="CJ14" i="1"/>
  <c r="CI14" i="1"/>
  <c r="CH14" i="1"/>
  <c r="CG14" i="1"/>
  <c r="CL13" i="1"/>
  <c r="CK13" i="1"/>
  <c r="CJ13" i="1"/>
  <c r="CI13" i="1"/>
  <c r="CH13" i="1"/>
  <c r="CG13" i="1"/>
  <c r="CL12" i="1"/>
  <c r="CK12" i="1"/>
  <c r="CJ12" i="1"/>
  <c r="CI12" i="1"/>
  <c r="CH12" i="1"/>
  <c r="CG12" i="1"/>
  <c r="CG11" i="1"/>
  <c r="CH11" i="1" s="1"/>
  <c r="CI11" i="1" s="1"/>
  <c r="CJ11" i="1" s="1"/>
  <c r="CK11" i="1" s="1"/>
  <c r="CL11" i="1" s="1"/>
  <c r="CH10" i="1"/>
  <c r="CI10" i="1" s="1"/>
  <c r="CJ10" i="1" s="1"/>
  <c r="CK10" i="1" s="1"/>
  <c r="CL10" i="1" s="1"/>
  <c r="CG10" i="1"/>
  <c r="CL9" i="1"/>
  <c r="CK9" i="1"/>
  <c r="CJ9" i="1"/>
  <c r="CI9" i="1"/>
  <c r="CH9" i="1"/>
  <c r="CG9" i="1"/>
  <c r="CL8" i="1"/>
  <c r="CK8" i="1"/>
  <c r="CJ8" i="1"/>
  <c r="CI8" i="1"/>
  <c r="CH8" i="1"/>
  <c r="CG8" i="1"/>
  <c r="CL6" i="1"/>
  <c r="CK6" i="1"/>
  <c r="CJ6" i="1"/>
  <c r="CI6" i="1"/>
  <c r="CH6" i="1"/>
  <c r="CG6" i="1"/>
  <c r="CL5" i="1"/>
  <c r="CK5" i="1"/>
  <c r="CJ5" i="1"/>
  <c r="CI5" i="1"/>
  <c r="CH5" i="1"/>
  <c r="CG5" i="1"/>
  <c r="CL4" i="1"/>
  <c r="CK4" i="1"/>
  <c r="CJ4" i="1"/>
  <c r="CI4" i="1"/>
  <c r="CH4" i="1"/>
  <c r="CG4" i="1"/>
  <c r="CL7" i="1"/>
  <c r="CK7" i="1"/>
  <c r="CJ7" i="1"/>
  <c r="CI7" i="1"/>
  <c r="CH7" i="1"/>
  <c r="CG7" i="1"/>
  <c r="CL3" i="1"/>
  <c r="CK3" i="1"/>
  <c r="CJ3" i="1"/>
  <c r="CI3" i="1"/>
  <c r="CH3" i="1"/>
  <c r="CG3" i="1"/>
  <c r="BY82" i="1"/>
  <c r="BY80" i="1"/>
  <c r="BY76" i="1"/>
  <c r="BY36" i="1"/>
  <c r="BY7" i="1"/>
  <c r="BY71" i="1"/>
  <c r="BZ82" i="1"/>
  <c r="BZ80" i="1"/>
  <c r="BZ76" i="1"/>
  <c r="BZ36" i="1"/>
  <c r="BZ7" i="1"/>
  <c r="CF69" i="1"/>
  <c r="CA93" i="1"/>
  <c r="CA92" i="1"/>
  <c r="CA82" i="1"/>
  <c r="CA80" i="1"/>
  <c r="CA81" i="1" s="1"/>
  <c r="CA77" i="1"/>
  <c r="CA76" i="1"/>
  <c r="CA69" i="1"/>
  <c r="CA7" i="1"/>
  <c r="CB93" i="1"/>
  <c r="CB92" i="1"/>
  <c r="CB89" i="1"/>
  <c r="CB86" i="1"/>
  <c r="CB88" i="1" s="1"/>
  <c r="CB82" i="1"/>
  <c r="CB83" i="1"/>
  <c r="CB80" i="1"/>
  <c r="CB81" i="1" s="1"/>
  <c r="CB77" i="1"/>
  <c r="CB76" i="1"/>
  <c r="CB7" i="1"/>
  <c r="CB69" i="1"/>
  <c r="CC93" i="1"/>
  <c r="CC92" i="1"/>
  <c r="CC86" i="1"/>
  <c r="CC88" i="1" s="1"/>
  <c r="CC89" i="1" s="1"/>
  <c r="CC82" i="1"/>
  <c r="CC83" i="1" s="1"/>
  <c r="CC80" i="1"/>
  <c r="CC81" i="1" s="1"/>
  <c r="CC77" i="1"/>
  <c r="CC76" i="1"/>
  <c r="CC69" i="1"/>
  <c r="CC7" i="1"/>
  <c r="CD93" i="1"/>
  <c r="CD92" i="1"/>
  <c r="CD82" i="1"/>
  <c r="CD80" i="1"/>
  <c r="CD77" i="1"/>
  <c r="CD81" i="1" s="1"/>
  <c r="CD76" i="1"/>
  <c r="CD7" i="1"/>
  <c r="CD75" i="1"/>
  <c r="CD69" i="1"/>
  <c r="BS98" i="1"/>
  <c r="CD98" i="1"/>
  <c r="CC98" i="1"/>
  <c r="CB98" i="1"/>
  <c r="CA98" i="1"/>
  <c r="BZ98" i="1"/>
  <c r="BY98" i="1"/>
  <c r="BX98" i="1"/>
  <c r="BW98" i="1"/>
  <c r="BV98" i="1"/>
  <c r="BU98" i="1"/>
  <c r="BT98" i="1"/>
  <c r="CF98" i="1"/>
  <c r="CE98" i="1"/>
  <c r="CF97" i="1"/>
  <c r="CE97" i="1"/>
  <c r="CE93" i="1"/>
  <c r="CE92" i="1"/>
  <c r="CE82" i="1"/>
  <c r="CE83" i="1"/>
  <c r="CE86" i="1" s="1"/>
  <c r="CE88" i="1" s="1"/>
  <c r="CE89" i="1" s="1"/>
  <c r="CE81" i="1"/>
  <c r="CE80" i="1"/>
  <c r="CE77" i="1"/>
  <c r="CE76" i="1"/>
  <c r="CE75" i="1"/>
  <c r="CF82" i="1"/>
  <c r="CF80" i="1"/>
  <c r="CF76" i="1"/>
  <c r="CF75" i="1"/>
  <c r="CG75" i="1"/>
  <c r="BZ75" i="1"/>
  <c r="BZ77" i="1" s="1"/>
  <c r="BZ92" i="1" s="1"/>
  <c r="BZ97" i="1"/>
  <c r="BY97" i="1"/>
  <c r="BX97" i="1"/>
  <c r="BS97" i="1"/>
  <c r="BO82" i="1"/>
  <c r="BO80" i="1"/>
  <c r="BO76" i="1"/>
  <c r="BO71" i="1"/>
  <c r="BO7" i="1"/>
  <c r="BO36" i="1"/>
  <c r="BP82" i="1"/>
  <c r="BP76" i="1"/>
  <c r="BP80" i="1"/>
  <c r="BP7" i="1"/>
  <c r="BP71" i="1"/>
  <c r="BP36" i="1"/>
  <c r="BP75" i="1" s="1"/>
  <c r="BT97" i="1"/>
  <c r="BU97" i="1"/>
  <c r="BQ7" i="1"/>
  <c r="BW75" i="1"/>
  <c r="BQ71" i="1"/>
  <c r="BQ36" i="1"/>
  <c r="DF3" i="1"/>
  <c r="DH3" i="1"/>
  <c r="DG3" i="1"/>
  <c r="BV97" i="1"/>
  <c r="BR71" i="1"/>
  <c r="BR75" i="1" s="1"/>
  <c r="BW97" i="1"/>
  <c r="BS71" i="1"/>
  <c r="BS75" i="1" s="1"/>
  <c r="BQ82" i="1"/>
  <c r="BQ76" i="1"/>
  <c r="BQ80" i="1"/>
  <c r="BU82" i="1"/>
  <c r="BU76" i="1"/>
  <c r="BT82" i="1"/>
  <c r="BX82" i="1"/>
  <c r="BX76" i="1"/>
  <c r="CD97" i="1"/>
  <c r="BT76" i="1"/>
  <c r="BX80" i="1"/>
  <c r="CA97" i="1"/>
  <c r="CC97" i="1"/>
  <c r="BT71" i="1"/>
  <c r="BT75" i="1" s="1"/>
  <c r="BU71" i="1"/>
  <c r="BU75" i="1" s="1"/>
  <c r="BX36" i="1"/>
  <c r="BX71" i="1"/>
  <c r="BR82" i="1"/>
  <c r="BR76" i="1"/>
  <c r="BV82" i="1"/>
  <c r="BV80" i="1"/>
  <c r="BU80" i="1"/>
  <c r="BT80" i="1"/>
  <c r="BS80" i="1"/>
  <c r="BR80" i="1"/>
  <c r="BV76" i="1"/>
  <c r="BV63" i="1"/>
  <c r="BS82" i="1"/>
  <c r="BW82" i="1"/>
  <c r="BW80" i="1"/>
  <c r="BW76" i="1"/>
  <c r="BS76" i="1"/>
  <c r="AR63" i="1"/>
  <c r="AR75" i="1" s="1"/>
  <c r="CH75" i="1" l="1"/>
  <c r="CI75" i="1"/>
  <c r="BZ81" i="1"/>
  <c r="BZ83" i="1" s="1"/>
  <c r="CF77" i="1"/>
  <c r="CF81" i="1" s="1"/>
  <c r="CF83" i="1" s="1"/>
  <c r="CA83" i="1"/>
  <c r="CA86" i="1" s="1"/>
  <c r="CA88" i="1" s="1"/>
  <c r="CA89" i="1" s="1"/>
  <c r="CD83" i="1"/>
  <c r="CD86" i="1" s="1"/>
  <c r="CD88" i="1" s="1"/>
  <c r="CD89" i="1" s="1"/>
  <c r="BU77" i="1"/>
  <c r="BU92" i="1" s="1"/>
  <c r="BO75" i="1"/>
  <c r="BT95" i="1"/>
  <c r="BW95" i="1"/>
  <c r="BQ75" i="1"/>
  <c r="BU95" i="1" s="1"/>
  <c r="BX75" i="1"/>
  <c r="BX77" i="1" s="1"/>
  <c r="BX81" i="1" s="1"/>
  <c r="BX83" i="1" s="1"/>
  <c r="BO77" i="1"/>
  <c r="BO92" i="1" s="1"/>
  <c r="BS95" i="1"/>
  <c r="BP77" i="1"/>
  <c r="BP81" i="1" s="1"/>
  <c r="BP83" i="1" s="1"/>
  <c r="BV75" i="1"/>
  <c r="BV77" i="1" s="1"/>
  <c r="DI3" i="1"/>
  <c r="CB75" i="1"/>
  <c r="CF95" i="1" s="1"/>
  <c r="CB97" i="1"/>
  <c r="CC75" i="1"/>
  <c r="BS77" i="1"/>
  <c r="BS92" i="1" s="1"/>
  <c r="CA75" i="1"/>
  <c r="BT77" i="1"/>
  <c r="BT92" i="1" s="1"/>
  <c r="BW77" i="1"/>
  <c r="BY75" i="1"/>
  <c r="BT81" i="1"/>
  <c r="BT83" i="1" s="1"/>
  <c r="BR77" i="1"/>
  <c r="BR92" i="1" s="1"/>
  <c r="AN82" i="1"/>
  <c r="AN75" i="1"/>
  <c r="AN77" i="1" s="1"/>
  <c r="AO63" i="1"/>
  <c r="AO75" i="1" s="1"/>
  <c r="AO82" i="1"/>
  <c r="AO80" i="1"/>
  <c r="AN80" i="1"/>
  <c r="AM80" i="1"/>
  <c r="AM81" i="1" s="1"/>
  <c r="AL80" i="1"/>
  <c r="AL81" i="1" s="1"/>
  <c r="AK80" i="1"/>
  <c r="AK81" i="1" s="1"/>
  <c r="AJ80" i="1"/>
  <c r="AJ81" i="1" s="1"/>
  <c r="AI80" i="1"/>
  <c r="AI81" i="1" s="1"/>
  <c r="BY95" i="1" l="1"/>
  <c r="BY77" i="1"/>
  <c r="CJ75" i="1"/>
  <c r="BZ86" i="1"/>
  <c r="BZ88" i="1" s="1"/>
  <c r="BZ89" i="1" s="1"/>
  <c r="BZ93" i="1"/>
  <c r="CF92" i="1"/>
  <c r="CA95" i="1"/>
  <c r="CE95" i="1"/>
  <c r="CF93" i="1"/>
  <c r="CF86" i="1"/>
  <c r="CF88" i="1" s="1"/>
  <c r="CF89" i="1" s="1"/>
  <c r="BO81" i="1"/>
  <c r="BO83" i="1" s="1"/>
  <c r="BV95" i="1"/>
  <c r="BX95" i="1"/>
  <c r="BU81" i="1"/>
  <c r="BU83" i="1" s="1"/>
  <c r="BU86" i="1" s="1"/>
  <c r="BU88" i="1" s="1"/>
  <c r="BU89" i="1" s="1"/>
  <c r="BP92" i="1"/>
  <c r="BZ95" i="1"/>
  <c r="CB95" i="1"/>
  <c r="BV92" i="1"/>
  <c r="BV81" i="1"/>
  <c r="BV83" i="1" s="1"/>
  <c r="BV86" i="1" s="1"/>
  <c r="BV88" i="1" s="1"/>
  <c r="BV89" i="1" s="1"/>
  <c r="BO86" i="1"/>
  <c r="BO88" i="1" s="1"/>
  <c r="BO89" i="1" s="1"/>
  <c r="BO93" i="1"/>
  <c r="CD95" i="1"/>
  <c r="CC95" i="1"/>
  <c r="BP93" i="1"/>
  <c r="BP86" i="1"/>
  <c r="BP88" i="1" s="1"/>
  <c r="BP89" i="1" s="1"/>
  <c r="BQ77" i="1"/>
  <c r="BQ92" i="1" s="1"/>
  <c r="BS81" i="1"/>
  <c r="BS83" i="1" s="1"/>
  <c r="BS86" i="1" s="1"/>
  <c r="BS88" i="1" s="1"/>
  <c r="BS89" i="1" s="1"/>
  <c r="BR81" i="1"/>
  <c r="BR83" i="1" s="1"/>
  <c r="BR86" i="1" s="1"/>
  <c r="BR88" i="1" s="1"/>
  <c r="BR89" i="1" s="1"/>
  <c r="BX93" i="1"/>
  <c r="BX86" i="1"/>
  <c r="BX88" i="1" s="1"/>
  <c r="BX89" i="1" s="1"/>
  <c r="BX92" i="1"/>
  <c r="BW81" i="1"/>
  <c r="BW83" i="1" s="1"/>
  <c r="BW92" i="1"/>
  <c r="BT86" i="1"/>
  <c r="BT88" i="1" s="1"/>
  <c r="BT89" i="1" s="1"/>
  <c r="BT93" i="1"/>
  <c r="AN81" i="1"/>
  <c r="AN83" i="1" s="1"/>
  <c r="AN86" i="1" s="1"/>
  <c r="AN88" i="1" s="1"/>
  <c r="AN89" i="1" s="1"/>
  <c r="BY92" i="1" l="1"/>
  <c r="BY81" i="1"/>
  <c r="BY83" i="1" s="1"/>
  <c r="CL75" i="1"/>
  <c r="CK75" i="1"/>
  <c r="BV93" i="1"/>
  <c r="BU93" i="1"/>
  <c r="BQ81" i="1"/>
  <c r="BQ83" i="1" s="1"/>
  <c r="BQ93" i="1" s="1"/>
  <c r="BS93" i="1"/>
  <c r="BR93" i="1"/>
  <c r="BW86" i="1"/>
  <c r="BW88" i="1" s="1"/>
  <c r="BW89" i="1" s="1"/>
  <c r="BW93" i="1"/>
  <c r="AO77" i="1"/>
  <c r="AO81" i="1" s="1"/>
  <c r="AO83" i="1" s="1"/>
  <c r="AO86" i="1" s="1"/>
  <c r="AO88" i="1" s="1"/>
  <c r="AO89" i="1" s="1"/>
  <c r="AM75" i="1"/>
  <c r="AL75" i="1"/>
  <c r="AK75" i="1"/>
  <c r="AJ75" i="1"/>
  <c r="AI75" i="1"/>
  <c r="BY86" i="1" l="1"/>
  <c r="BY88" i="1" s="1"/>
  <c r="BY89" i="1" s="1"/>
  <c r="BY93" i="1"/>
  <c r="BQ86" i="1"/>
  <c r="BQ88" i="1" s="1"/>
  <c r="BQ89" i="1" s="1"/>
  <c r="CV19" i="1"/>
  <c r="CV22" i="1" l="1"/>
  <c r="AG42" i="1" l="1"/>
  <c r="AH42" i="1" s="1"/>
  <c r="AG41" i="1"/>
  <c r="AH41" i="1" s="1"/>
  <c r="AG37" i="1"/>
  <c r="AH37" i="1" s="1"/>
  <c r="CV63" i="1" l="1"/>
  <c r="CW63" i="1" s="1"/>
  <c r="CV79" i="1"/>
  <c r="CV78" i="1"/>
  <c r="AF90" i="1"/>
  <c r="AG90" i="1" s="1"/>
  <c r="AH90" i="1" s="1"/>
  <c r="AE85" i="1"/>
  <c r="AF85" i="1" s="1"/>
  <c r="AG85" i="1" s="1"/>
  <c r="AH85" i="1" s="1"/>
  <c r="AE105" i="1"/>
  <c r="AF105" i="1" s="1"/>
  <c r="AE75" i="1"/>
  <c r="AE77" i="1" s="1"/>
  <c r="AE92" i="1" s="1"/>
  <c r="AF73" i="1"/>
  <c r="AG73" i="1" s="1"/>
  <c r="AH73" i="1" s="1"/>
  <c r="AF72" i="1"/>
  <c r="AG72" i="1" s="1"/>
  <c r="AH72" i="1" s="1"/>
  <c r="AH64" i="1"/>
  <c r="AG64" i="1"/>
  <c r="AF64" i="1"/>
  <c r="AF63" i="1"/>
  <c r="AG63" i="1" s="1"/>
  <c r="AH63" i="1" s="1"/>
  <c r="AF62" i="1"/>
  <c r="AG62" i="1" s="1"/>
  <c r="AH62" i="1" s="1"/>
  <c r="AF60" i="1"/>
  <c r="AG60" i="1" s="1"/>
  <c r="AH60" i="1" s="1"/>
  <c r="AG19" i="1"/>
  <c r="AG22" i="1"/>
  <c r="AH22" i="1" s="1"/>
  <c r="AG39" i="1"/>
  <c r="AH39" i="1" s="1"/>
  <c r="AG15" i="1"/>
  <c r="AH15" i="1" s="1"/>
  <c r="AF59" i="1"/>
  <c r="AG59" i="1" s="1"/>
  <c r="AH59" i="1" s="1"/>
  <c r="AG40" i="1"/>
  <c r="AH40" i="1" s="1"/>
  <c r="AG51" i="1"/>
  <c r="AH51" i="1" s="1"/>
  <c r="AG12" i="1"/>
  <c r="AH12" i="1" s="1"/>
  <c r="AG6" i="1"/>
  <c r="AH6" i="1" s="1"/>
  <c r="AH4" i="1"/>
  <c r="AG4" i="1"/>
  <c r="AD99" i="1"/>
  <c r="AD85" i="1"/>
  <c r="AD80" i="1"/>
  <c r="AA76" i="1"/>
  <c r="Z75" i="1"/>
  <c r="Z77" i="1" s="1"/>
  <c r="AE80" i="1"/>
  <c r="AC75" i="1"/>
  <c r="AC77" i="1" s="1"/>
  <c r="AC92" i="1" s="1"/>
  <c r="CV48" i="1"/>
  <c r="CW78" i="1" l="1"/>
  <c r="CW4" i="1"/>
  <c r="AH19" i="1"/>
  <c r="CW19" i="1" s="1"/>
  <c r="CW72" i="1"/>
  <c r="CX72" i="1" s="1"/>
  <c r="CY72" i="1" s="1"/>
  <c r="CZ72" i="1" s="1"/>
  <c r="DA72" i="1" s="1"/>
  <c r="DB72" i="1" s="1"/>
  <c r="DC72" i="1" s="1"/>
  <c r="AF80" i="1"/>
  <c r="AG80" i="1"/>
  <c r="AH80" i="1"/>
  <c r="AF75" i="1"/>
  <c r="AG75" i="1"/>
  <c r="AE81" i="1"/>
  <c r="AE83" i="1" s="1"/>
  <c r="AE93" i="1" s="1"/>
  <c r="AC82" i="1"/>
  <c r="AB105" i="1"/>
  <c r="CU90" i="1"/>
  <c r="CT84" i="1"/>
  <c r="CS90" i="1"/>
  <c r="CT90" i="1"/>
  <c r="AB84" i="1"/>
  <c r="AB82" i="1"/>
  <c r="AB75" i="1"/>
  <c r="AB77" i="1" s="1"/>
  <c r="AB92" i="1" s="1"/>
  <c r="CT49" i="1"/>
  <c r="CR49" i="1"/>
  <c r="DC19" i="1"/>
  <c r="AA6" i="1"/>
  <c r="AA4" i="1"/>
  <c r="AA60" i="1"/>
  <c r="AA62" i="1"/>
  <c r="AA41" i="1"/>
  <c r="CV41" i="1" s="1"/>
  <c r="AD98" i="1"/>
  <c r="CV90" i="1"/>
  <c r="AB80" i="1"/>
  <c r="AC80" i="1"/>
  <c r="AC99" i="1"/>
  <c r="V99" i="1"/>
  <c r="W99" i="1"/>
  <c r="Y99" i="1"/>
  <c r="Z99" i="1"/>
  <c r="CV43" i="1"/>
  <c r="CV59" i="1"/>
  <c r="V75" i="1"/>
  <c r="U75" i="1"/>
  <c r="T75" i="1"/>
  <c r="R75" i="1"/>
  <c r="Q75" i="1"/>
  <c r="P75" i="1"/>
  <c r="N75" i="1"/>
  <c r="M75" i="1"/>
  <c r="L75" i="1"/>
  <c r="K75" i="1"/>
  <c r="CU60" i="1"/>
  <c r="CU22" i="1"/>
  <c r="CU42" i="1"/>
  <c r="AA84" i="1"/>
  <c r="AA82" i="1"/>
  <c r="AA80" i="1"/>
  <c r="Z85" i="1"/>
  <c r="Z98" i="1"/>
  <c r="CV12" i="1"/>
  <c r="Y4" i="1"/>
  <c r="Y98" i="1" s="1"/>
  <c r="CS63" i="1"/>
  <c r="CR63" i="1"/>
  <c r="CS64" i="1"/>
  <c r="CT64" i="1"/>
  <c r="Y85" i="1"/>
  <c r="Y82" i="1"/>
  <c r="X73" i="1"/>
  <c r="CU73" i="1" s="1"/>
  <c r="Y80" i="1"/>
  <c r="Z80" i="1"/>
  <c r="W98" i="1"/>
  <c r="V98" i="1"/>
  <c r="U98" i="1"/>
  <c r="T98" i="1"/>
  <c r="R98" i="1"/>
  <c r="Q98" i="1"/>
  <c r="P98" i="1"/>
  <c r="W62" i="1"/>
  <c r="CU62" i="1" s="1"/>
  <c r="X64" i="1"/>
  <c r="CU64" i="1" s="1"/>
  <c r="X76" i="1"/>
  <c r="S63" i="1"/>
  <c r="CT63" i="1" s="1"/>
  <c r="CT6" i="1"/>
  <c r="X87" i="1"/>
  <c r="X84" i="1"/>
  <c r="CU84" i="1" s="1"/>
  <c r="X79" i="1"/>
  <c r="CU79" i="1" s="1"/>
  <c r="X78" i="1"/>
  <c r="CU78" i="1" s="1"/>
  <c r="CT42" i="1"/>
  <c r="CR42" i="1"/>
  <c r="CT47" i="1"/>
  <c r="CT44" i="1"/>
  <c r="CR44" i="1"/>
  <c r="CT37" i="1"/>
  <c r="CT43" i="1"/>
  <c r="X46" i="1"/>
  <c r="CU46" i="1" s="1"/>
  <c r="X49" i="1"/>
  <c r="CU49" i="1" s="1"/>
  <c r="X47" i="1"/>
  <c r="CU47" i="1" s="1"/>
  <c r="X44" i="1"/>
  <c r="CU44" i="1" s="1"/>
  <c r="X37" i="1"/>
  <c r="CU37" i="1" s="1"/>
  <c r="X43" i="1"/>
  <c r="CU43" i="1" s="1"/>
  <c r="X39" i="1"/>
  <c r="CU39" i="1" s="1"/>
  <c r="X15" i="1"/>
  <c r="X41" i="1"/>
  <c r="CU41" i="1" s="1"/>
  <c r="X59" i="1"/>
  <c r="CU59" i="1" s="1"/>
  <c r="X40" i="1"/>
  <c r="CU40" i="1" s="1"/>
  <c r="X51" i="1"/>
  <c r="X4" i="1"/>
  <c r="X12" i="1"/>
  <c r="CU12" i="1" s="1"/>
  <c r="X6" i="1"/>
  <c r="X99" i="1" s="1"/>
  <c r="CT85" i="1"/>
  <c r="CT87" i="1"/>
  <c r="CU87" i="1" s="1"/>
  <c r="AH75" i="1" l="1"/>
  <c r="AH77" i="1" s="1"/>
  <c r="AH76" i="1" s="1"/>
  <c r="AG77" i="1"/>
  <c r="AG81" i="1" s="1"/>
  <c r="AG83" i="1" s="1"/>
  <c r="AG84" i="1" s="1"/>
  <c r="AG86" i="1" s="1"/>
  <c r="AG88" i="1" s="1"/>
  <c r="AA98" i="1"/>
  <c r="AA75" i="1"/>
  <c r="AE95" i="1" s="1"/>
  <c r="CV4" i="1"/>
  <c r="AE98" i="1"/>
  <c r="AF77" i="1"/>
  <c r="AF76" i="1" s="1"/>
  <c r="CV6" i="1"/>
  <c r="CW6" i="1" s="1"/>
  <c r="AE99" i="1"/>
  <c r="CW79" i="1"/>
  <c r="CW80" i="1" s="1"/>
  <c r="AE86" i="1"/>
  <c r="AE88" i="1" s="1"/>
  <c r="AE89" i="1" s="1"/>
  <c r="CU4" i="1"/>
  <c r="CV82" i="1"/>
  <c r="Y75" i="1"/>
  <c r="AC95" i="1" s="1"/>
  <c r="CU80" i="1"/>
  <c r="AB99" i="1"/>
  <c r="AC98" i="1"/>
  <c r="CV15" i="1"/>
  <c r="CV37" i="1"/>
  <c r="CW37" i="1" s="1"/>
  <c r="CX37" i="1" s="1"/>
  <c r="CY37" i="1" s="1"/>
  <c r="CZ37" i="1" s="1"/>
  <c r="DA37" i="1" s="1"/>
  <c r="DB37" i="1" s="1"/>
  <c r="DC37" i="1" s="1"/>
  <c r="S75" i="1"/>
  <c r="AB98" i="1"/>
  <c r="CV42" i="1"/>
  <c r="CW42" i="1" s="1"/>
  <c r="CX42" i="1" s="1"/>
  <c r="CY42" i="1" s="1"/>
  <c r="CZ42" i="1" s="1"/>
  <c r="DA42" i="1" s="1"/>
  <c r="DB42" i="1" s="1"/>
  <c r="DC42" i="1" s="1"/>
  <c r="CV44" i="1"/>
  <c r="CW44" i="1" s="1"/>
  <c r="CX44" i="1" s="1"/>
  <c r="CY44" i="1" s="1"/>
  <c r="CZ44" i="1" s="1"/>
  <c r="DA44" i="1" s="1"/>
  <c r="DB44" i="1" s="1"/>
  <c r="DC44" i="1" s="1"/>
  <c r="CV49" i="1"/>
  <c r="CW49" i="1" s="1"/>
  <c r="CX49" i="1" s="1"/>
  <c r="CY49" i="1" s="1"/>
  <c r="CZ49" i="1" s="1"/>
  <c r="DA49" i="1" s="1"/>
  <c r="DB49" i="1" s="1"/>
  <c r="DC49" i="1" s="1"/>
  <c r="AA99" i="1"/>
  <c r="CV39" i="1"/>
  <c r="CV47" i="1"/>
  <c r="CW47" i="1" s="1"/>
  <c r="CX47" i="1" s="1"/>
  <c r="CY47" i="1" s="1"/>
  <c r="CZ47" i="1" s="1"/>
  <c r="DA47" i="1" s="1"/>
  <c r="DB47" i="1" s="1"/>
  <c r="DC47" i="1" s="1"/>
  <c r="CV46" i="1"/>
  <c r="CV64" i="1"/>
  <c r="CW64" i="1" s="1"/>
  <c r="CX64" i="1" s="1"/>
  <c r="CY64" i="1" s="1"/>
  <c r="CZ64" i="1" s="1"/>
  <c r="DA64" i="1" s="1"/>
  <c r="DB64" i="1" s="1"/>
  <c r="DC64" i="1" s="1"/>
  <c r="CV51" i="1"/>
  <c r="CV62" i="1"/>
  <c r="CU51" i="1"/>
  <c r="CU15" i="1"/>
  <c r="CU6" i="1"/>
  <c r="W63" i="1"/>
  <c r="W75" i="1" s="1"/>
  <c r="X98" i="1"/>
  <c r="CW43" i="1"/>
  <c r="CX43" i="1" s="1"/>
  <c r="CY43" i="1" s="1"/>
  <c r="CZ43" i="1" s="1"/>
  <c r="DA43" i="1" s="1"/>
  <c r="DB43" i="1" s="1"/>
  <c r="DC43" i="1" s="1"/>
  <c r="X80" i="1"/>
  <c r="V82" i="1"/>
  <c r="U77" i="1"/>
  <c r="U92" i="1" s="1"/>
  <c r="V77" i="1"/>
  <c r="V92" i="1" s="1"/>
  <c r="CT4" i="1"/>
  <c r="W85" i="1"/>
  <c r="W82" i="1"/>
  <c r="W80" i="1"/>
  <c r="CT59" i="1"/>
  <c r="CW59" i="1" s="1"/>
  <c r="CX59" i="1" s="1"/>
  <c r="CY59" i="1" s="1"/>
  <c r="CZ59" i="1" s="1"/>
  <c r="DA59" i="1" s="1"/>
  <c r="DB59" i="1" s="1"/>
  <c r="DC59" i="1" s="1"/>
  <c r="CT15" i="1"/>
  <c r="CT51" i="1"/>
  <c r="CT12" i="1"/>
  <c r="U82" i="1"/>
  <c r="U80" i="1"/>
  <c r="CT40" i="1"/>
  <c r="CT46" i="1"/>
  <c r="CT41" i="1"/>
  <c r="O59" i="1"/>
  <c r="CS59" i="1" s="1"/>
  <c r="CS78" i="1"/>
  <c r="CT79" i="1"/>
  <c r="CT78" i="1"/>
  <c r="V80" i="1"/>
  <c r="O41" i="1"/>
  <c r="CS41" i="1" s="1"/>
  <c r="O15" i="1"/>
  <c r="CS15" i="1" s="1"/>
  <c r="O42" i="1"/>
  <c r="CS42" i="1" s="1"/>
  <c r="O43" i="1"/>
  <c r="CS43" i="1" s="1"/>
  <c r="O37" i="1"/>
  <c r="CS37" i="1" s="1"/>
  <c r="O44" i="1"/>
  <c r="CS44" i="1" s="1"/>
  <c r="O47" i="1"/>
  <c r="CS47" i="1" s="1"/>
  <c r="O49" i="1"/>
  <c r="CS49" i="1" s="1"/>
  <c r="O46" i="1"/>
  <c r="CS46" i="1" s="1"/>
  <c r="CR64" i="1"/>
  <c r="CS79" i="1"/>
  <c r="CS85" i="1"/>
  <c r="CS86" i="1" s="1"/>
  <c r="CZ22" i="1"/>
  <c r="DA22" i="1" s="1"/>
  <c r="DB22" i="1" s="1"/>
  <c r="DC22" i="1" s="1"/>
  <c r="CV2" i="1"/>
  <c r="CW2" i="1" s="1"/>
  <c r="CX2" i="1" s="1"/>
  <c r="CY2" i="1" s="1"/>
  <c r="CZ2" i="1" s="1"/>
  <c r="T77" i="1"/>
  <c r="T80" i="1"/>
  <c r="T82" i="1"/>
  <c r="K4" i="2"/>
  <c r="R77" i="1"/>
  <c r="R80" i="1"/>
  <c r="R82" i="1"/>
  <c r="S80" i="1"/>
  <c r="S82" i="1"/>
  <c r="O6" i="1"/>
  <c r="O12" i="1"/>
  <c r="CS12" i="1" s="1"/>
  <c r="O4" i="1"/>
  <c r="O51" i="1"/>
  <c r="CS51" i="1" s="1"/>
  <c r="O40" i="1"/>
  <c r="CS40" i="1" s="1"/>
  <c r="O80" i="1"/>
  <c r="O82" i="1"/>
  <c r="P77" i="1"/>
  <c r="P92" i="1" s="1"/>
  <c r="P80" i="1"/>
  <c r="P82" i="1"/>
  <c r="Q77" i="1"/>
  <c r="Q80" i="1"/>
  <c r="Q82" i="1"/>
  <c r="CW90" i="1"/>
  <c r="CX90" i="1" s="1"/>
  <c r="CY90" i="1" s="1"/>
  <c r="CZ90" i="1" s="1"/>
  <c r="DA90" i="1" s="1"/>
  <c r="DB90" i="1" s="1"/>
  <c r="DC90" i="1" s="1"/>
  <c r="N82" i="1"/>
  <c r="N77" i="1"/>
  <c r="N80" i="1"/>
  <c r="M82" i="1"/>
  <c r="M77" i="1"/>
  <c r="M80" i="1"/>
  <c r="C74" i="1"/>
  <c r="G74" i="1"/>
  <c r="CR6" i="1"/>
  <c r="CR12" i="1"/>
  <c r="CR4" i="1"/>
  <c r="CR51" i="1"/>
  <c r="CR40" i="1"/>
  <c r="CR59" i="1"/>
  <c r="CR41" i="1"/>
  <c r="CR15" i="1"/>
  <c r="CR43" i="1"/>
  <c r="CR37" i="1"/>
  <c r="CR47" i="1"/>
  <c r="CR46" i="1"/>
  <c r="P95" i="1"/>
  <c r="C73" i="1"/>
  <c r="C76" i="1"/>
  <c r="C78" i="1"/>
  <c r="C79" i="1"/>
  <c r="D80" i="1"/>
  <c r="C80" i="1" s="1"/>
  <c r="D82" i="1"/>
  <c r="C82" i="1" s="1"/>
  <c r="C84" i="1"/>
  <c r="C85" i="1"/>
  <c r="C87" i="1"/>
  <c r="G73" i="1"/>
  <c r="G76" i="1"/>
  <c r="G78" i="1"/>
  <c r="G79" i="1"/>
  <c r="H80" i="1"/>
  <c r="G80" i="1" s="1"/>
  <c r="G82" i="1"/>
  <c r="G84" i="1"/>
  <c r="G85" i="1"/>
  <c r="H75" i="1"/>
  <c r="H77" i="1" s="1"/>
  <c r="D75" i="1"/>
  <c r="D77" i="1" s="1"/>
  <c r="H82" i="1"/>
  <c r="CX79" i="1" l="1"/>
  <c r="CY79" i="1" s="1"/>
  <c r="CZ79" i="1" s="1"/>
  <c r="DA79" i="1" s="1"/>
  <c r="DB79" i="1" s="1"/>
  <c r="H81" i="1"/>
  <c r="AH81" i="1"/>
  <c r="AH83" i="1" s="1"/>
  <c r="AH84" i="1" s="1"/>
  <c r="AH86" i="1" s="1"/>
  <c r="AH88" i="1" s="1"/>
  <c r="AH89" i="1" s="1"/>
  <c r="AA77" i="1"/>
  <c r="AA92" i="1" s="1"/>
  <c r="AG76" i="1"/>
  <c r="AF81" i="1"/>
  <c r="AF83" i="1" s="1"/>
  <c r="AF84" i="1" s="1"/>
  <c r="AF86" i="1" s="1"/>
  <c r="AF88" i="1" s="1"/>
  <c r="AF89" i="1" s="1"/>
  <c r="AG89" i="1"/>
  <c r="AG105" i="1"/>
  <c r="CX6" i="1"/>
  <c r="CY6" i="1" s="1"/>
  <c r="CZ6" i="1" s="1"/>
  <c r="DA6" i="1" s="1"/>
  <c r="DB6" i="1" s="1"/>
  <c r="DC6" i="1" s="1"/>
  <c r="CW46" i="1"/>
  <c r="CX46" i="1" s="1"/>
  <c r="CY46" i="1" s="1"/>
  <c r="CW15" i="1"/>
  <c r="CX15" i="1" s="1"/>
  <c r="CY15" i="1" s="1"/>
  <c r="CZ15" i="1" s="1"/>
  <c r="DA15" i="1" s="1"/>
  <c r="DB15" i="1" s="1"/>
  <c r="DC15" i="1" s="1"/>
  <c r="CR75" i="1"/>
  <c r="AA95" i="1"/>
  <c r="CV80" i="1"/>
  <c r="CX4" i="1"/>
  <c r="CY4" i="1" s="1"/>
  <c r="CZ4" i="1" s="1"/>
  <c r="DA4" i="1" s="1"/>
  <c r="DB4" i="1" s="1"/>
  <c r="DC4" i="1" s="1"/>
  <c r="CT75" i="1"/>
  <c r="CW51" i="1"/>
  <c r="CX51" i="1" s="1"/>
  <c r="CY51" i="1" s="1"/>
  <c r="CZ51" i="1" s="1"/>
  <c r="DA51" i="1" s="1"/>
  <c r="DB51" i="1" s="1"/>
  <c r="DC51" i="1" s="1"/>
  <c r="CV60" i="1"/>
  <c r="CW60" i="1" s="1"/>
  <c r="CX60" i="1" s="1"/>
  <c r="CY60" i="1" s="1"/>
  <c r="CZ60" i="1" s="1"/>
  <c r="DA60" i="1" s="1"/>
  <c r="DB60" i="1" s="1"/>
  <c r="DC60" i="1" s="1"/>
  <c r="D81" i="1"/>
  <c r="D83" i="1" s="1"/>
  <c r="D86" i="1" s="1"/>
  <c r="D88" i="1" s="1"/>
  <c r="D89" i="1" s="1"/>
  <c r="O75" i="1"/>
  <c r="S95" i="1" s="1"/>
  <c r="CW41" i="1"/>
  <c r="CX41" i="1" s="1"/>
  <c r="CY41" i="1" s="1"/>
  <c r="CZ41" i="1" s="1"/>
  <c r="DA41" i="1" s="1"/>
  <c r="DB41" i="1" s="1"/>
  <c r="DC41" i="1" s="1"/>
  <c r="AD75" i="1"/>
  <c r="CW62" i="1"/>
  <c r="CX62" i="1" s="1"/>
  <c r="CY62" i="1" s="1"/>
  <c r="CZ62" i="1" s="1"/>
  <c r="DA62" i="1" s="1"/>
  <c r="DB62" i="1" s="1"/>
  <c r="DC62" i="1" s="1"/>
  <c r="AA81" i="1"/>
  <c r="AA83" i="1" s="1"/>
  <c r="AA86" i="1" s="1"/>
  <c r="AA88" i="1" s="1"/>
  <c r="AA89" i="1" s="1"/>
  <c r="X82" i="1"/>
  <c r="CU82" i="1" s="1"/>
  <c r="X85" i="1"/>
  <c r="CU85" i="1" s="1"/>
  <c r="X63" i="1"/>
  <c r="T95" i="1"/>
  <c r="CS4" i="1"/>
  <c r="S98" i="1"/>
  <c r="O98" i="1"/>
  <c r="Y95" i="1"/>
  <c r="Y77" i="1"/>
  <c r="Z95" i="1"/>
  <c r="CW39" i="1"/>
  <c r="CX39" i="1" s="1"/>
  <c r="CY39" i="1" s="1"/>
  <c r="CZ39" i="1" s="1"/>
  <c r="DA39" i="1" s="1"/>
  <c r="DB39" i="1" s="1"/>
  <c r="DC39" i="1" s="1"/>
  <c r="C75" i="1"/>
  <c r="C77" i="1" s="1"/>
  <c r="C81" i="1" s="1"/>
  <c r="C83" i="1" s="1"/>
  <c r="C86" i="1" s="1"/>
  <c r="C88" i="1" s="1"/>
  <c r="C89" i="1" s="1"/>
  <c r="Q95" i="1"/>
  <c r="G75" i="1"/>
  <c r="G77" i="1" s="1"/>
  <c r="G81" i="1" s="1"/>
  <c r="G83" i="1" s="1"/>
  <c r="G86" i="1" s="1"/>
  <c r="G88" i="1" s="1"/>
  <c r="G89" i="1" s="1"/>
  <c r="M92" i="1"/>
  <c r="M81" i="1"/>
  <c r="M83" i="1" s="1"/>
  <c r="W95" i="1"/>
  <c r="H83" i="1"/>
  <c r="H86" i="1" s="1"/>
  <c r="H88" i="1" s="1"/>
  <c r="H89" i="1" s="1"/>
  <c r="N81" i="1"/>
  <c r="N83" i="1" s="1"/>
  <c r="N92" i="1"/>
  <c r="R92" i="1"/>
  <c r="R81" i="1"/>
  <c r="R83" i="1" s="1"/>
  <c r="R86" i="1" s="1"/>
  <c r="R88" i="1" s="1"/>
  <c r="Q92" i="1"/>
  <c r="Q81" i="1"/>
  <c r="Q83" i="1" s="1"/>
  <c r="Q93" i="1" s="1"/>
  <c r="U95" i="1"/>
  <c r="R95" i="1"/>
  <c r="DA2" i="1"/>
  <c r="CS6" i="1"/>
  <c r="S77" i="1"/>
  <c r="CT77" i="1" s="1"/>
  <c r="CT80" i="1"/>
  <c r="T81" i="1"/>
  <c r="T83" i="1" s="1"/>
  <c r="T86" i="1" s="1"/>
  <c r="T92" i="1"/>
  <c r="P81" i="1"/>
  <c r="P83" i="1" s="1"/>
  <c r="K7" i="2"/>
  <c r="U81" i="1"/>
  <c r="U83" i="1" s="1"/>
  <c r="U86" i="1" s="1"/>
  <c r="DA80" i="1" l="1"/>
  <c r="AH105" i="1"/>
  <c r="CV105" i="1" s="1"/>
  <c r="CW82" i="1" s="1"/>
  <c r="AD77" i="1"/>
  <c r="AD95" i="1"/>
  <c r="CS75" i="1"/>
  <c r="CS92" i="1" s="1"/>
  <c r="CU63" i="1"/>
  <c r="CU75" i="1" s="1"/>
  <c r="X75" i="1"/>
  <c r="AB95" i="1" s="1"/>
  <c r="CV40" i="1"/>
  <c r="CV75" i="1" s="1"/>
  <c r="DB80" i="1"/>
  <c r="DC79" i="1"/>
  <c r="DC80" i="1" s="1"/>
  <c r="AA93" i="1"/>
  <c r="AB81" i="1"/>
  <c r="AB83" i="1" s="1"/>
  <c r="AC81" i="1"/>
  <c r="AC83" i="1" s="1"/>
  <c r="Q86" i="1"/>
  <c r="Q88" i="1" s="1"/>
  <c r="Q89" i="1" s="1"/>
  <c r="CX63" i="1"/>
  <c r="R93" i="1"/>
  <c r="CW12" i="1"/>
  <c r="U88" i="1"/>
  <c r="U89" i="1" s="1"/>
  <c r="U93" i="1"/>
  <c r="W77" i="1"/>
  <c r="P93" i="1"/>
  <c r="P86" i="1"/>
  <c r="P88" i="1" s="1"/>
  <c r="P89" i="1" s="1"/>
  <c r="V81" i="1"/>
  <c r="V83" i="1" s="1"/>
  <c r="V95" i="1"/>
  <c r="R89" i="1"/>
  <c r="R102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3" i="1"/>
  <c r="N86" i="1"/>
  <c r="N88" i="1" s="1"/>
  <c r="N89" i="1" s="1"/>
  <c r="T88" i="1"/>
  <c r="T89" i="1" s="1"/>
  <c r="T93" i="1"/>
  <c r="S81" i="1"/>
  <c r="S83" i="1" s="1"/>
  <c r="S92" i="1"/>
  <c r="M93" i="1"/>
  <c r="M86" i="1"/>
  <c r="M88" i="1" s="1"/>
  <c r="M89" i="1" s="1"/>
  <c r="O77" i="1"/>
  <c r="O95" i="1"/>
  <c r="CS95" i="1" l="1"/>
  <c r="CT95" i="1"/>
  <c r="AD81" i="1"/>
  <c r="AD83" i="1" s="1"/>
  <c r="AD92" i="1"/>
  <c r="CY63" i="1"/>
  <c r="X77" i="1"/>
  <c r="X92" i="1" s="1"/>
  <c r="Q100" i="1"/>
  <c r="U100" i="1"/>
  <c r="CV77" i="1"/>
  <c r="CV81" i="1" s="1"/>
  <c r="CV83" i="1" s="1"/>
  <c r="CW40" i="1"/>
  <c r="CX40" i="1" s="1"/>
  <c r="CY40" i="1" s="1"/>
  <c r="CZ40" i="1" s="1"/>
  <c r="DA40" i="1" s="1"/>
  <c r="DB40" i="1" s="1"/>
  <c r="DC40" i="1" s="1"/>
  <c r="AC86" i="1"/>
  <c r="AC88" i="1" s="1"/>
  <c r="AC89" i="1" s="1"/>
  <c r="AC93" i="1"/>
  <c r="AB86" i="1"/>
  <c r="AB88" i="1" s="1"/>
  <c r="AB89" i="1" s="1"/>
  <c r="AB93" i="1"/>
  <c r="X95" i="1"/>
  <c r="T100" i="1"/>
  <c r="V93" i="1"/>
  <c r="V86" i="1"/>
  <c r="V88" i="1" s="1"/>
  <c r="CX12" i="1"/>
  <c r="CU95" i="1"/>
  <c r="W81" i="1"/>
  <c r="W83" i="1" s="1"/>
  <c r="W86" i="1" s="1"/>
  <c r="W92" i="1"/>
  <c r="O81" i="1"/>
  <c r="O83" i="1" s="1"/>
  <c r="O92" i="1"/>
  <c r="CV95" i="1"/>
  <c r="S86" i="1"/>
  <c r="S88" i="1" s="1"/>
  <c r="S89" i="1" s="1"/>
  <c r="S93" i="1"/>
  <c r="R100" i="1"/>
  <c r="X81" i="1" l="1"/>
  <c r="X83" i="1" s="1"/>
  <c r="X86" i="1" s="1"/>
  <c r="X88" i="1" s="1"/>
  <c r="X89" i="1" s="1"/>
  <c r="CX75" i="1"/>
  <c r="AD93" i="1"/>
  <c r="AD86" i="1"/>
  <c r="AD88" i="1" s="1"/>
  <c r="CW75" i="1"/>
  <c r="CZ63" i="1"/>
  <c r="CV76" i="1"/>
  <c r="CV84" i="1"/>
  <c r="CV86" i="1" s="1"/>
  <c r="CV88" i="1" s="1"/>
  <c r="CY12" i="1"/>
  <c r="CY75" i="1" s="1"/>
  <c r="W88" i="1"/>
  <c r="W89" i="1" s="1"/>
  <c r="W93" i="1"/>
  <c r="V102" i="1"/>
  <c r="V89" i="1"/>
  <c r="V100" i="1" s="1"/>
  <c r="O86" i="1"/>
  <c r="O88" i="1" s="1"/>
  <c r="O89" i="1" s="1"/>
  <c r="CS89" i="1" s="1"/>
  <c r="O93" i="1"/>
  <c r="X93" i="1" l="1"/>
  <c r="CW77" i="1"/>
  <c r="CW81" i="1" s="1"/>
  <c r="CW83" i="1" s="1"/>
  <c r="DA63" i="1"/>
  <c r="CW95" i="1"/>
  <c r="CV89" i="1"/>
  <c r="W100" i="1"/>
  <c r="AA100" i="1"/>
  <c r="X100" i="1"/>
  <c r="AB100" i="1"/>
  <c r="CZ12" i="1"/>
  <c r="CZ75" i="1" s="1"/>
  <c r="S100" i="1"/>
  <c r="CX80" i="1"/>
  <c r="CX77" i="1"/>
  <c r="CX76" i="1" s="1"/>
  <c r="CX95" i="1"/>
  <c r="CW76" i="1" l="1"/>
  <c r="CW84" i="1"/>
  <c r="CW86" i="1" s="1"/>
  <c r="CW88" i="1" s="1"/>
  <c r="DB63" i="1"/>
  <c r="DA12" i="1"/>
  <c r="DA75" i="1" s="1"/>
  <c r="CZ80" i="1"/>
  <c r="CY80" i="1"/>
  <c r="CY95" i="1"/>
  <c r="CY77" i="1"/>
  <c r="CX81" i="1"/>
  <c r="DC63" i="1" l="1"/>
  <c r="DB12" i="1"/>
  <c r="DC12" i="1" s="1"/>
  <c r="CY81" i="1"/>
  <c r="CZ77" i="1"/>
  <c r="CZ81" i="1" s="1"/>
  <c r="CZ95" i="1"/>
  <c r="CY76" i="1"/>
  <c r="DB75" i="1" l="1"/>
  <c r="DB77" i="1" s="1"/>
  <c r="DB81" i="1" s="1"/>
  <c r="DC75" i="1"/>
  <c r="CZ76" i="1"/>
  <c r="DA95" i="1"/>
  <c r="DA77" i="1"/>
  <c r="DA81" i="1" s="1"/>
  <c r="DC77" i="1" l="1"/>
  <c r="DC95" i="1"/>
  <c r="DB95" i="1"/>
  <c r="DA76" i="1"/>
  <c r="DB76" i="1"/>
  <c r="DC76" i="1" l="1"/>
  <c r="DC81" i="1"/>
  <c r="Y81" i="1"/>
  <c r="Y83" i="1" s="1"/>
  <c r="Y93" i="1" s="1"/>
  <c r="Y92" i="1"/>
  <c r="Y86" i="1" l="1"/>
  <c r="Y88" i="1" s="1"/>
  <c r="Y89" i="1" s="1"/>
  <c r="AC100" i="1" s="1"/>
  <c r="CT76" i="1"/>
  <c r="CT92" i="1"/>
  <c r="CT81" i="1"/>
  <c r="CT83" i="1" s="1"/>
  <c r="CT93" i="1" s="1"/>
  <c r="Y100" i="1" l="1"/>
  <c r="CT86" i="1"/>
  <c r="CT88" i="1" s="1"/>
  <c r="CT103" i="1" l="1"/>
  <c r="CT89" i="1"/>
  <c r="CT100" i="1" l="1"/>
  <c r="CU77" i="1" l="1"/>
  <c r="CU81" i="1" s="1"/>
  <c r="CU83" i="1" s="1"/>
  <c r="CU86" i="1" l="1"/>
  <c r="CU88" i="1" s="1"/>
  <c r="CU89" i="1" s="1"/>
  <c r="CU93" i="1"/>
  <c r="CU92" i="1"/>
  <c r="CU76" i="1"/>
  <c r="Z81" i="1"/>
  <c r="Z83" i="1" s="1"/>
  <c r="Z93" i="1" s="1"/>
  <c r="Z92" i="1"/>
  <c r="Z86" i="1" l="1"/>
  <c r="Z88" i="1" s="1"/>
  <c r="Z89" i="1" s="1"/>
  <c r="Z100" i="1" s="1"/>
  <c r="CU100" i="1" l="1"/>
  <c r="CU103" i="1"/>
  <c r="CV100" i="1" l="1"/>
  <c r="CV103" i="1"/>
  <c r="CW89" i="1" l="1"/>
  <c r="CW100" i="1" s="1"/>
  <c r="CW103" i="1"/>
  <c r="CW105" i="1" s="1"/>
  <c r="CX82" i="1" s="1"/>
  <c r="CX83" i="1" s="1"/>
  <c r="CX84" i="1" l="1"/>
  <c r="CX86" i="1" s="1"/>
  <c r="CX88" i="1" s="1"/>
  <c r="CX103" i="1" s="1"/>
  <c r="CX105" i="1" s="1"/>
  <c r="CY82" i="1" s="1"/>
  <c r="CY83" i="1" s="1"/>
  <c r="CY84" i="1" l="1"/>
  <c r="CY86" i="1" s="1"/>
  <c r="CY88" i="1" s="1"/>
  <c r="CY89" i="1" s="1"/>
  <c r="CX89" i="1"/>
  <c r="CX100" i="1" s="1"/>
  <c r="CY100" i="1" l="1"/>
  <c r="CY103" i="1"/>
  <c r="CY105" i="1" s="1"/>
  <c r="CZ82" i="1" s="1"/>
  <c r="CZ83" i="1" s="1"/>
  <c r="CZ84" i="1" l="1"/>
  <c r="CZ86" i="1" s="1"/>
  <c r="CZ88" i="1" s="1"/>
  <c r="CZ89" i="1" l="1"/>
  <c r="CZ100" i="1" s="1"/>
  <c r="CZ103" i="1"/>
  <c r="CZ105" i="1" s="1"/>
  <c r="DA82" i="1" s="1"/>
  <c r="DA83" i="1" s="1"/>
  <c r="DA84" i="1" l="1"/>
  <c r="DA86" i="1" s="1"/>
  <c r="DA88" i="1" s="1"/>
  <c r="DA89" i="1" l="1"/>
  <c r="DA100" i="1" s="1"/>
  <c r="DA103" i="1"/>
  <c r="DA105" i="1" s="1"/>
  <c r="DB82" i="1" s="1"/>
  <c r="DB83" i="1" s="1"/>
  <c r="DB84" i="1" l="1"/>
  <c r="DB86" i="1" s="1"/>
  <c r="DB88" i="1" s="1"/>
  <c r="DB89" i="1" l="1"/>
  <c r="DB100" i="1" s="1"/>
  <c r="DB103" i="1"/>
  <c r="DB105" i="1" s="1"/>
  <c r="DC82" i="1" l="1"/>
  <c r="DC83" i="1" s="1"/>
  <c r="DC105" i="1"/>
  <c r="DC84" i="1" l="1"/>
  <c r="DC86" i="1" s="1"/>
  <c r="DC88" i="1" s="1"/>
  <c r="DC89" i="1" l="1"/>
  <c r="DC100" i="1" s="1"/>
  <c r="DD88" i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DF94" i="1" l="1"/>
  <c r="DF95" i="1" s="1"/>
  <c r="DF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RBC</author>
    <author>Martin Shkreli</author>
    <author xml:space="preserve"> </author>
    <author>MSMB - Andre</author>
    <author>tc={F7588713-7B33-4A55-9D7A-5A4110D76910}</author>
  </authors>
  <commentList>
    <comment ref="Y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2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3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3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S12" authorId="3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4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3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4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1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4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Y40" authorId="3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0" authorId="5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1" authorId="3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1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2" authorId="4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2" authorId="4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2" authorId="4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7" authorId="4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1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1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1" authorId="4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59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AA62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3" authorId="4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3" authorId="3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5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5" authorId="6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S85" authorId="3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T89" authorId="3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89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AE96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8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8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8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0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<sst xmlns="http://schemas.openxmlformats.org/spreadsheetml/2006/main" count="826" uniqueCount="594">
  <si>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</si>
  <si>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</si>
  <si>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</si>
  <si>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</si>
  <si>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</si>
  <si>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</si>
  <si>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</si>
  <si>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</si>
  <si>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</si>
  <si>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</si>
  <si>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</si>
  <si>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</si>
  <si>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</si>
  <si>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</si>
  <si>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</si>
  <si>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</si>
  <si>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</si>
  <si>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</si>
  <si>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</si>
  <si>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</si>
  <si>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</si>
  <si>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</si>
  <si>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</si>
  <si>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</si>
  <si>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</si>
  <si>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</si>
  <si>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</si>
  <si>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</si>
  <si>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</si>
  <si>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</si>
  <si>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</si>
  <si>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</si>
  <si>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</si>
  <si>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</si>
  <si>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</si>
  <si>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</si>
  <si>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</si>
  <si>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</si>
  <si>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</si>
  <si>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</si>
  <si>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</si>
  <si>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</si>
  <si>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</si>
  <si>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</si>
  <si>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</si>
  <si>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</si>
  <si>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</si>
  <si>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</si>
  <si>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</si>
  <si>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</si>
  <si>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</si>
  <si>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</si>
  <si>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</si>
  <si>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</si>
  <si>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</si>
  <si>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</si>
  <si>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</si>
  <si>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</si>
  <si>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</si>
  <si>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</si>
  <si>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</si>
  <si>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</si>
  <si>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</si>
  <si>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</si>
  <si>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</si>
  <si>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</si>
  <si>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</si>
  <si>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</si>
  <si>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</si>
  <si>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</si>
  <si>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</si>
  <si>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</si>
  <si>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</si>
  <si>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</si>
  <si>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</si>
  <si>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</si>
  <si>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</si>
  <si>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</si>
  <si>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</si>
  <si>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</si>
  <si>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</si>
  <si>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</si>
  <si>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</si>
  <si>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</si>
  <si>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</si>
  <si>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</si>
  <si>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</si>
  <si>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</si>
  <si>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</si>
  <si>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</si>
  <si>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</si>
  <si>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</si>
  <si>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</si>
  <si>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</si>
  <si>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</si>
  <si>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</si>
  <si>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</si>
  <si>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</si>
  <si>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</si>
  <si>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</si>
  <si>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</si>
  <si>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</si>
  <si>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</si>
  <si>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</si>
  <si>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</si>
  <si>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</si>
  <si>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</si>
  <si>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</si>
  <si>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</si>
  <si>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</si>
  <si>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</si>
  <si>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</si>
  <si>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</si>
  <si>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</si>
  <si>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</si>
  <si>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</si>
  <si>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</si>
  <si>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</si>
  <si>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</si>
  <si>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</si>
  <si>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</si>
  <si>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</si>
  <si>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</si>
  <si>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</si>
  <si>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</si>
  <si>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</si>
  <si>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</si>
  <si>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</si>
  <si>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</si>
  <si>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</si>
  <si>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</si>
  <si>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</si>
  <si>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</si>
  <si>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</si>
  <si>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</si>
  <si>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</si>
  <si>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</si>
  <si>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</si>
  <si>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</si>
  <si>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</si>
  <si>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</si>
  <si>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</si>
  <si>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</si>
  <si>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</si>
  <si>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</si>
  <si>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</si>
  <si>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</si>
  <si>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</si>
  <si>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</si>
  <si>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</si>
  <si>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</si>
  <si>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</si>
  <si>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</si>
  <si>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</si>
  <si>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</si>
  <si>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</si>
  <si>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</si>
  <si>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</si>
  <si>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</si>
  <si>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</si>
  <si>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</si>
  <si>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</si>
  <si>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</si>
  <si>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</si>
  <si>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</si>
  <si>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</si>
  <si>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</si>
  <si>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</si>
  <si>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</si>
  <si>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</si>
  <si>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</si>
  <si>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</si>
  <si>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</si>
  <si>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</si>
  <si>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</si>
  <si>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</si>
  <si>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</si>
  <si>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</si>
  <si>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</si>
  <si>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</si>
  <si>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</si>
  <si>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</si>
  <si>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</si>
  <si>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</si>
  <si>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</si>
  <si>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</si>
  <si>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</si>
  <si>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</si>
  <si>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</si>
  <si>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</si>
  <si>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</si>
  <si>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</si>
  <si>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</si>
  <si>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</si>
  <si>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</si>
  <si>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</si>
  <si>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</si>
  <si>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</si>
  <si>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</si>
  <si>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</si>
  <si>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</si>
  <si>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</si>
  <si>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</si>
  <si>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</si>
  <si>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</si>
  <si>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</si>
  <si>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</si>
  <si>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</si>
  <si>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</si>
  <si>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</si>
  <si>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</si>
  <si>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</si>
  <si>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</si>
  <si>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</si>
  <si>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</si>
  <si>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</si>
  <si>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</si>
  <si>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</si>
  <si>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</si>
  <si>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</si>
  <si>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</si>
  <si>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</si>
  <si>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</si>
  <si>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</si>
  <si>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</si>
  <si>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</si>
  <si>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</si>
  <si>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</si>
  <si>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</si>
  <si>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</si>
  <si>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</si>
  <si>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</si>
  <si>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</si>
  <si>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</si>
  <si>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</si>
  <si>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</si>
  <si>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</si>
  <si>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</si>
  <si>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</si>
  <si>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</si>
  <si>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</si>
  <si>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</si>
  <si>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</si>
  <si>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</si>
  <si>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</si>
  <si>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</si>
  <si>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</si>
  <si>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</si>
  <si>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</si>
  <si>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</si>
  <si>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</si>
  <si>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</si>
  <si>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</si>
  <si>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</si>
  <si>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</si>
  <si>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</si>
  <si>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</si>
  <si>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</si>
  <si>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</si>
  <si>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</si>
  <si>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</si>
  <si>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</si>
  <si>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</si>
  <si>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</si>
  <si>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</si>
  <si>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</si>
  <si>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</si>
  <si>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</si>
  <si>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</si>
  <si>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</si>
  <si>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</si>
  <si>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</si>
  <si>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</si>
  <si>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</si>
  <si>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</si>
  <si>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</si>
  <si>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</si>
  <si>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</si>
  <si>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</si>
  <si>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</si>
  <si>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</si>
  <si>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</si>
  <si>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Kendrick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</si>
  <si>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</si>
  <si>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</si>
  <si>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</si>
  <si>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</si>
  <si>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</si>
  <si>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</si>
  <si>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</si>
  <si>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</si>
  <si>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</si>
  <si>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</si>
  <si>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</si>
  <si>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</si>
  <si>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</si>
  <si>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</si>
  <si>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</si>
  <si>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</si>
  <si>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</si>
  <si>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</si>
  <si>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</si>
  <si>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</si>
  <si>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</si>
  <si>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</si>
  <si>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</si>
  <si>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</si>
  <si>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</si>
  <si>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</si>
  <si>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Discount Rate Analysis</t>
  </si>
  <si>
    <t>GENZ push scary.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</si>
  <si>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</si>
  <si>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</si>
  <si>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</si>
  <si>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</si>
  <si>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</si>
  <si>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</si>
  <si>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</si>
  <si>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</si>
  <si>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</si>
  <si>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</si>
  <si>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</si>
  <si>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</si>
  <si>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</si>
  <si>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</si>
  <si>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</si>
  <si>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</si>
  <si>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</si>
  <si>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</si>
  <si>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</si>
  <si>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</si>
  <si>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</si>
  <si>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</si>
  <si>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</si>
  <si>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</si>
  <si>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</si>
  <si>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</si>
  <si>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</si>
  <si>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</si>
  <si>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</si>
  <si>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</si>
  <si>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</si>
  <si>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</si>
  <si>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</si>
  <si>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</si>
  <si>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</si>
  <si>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</si>
  <si>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</si>
  <si>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</si>
  <si>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</si>
  <si>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</si>
  <si>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</si>
  <si>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</si>
  <si>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</si>
  <si>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</si>
  <si>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</si>
  <si>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</si>
  <si>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</si>
  <si>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</si>
  <si>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</si>
  <si>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</si>
  <si>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</si>
  <si>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</si>
  <si>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</si>
  <si>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</si>
  <si>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</si>
  <si>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</si>
  <si>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alirocumab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</si>
  <si>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</si>
  <si>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</si>
  <si>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</si>
  <si>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</si>
  <si>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</si>
  <si>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</si>
  <si>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</si>
  <si>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</si>
  <si>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</si>
  <si>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</si>
  <si>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</si>
  <si>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</si>
  <si>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</si>
  <si>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</si>
  <si>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</si>
  <si>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</si>
  <si>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</si>
  <si>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</si>
  <si>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</si>
  <si>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</si>
  <si>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</si>
  <si>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</si>
  <si>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GZ402665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</si>
  <si>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</si>
  <si>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</si>
  <si>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</si>
  <si>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</si>
  <si>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</si>
  <si>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</si>
  <si>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Niemann-Pick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</si>
  <si>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</si>
  <si>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</si>
  <si>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</si>
  <si>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</si>
  <si>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</si>
  <si>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</si>
  <si>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</si>
  <si>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</si>
  <si>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</si>
  <si>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</si>
  <si>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</si>
  <si>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</si>
  <si>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</si>
  <si>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</si>
  <si>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</si>
  <si>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</si>
  <si>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</si>
  <si>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</si>
  <si>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</si>
  <si>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</si>
  <si>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</si>
  <si>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</si>
  <si>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</si>
  <si>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</si>
  <si>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</si>
  <si>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</si>
  <si>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</si>
  <si>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</si>
  <si>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</si>
  <si>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</si>
  <si>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</si>
  <si>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</si>
  <si>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</si>
  <si>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</si>
  <si>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</si>
  <si>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</si>
  <si>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</si>
  <si>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</si>
  <si>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</si>
  <si>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</si>
  <si>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</si>
  <si>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</si>
  <si>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</si>
  <si>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</si>
  <si>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</si>
  <si>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</si>
  <si>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</si>
  <si>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</si>
  <si>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SAR650984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</si>
  <si>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</si>
  <si>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</si>
  <si>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</si>
  <si>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</si>
  <si>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</si>
  <si>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</si>
  <si>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</si>
  <si>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</si>
  <si>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</si>
  <si>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</si>
  <si>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</si>
  <si>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</si>
  <si>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</si>
  <si>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</si>
  <si>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</si>
  <si>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</si>
  <si>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</si>
  <si>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</si>
  <si>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</si>
  <si>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</si>
  <si>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</si>
  <si>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</si>
  <si>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</si>
  <si>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</si>
  <si>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</si>
  <si>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</si>
  <si>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</si>
  <si>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</si>
  <si>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</si>
  <si>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</si>
  <si>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</si>
  <si>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</si>
  <si>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</si>
  <si>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</si>
  <si>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</si>
  <si>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</si>
  <si>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</si>
  <si>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</si>
  <si>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</si>
  <si>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</si>
  <si>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</si>
  <si>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</si>
  <si>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</si>
  <si>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</si>
  <si>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</si>
  <si>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</si>
  <si>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</si>
  <si>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</si>
  <si>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</si>
  <si>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</si>
  <si>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</si>
  <si>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</si>
  <si>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</si>
  <si>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</si>
  <si>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</si>
  <si>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</si>
  <si>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</si>
  <si>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</si>
  <si>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</si>
  <si>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</si>
  <si>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</si>
  <si>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</si>
  <si>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</si>
  <si>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</si>
  <si>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</si>
  <si>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</si>
  <si>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</si>
  <si>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</si>
  <si>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</si>
  <si>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</si>
  <si>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</si>
  <si>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</si>
  <si>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</si>
  <si>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</si>
  <si>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</si>
  <si>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</si>
  <si>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</si>
  <si>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</si>
  <si>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</si>
  <si>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</si>
  <si>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</si>
  <si>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</si>
  <si>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</si>
  <si>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</si>
  <si>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</si>
  <si>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</si>
  <si>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</si>
  <si>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</si>
  <si>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</si>
  <si>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</si>
  <si>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</si>
  <si>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</si>
  <si>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</si>
  <si>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</si>
  <si>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</si>
  <si>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</si>
  <si>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</si>
  <si>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</si>
  <si>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</si>
  <si>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</si>
  <si>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</si>
  <si>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</si>
  <si>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</si>
  <si>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</si>
  <si>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</si>
  <si>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</si>
  <si>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</si>
  <si>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</si>
  <si>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</si>
  <si>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</si>
  <si>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</si>
  <si>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</si>
  <si>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</si>
  <si>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</si>
  <si>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</si>
  <si>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</si>
  <si>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</si>
  <si>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</si>
  <si>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</si>
  <si>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</si>
  <si>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</si>
  <si>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</si>
  <si>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</si>
  <si>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</si>
  <si>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</si>
  <si>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</si>
  <si>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</si>
  <si>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</si>
  <si>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</si>
  <si>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</si>
  <si>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</si>
  <si>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</si>
  <si>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</si>
  <si>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</si>
  <si>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</si>
  <si>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</si>
  <si>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</si>
  <si>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Xenopozyme</t>
  </si>
  <si>
    <t>Altuviiio</t>
  </si>
  <si>
    <t>Hemophilia A</t>
  </si>
  <si>
    <t>rF8</t>
  </si>
  <si>
    <t>Enjaymo</t>
  </si>
  <si>
    <t>Tzield</t>
  </si>
  <si>
    <t>Altuviiio (efanesoctocog alfa)</t>
  </si>
  <si>
    <t>fitusiran</t>
  </si>
  <si>
    <t>thrombin RNAi</t>
  </si>
  <si>
    <t>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</si>
</sst>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16" fontId="7" fillId="2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7" fillId="0" borderId="0" xfId="0" quotePrefix="1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56593</xdr:colOff>
      <xdr:row>0</xdr:row>
      <xdr:rowOff>0</xdr:rowOff>
    </xdr:from>
    <xdr:to>
      <xdr:col>84</xdr:col>
      <xdr:colOff>56593</xdr:colOff>
      <xdr:row>119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43306662" y="0"/>
          <a:ext cx="0" cy="1859422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111</xdr:col>
      <xdr:colOff>32845</xdr:colOff>
      <xdr:row>0</xdr:row>
      <xdr:rowOff>0</xdr:rowOff>
    </xdr:from>
    <xdr:to>
      <xdr:col>111</xdr:col>
      <xdr:colOff>32845</xdr:colOff>
      <xdr:row>129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6160121" y="0"/>
          <a:ext cx="0" cy="204590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Z75" dT="2023-03-01T21:09:31.45" personId="{318CC6C7-4C79-4B81-8AA8-0F5CDEEED97F}" id="{F7588713-7B33-4A55-9D7A-5A4110D76910}">
    <text>10725m reported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I43"/>
  <sheetViews>
    <sheetView workbookViewId="0">
      <selection activeCell="B15" sqref="B15:I15"/>
    </sheetView>
  </sheetViews>
  <sheetFormatPr baseColWidth="10" defaultColWidth="8.83203125" defaultRowHeight="13" x14ac:dyDescent="0.15"/>
  <cols>
    <col min="1" max="1" width="5" bestFit="1" customWidth="1"/>
  </cols>
  <sheetData>
    <row r="1" spans="1:9" x14ac:dyDescent="0.15">
      <c r="A1" s="29" t="s">
        <v>65</v>
      </c>
    </row>
    <row r="2" spans="1:9" x14ac:dyDescent="0.15">
      <c r="B2" s="34" t="s">
        <v>365</v>
      </c>
      <c r="C2" s="16" t="s">
        <v>332</v>
      </c>
      <c r="D2" s="17" t="s">
        <v>333</v>
      </c>
      <c r="E2" s="16"/>
      <c r="F2" s="6"/>
      <c r="G2" s="16"/>
      <c r="H2" s="16"/>
      <c r="I2" s="7"/>
    </row>
    <row r="3" spans="1:9" x14ac:dyDescent="0.15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9" x14ac:dyDescent="0.15">
      <c r="B4" s="34" t="s">
        <v>226</v>
      </c>
      <c r="C4" s="16" t="s">
        <v>151</v>
      </c>
      <c r="D4" s="17" t="s">
        <v>279</v>
      </c>
      <c r="E4" s="71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9" x14ac:dyDescent="0.15">
      <c r="B5" s="5" t="s">
        <v>63</v>
      </c>
      <c r="C5" s="6" t="s">
        <v>257</v>
      </c>
      <c r="D5" s="69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9" x14ac:dyDescent="0.15">
      <c r="B6" s="34" t="s">
        <v>238</v>
      </c>
      <c r="C6" s="16" t="s">
        <v>96</v>
      </c>
      <c r="D6" s="69"/>
      <c r="E6" s="6"/>
      <c r="F6" s="16" t="s">
        <v>239</v>
      </c>
      <c r="G6" s="16" t="s">
        <v>240</v>
      </c>
      <c r="H6" s="16"/>
      <c r="I6" s="18" t="s">
        <v>241</v>
      </c>
    </row>
    <row r="11" spans="1:9" x14ac:dyDescent="0.15">
      <c r="B11" s="34" t="s">
        <v>476</v>
      </c>
      <c r="C11" s="16" t="s">
        <v>483</v>
      </c>
      <c r="D11" s="17" t="s">
        <v>475</v>
      </c>
      <c r="E11" s="16" t="s">
        <v>213</v>
      </c>
      <c r="F11" s="16" t="s">
        <v>463</v>
      </c>
      <c r="G11" s="16" t="s">
        <v>417</v>
      </c>
      <c r="H11" s="16" t="s">
        <v>463</v>
      </c>
      <c r="I11" s="18" t="s">
        <v>484</v>
      </c>
    </row>
    <row r="12" spans="1:9" x14ac:dyDescent="0.15">
      <c r="B12" s="34" t="s">
        <v>477</v>
      </c>
      <c r="C12" s="16" t="s">
        <v>482</v>
      </c>
      <c r="D12" s="17" t="s">
        <v>475</v>
      </c>
      <c r="E12" s="16" t="s">
        <v>213</v>
      </c>
      <c r="F12" s="16" t="s">
        <v>463</v>
      </c>
      <c r="G12" s="16" t="s">
        <v>417</v>
      </c>
      <c r="H12" s="16" t="s">
        <v>463</v>
      </c>
      <c r="I12" s="18" t="s">
        <v>484</v>
      </c>
    </row>
    <row r="13" spans="1:9" x14ac:dyDescent="0.15">
      <c r="B13" s="34" t="s">
        <v>478</v>
      </c>
      <c r="C13" s="16" t="s">
        <v>481</v>
      </c>
      <c r="D13" s="17">
        <v>1</v>
      </c>
      <c r="E13" s="16" t="s">
        <v>213</v>
      </c>
      <c r="F13" s="16" t="s">
        <v>463</v>
      </c>
      <c r="G13" s="16" t="s">
        <v>417</v>
      </c>
      <c r="H13" s="16" t="s">
        <v>463</v>
      </c>
      <c r="I13" s="18" t="s">
        <v>484</v>
      </c>
    </row>
    <row r="14" spans="1:9" x14ac:dyDescent="0.15">
      <c r="B14" s="34" t="s">
        <v>479</v>
      </c>
      <c r="C14" s="16" t="s">
        <v>480</v>
      </c>
      <c r="D14" s="17" t="s">
        <v>475</v>
      </c>
      <c r="E14" s="16" t="s">
        <v>213</v>
      </c>
      <c r="F14" s="16" t="s">
        <v>463</v>
      </c>
      <c r="G14" s="16" t="s">
        <v>417</v>
      </c>
      <c r="H14" s="16" t="s">
        <v>463</v>
      </c>
      <c r="I14" s="18" t="s">
        <v>484</v>
      </c>
    </row>
    <row r="15" spans="1:9" x14ac:dyDescent="0.15">
      <c r="B15" s="34" t="s">
        <v>467</v>
      </c>
      <c r="C15" s="16" t="s">
        <v>158</v>
      </c>
      <c r="D15" s="17">
        <v>1</v>
      </c>
      <c r="E15" s="16" t="s">
        <v>213</v>
      </c>
      <c r="F15" s="16" t="s">
        <v>468</v>
      </c>
      <c r="G15" s="16" t="s">
        <v>417</v>
      </c>
      <c r="H15" s="16" t="s">
        <v>374</v>
      </c>
      <c r="I15" s="18" t="s">
        <v>421</v>
      </c>
    </row>
    <row r="16" spans="1:9" x14ac:dyDescent="0.15">
      <c r="B16" s="19"/>
      <c r="C16" s="16"/>
      <c r="D16" s="17"/>
      <c r="E16" s="16"/>
      <c r="F16" s="16"/>
      <c r="G16" s="16"/>
      <c r="H16" s="16"/>
      <c r="I16" s="16"/>
    </row>
    <row r="17" spans="2:9" x14ac:dyDescent="0.15">
      <c r="B17" s="19"/>
      <c r="C17" s="16"/>
      <c r="D17" s="17"/>
      <c r="E17" s="16"/>
      <c r="F17" s="16"/>
      <c r="G17" s="16"/>
      <c r="H17" s="16"/>
      <c r="I17" s="16"/>
    </row>
    <row r="18" spans="2:9" x14ac:dyDescent="0.15">
      <c r="B18" s="19"/>
      <c r="C18" s="16"/>
      <c r="D18" s="17"/>
      <c r="E18" s="16"/>
      <c r="F18" s="16"/>
      <c r="G18" s="16"/>
      <c r="H18" s="16"/>
      <c r="I18" s="16"/>
    </row>
    <row r="19" spans="2:9" x14ac:dyDescent="0.15">
      <c r="B19" s="19"/>
      <c r="C19" s="16"/>
      <c r="D19" s="17"/>
      <c r="E19" s="16"/>
      <c r="F19" s="16"/>
      <c r="G19" s="16"/>
      <c r="H19" s="16"/>
      <c r="I19" s="16"/>
    </row>
    <row r="20" spans="2:9" x14ac:dyDescent="0.15">
      <c r="B20" s="19"/>
      <c r="C20" s="16"/>
      <c r="D20" s="17"/>
      <c r="E20" s="16"/>
      <c r="F20" s="16"/>
      <c r="G20" s="16"/>
      <c r="H20" s="16"/>
      <c r="I20" s="16"/>
    </row>
    <row r="21" spans="2:9" x14ac:dyDescent="0.15">
      <c r="B21" s="19"/>
      <c r="C21" s="16"/>
      <c r="D21" s="17"/>
      <c r="E21" s="16"/>
      <c r="F21" s="16"/>
      <c r="G21" s="16"/>
      <c r="H21" s="16"/>
      <c r="I21" s="16"/>
    </row>
    <row r="22" spans="2:9" x14ac:dyDescent="0.15">
      <c r="B22" s="19"/>
      <c r="C22" s="16"/>
      <c r="D22" s="17"/>
      <c r="E22" s="16"/>
      <c r="F22" s="16"/>
      <c r="G22" s="16"/>
      <c r="H22" s="16"/>
      <c r="I22" s="16"/>
    </row>
    <row r="23" spans="2:9" x14ac:dyDescent="0.15">
      <c r="B23" s="19"/>
      <c r="C23" s="16"/>
      <c r="D23" s="17"/>
      <c r="E23" s="16"/>
      <c r="F23" s="16"/>
      <c r="G23" s="16"/>
      <c r="H23" s="16"/>
      <c r="I23" s="16"/>
    </row>
    <row r="24" spans="2:9" x14ac:dyDescent="0.15">
      <c r="B24" s="10" t="s">
        <v>317</v>
      </c>
    </row>
    <row r="25" spans="2:9" x14ac:dyDescent="0.15">
      <c r="B25" s="19" t="s">
        <v>378</v>
      </c>
    </row>
    <row r="26" spans="2:9" x14ac:dyDescent="0.15">
      <c r="B26" s="19" t="s">
        <v>338</v>
      </c>
    </row>
    <row r="27" spans="2:9" x14ac:dyDescent="0.15">
      <c r="B27" s="19" t="s">
        <v>339</v>
      </c>
    </row>
    <row r="28" spans="2:9" x14ac:dyDescent="0.15">
      <c r="B28" s="19" t="s">
        <v>382</v>
      </c>
    </row>
    <row r="29" spans="2:9" x14ac:dyDescent="0.15">
      <c r="B29" s="19" t="s">
        <v>156</v>
      </c>
    </row>
    <row r="30" spans="2:9" x14ac:dyDescent="0.15">
      <c r="B30" s="19" t="s">
        <v>383</v>
      </c>
    </row>
    <row r="31" spans="2:9" x14ac:dyDescent="0.15">
      <c r="B31" s="19" t="s">
        <v>87</v>
      </c>
    </row>
    <row r="32" spans="2:9" x14ac:dyDescent="0.15">
      <c r="B32" s="19" t="s">
        <v>384</v>
      </c>
    </row>
    <row r="33" spans="2:2" x14ac:dyDescent="0.15">
      <c r="B33" s="19" t="s">
        <v>358</v>
      </c>
    </row>
    <row r="34" spans="2:2" x14ac:dyDescent="0.15">
      <c r="B34" s="19" t="s">
        <v>385</v>
      </c>
    </row>
    <row r="35" spans="2:2" x14ac:dyDescent="0.15">
      <c r="B35" s="19" t="s">
        <v>394</v>
      </c>
    </row>
    <row r="36" spans="2:2" x14ac:dyDescent="0.15">
      <c r="B36" s="19" t="s">
        <v>395</v>
      </c>
    </row>
    <row r="37" spans="2:2" x14ac:dyDescent="0.15">
      <c r="B37" s="19" t="s">
        <v>396</v>
      </c>
    </row>
    <row r="38" spans="2:2" x14ac:dyDescent="0.15">
      <c r="B38" s="19" t="s">
        <v>401</v>
      </c>
    </row>
    <row r="39" spans="2:2" x14ac:dyDescent="0.15">
      <c r="B39" s="19" t="s">
        <v>402</v>
      </c>
    </row>
    <row r="40" spans="2:2" x14ac:dyDescent="0.15">
      <c r="B40" s="19" t="s">
        <v>403</v>
      </c>
    </row>
    <row r="41" spans="2:2" x14ac:dyDescent="0.15">
      <c r="B41" s="19" t="s">
        <v>404</v>
      </c>
    </row>
    <row r="42" spans="2:2" x14ac:dyDescent="0.15">
      <c r="B42" s="19" t="s">
        <v>405</v>
      </c>
    </row>
    <row r="43" spans="2:2" x14ac:dyDescent="0.15">
      <c r="B43" s="19" t="s">
        <v>493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baseColWidth="10" defaultColWidth="8.83203125" defaultRowHeight="13" x14ac:dyDescent="0.15"/>
  <sheetData>
    <row r="2" spans="2:8" x14ac:dyDescent="0.15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15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15">
      <c r="B4" t="s">
        <v>27</v>
      </c>
      <c r="C4">
        <v>3</v>
      </c>
      <c r="D4" t="s">
        <v>28</v>
      </c>
      <c r="H4" t="s">
        <v>31</v>
      </c>
    </row>
    <row r="8" spans="2:8" x14ac:dyDescent="0.15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" t="s">
        <v>295</v>
      </c>
    </row>
    <row r="3" spans="1:3" x14ac:dyDescent="0.15">
      <c r="B3" s="1" t="s">
        <v>67</v>
      </c>
      <c r="C3" s="1" t="s">
        <v>292</v>
      </c>
    </row>
    <row r="4" spans="1:3" x14ac:dyDescent="0.15">
      <c r="B4" s="1" t="s">
        <v>70</v>
      </c>
      <c r="C4" s="1" t="s">
        <v>95</v>
      </c>
    </row>
    <row r="5" spans="1:3" x14ac:dyDescent="0.15">
      <c r="B5" s="1" t="s">
        <v>293</v>
      </c>
      <c r="C5" s="1" t="s">
        <v>294</v>
      </c>
    </row>
    <row r="6" spans="1:3" x14ac:dyDescent="0.15">
      <c r="B6" s="1" t="s">
        <v>74</v>
      </c>
      <c r="C6" s="1" t="s">
        <v>33</v>
      </c>
    </row>
    <row r="8" spans="1:3" x14ac:dyDescent="0.15">
      <c r="C8" s="10" t="s">
        <v>183</v>
      </c>
    </row>
    <row r="10" spans="1:3" x14ac:dyDescent="0.15">
      <c r="C10" s="10" t="s">
        <v>184</v>
      </c>
    </row>
    <row r="12" spans="1:3" x14ac:dyDescent="0.15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baseColWidth="10" defaultColWidth="8.83203125" defaultRowHeight="13" x14ac:dyDescent="0.15"/>
  <sheetData>
    <row r="2" spans="2:2" x14ac:dyDescent="0.15">
      <c r="B2" t="s">
        <v>34</v>
      </c>
    </row>
    <row r="4" spans="2:2" x14ac:dyDescent="0.15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" t="s">
        <v>97</v>
      </c>
    </row>
    <row r="3" spans="1:3" x14ac:dyDescent="0.15">
      <c r="B3" s="1" t="s">
        <v>67</v>
      </c>
      <c r="C3" s="1" t="s">
        <v>98</v>
      </c>
    </row>
    <row r="4" spans="1:3" x14ac:dyDescent="0.15">
      <c r="B4" s="1" t="s">
        <v>70</v>
      </c>
      <c r="C4" s="1" t="s">
        <v>99</v>
      </c>
    </row>
    <row r="5" spans="1:3" x14ac:dyDescent="0.15">
      <c r="B5" s="1" t="s">
        <v>13</v>
      </c>
      <c r="C5" s="1" t="s">
        <v>100</v>
      </c>
    </row>
    <row r="6" spans="1:3" x14ac:dyDescent="0.15">
      <c r="B6" s="1" t="s">
        <v>74</v>
      </c>
    </row>
    <row r="7" spans="1:3" x14ac:dyDescent="0.15">
      <c r="C7" s="1" t="s">
        <v>35</v>
      </c>
    </row>
    <row r="8" spans="1:3" x14ac:dyDescent="0.15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baseColWidth="10" defaultColWidth="8.83203125" defaultRowHeight="13" x14ac:dyDescent="0.15"/>
  <sheetData>
    <row r="2" spans="2:2" x14ac:dyDescent="0.15">
      <c r="B2" t="s">
        <v>36</v>
      </c>
    </row>
    <row r="4" spans="2:2" x14ac:dyDescent="0.15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baseColWidth="10" defaultColWidth="9.1640625" defaultRowHeight="13" x14ac:dyDescent="0.15"/>
  <cols>
    <col min="1" max="1" width="5" style="1" bestFit="1" customWidth="1"/>
    <col min="2" max="16384" width="9.1640625" style="1"/>
  </cols>
  <sheetData>
    <row r="1" spans="1:2" x14ac:dyDescent="0.15">
      <c r="A1" s="9" t="s">
        <v>65</v>
      </c>
    </row>
    <row r="2" spans="1:2" x14ac:dyDescent="0.15">
      <c r="B2" s="1" t="s">
        <v>37</v>
      </c>
    </row>
    <row r="3" spans="1:2" x14ac:dyDescent="0.15">
      <c r="B3" s="1" t="s">
        <v>38</v>
      </c>
    </row>
    <row r="6" spans="1:2" x14ac:dyDescent="0.15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baseColWidth="10" defaultColWidth="9.1640625" defaultRowHeight="13" x14ac:dyDescent="0.15"/>
  <cols>
    <col min="1" max="1" width="5" style="37" bestFit="1" customWidth="1"/>
    <col min="2" max="2" width="11.33203125" style="37" bestFit="1" customWidth="1"/>
    <col min="3" max="16384" width="9.1640625" style="37"/>
  </cols>
  <sheetData>
    <row r="1" spans="1:3" x14ac:dyDescent="0.15">
      <c r="A1" s="36" t="s">
        <v>65</v>
      </c>
    </row>
    <row r="2" spans="1:3" x14ac:dyDescent="0.15">
      <c r="B2" s="37" t="s">
        <v>66</v>
      </c>
      <c r="C2" s="31" t="s">
        <v>212</v>
      </c>
    </row>
    <row r="3" spans="1:3" x14ac:dyDescent="0.15">
      <c r="B3" s="37" t="s">
        <v>13</v>
      </c>
      <c r="C3" s="31" t="s">
        <v>242</v>
      </c>
    </row>
    <row r="4" spans="1:3" x14ac:dyDescent="0.15">
      <c r="B4" s="31" t="s">
        <v>70</v>
      </c>
      <c r="C4" s="31" t="s">
        <v>286</v>
      </c>
    </row>
    <row r="5" spans="1:3" x14ac:dyDescent="0.15">
      <c r="B5" s="37" t="s">
        <v>190</v>
      </c>
    </row>
    <row r="6" spans="1:3" x14ac:dyDescent="0.15">
      <c r="C6" s="38" t="s">
        <v>246</v>
      </c>
    </row>
    <row r="7" spans="1:3" x14ac:dyDescent="0.15">
      <c r="C7" s="31" t="s">
        <v>247</v>
      </c>
    </row>
    <row r="10" spans="1:3" x14ac:dyDescent="0.15">
      <c r="C10" s="38" t="s">
        <v>248</v>
      </c>
    </row>
    <row r="11" spans="1:3" x14ac:dyDescent="0.15">
      <c r="C11" s="31" t="s">
        <v>250</v>
      </c>
    </row>
    <row r="12" spans="1:3" x14ac:dyDescent="0.15">
      <c r="C12" s="31" t="s">
        <v>249</v>
      </c>
    </row>
    <row r="13" spans="1:3" x14ac:dyDescent="0.15">
      <c r="C13" s="31" t="s">
        <v>285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" t="s">
        <v>101</v>
      </c>
    </row>
    <row r="3" spans="1:3" x14ac:dyDescent="0.15">
      <c r="B3" s="1" t="s">
        <v>67</v>
      </c>
    </row>
    <row r="4" spans="1:3" x14ac:dyDescent="0.15">
      <c r="B4" s="1" t="s">
        <v>57</v>
      </c>
      <c r="C4" s="1" t="s">
        <v>58</v>
      </c>
    </row>
    <row r="5" spans="1:3" x14ac:dyDescent="0.15">
      <c r="B5" s="1" t="s">
        <v>13</v>
      </c>
      <c r="C5" s="1" t="s">
        <v>71</v>
      </c>
    </row>
    <row r="6" spans="1:3" x14ac:dyDescent="0.15">
      <c r="C6" s="1" t="s">
        <v>55</v>
      </c>
    </row>
    <row r="7" spans="1:3" x14ac:dyDescent="0.15">
      <c r="B7" s="1" t="s">
        <v>72</v>
      </c>
      <c r="C7" s="1" t="s">
        <v>54</v>
      </c>
    </row>
    <row r="8" spans="1:3" x14ac:dyDescent="0.15">
      <c r="B8" s="1" t="s">
        <v>16</v>
      </c>
      <c r="C8" s="1" t="s">
        <v>73</v>
      </c>
    </row>
    <row r="9" spans="1:3" x14ac:dyDescent="0.15">
      <c r="B9" s="1" t="s">
        <v>75</v>
      </c>
      <c r="C9" s="1" t="s">
        <v>118</v>
      </c>
    </row>
    <row r="10" spans="1:3" x14ac:dyDescent="0.15">
      <c r="B10" s="1" t="s">
        <v>78</v>
      </c>
      <c r="C10" s="1" t="s">
        <v>79</v>
      </c>
    </row>
    <row r="11" spans="1:3" x14ac:dyDescent="0.15">
      <c r="B11" s="1" t="s">
        <v>74</v>
      </c>
    </row>
    <row r="12" spans="1:3" x14ac:dyDescent="0.15">
      <c r="C12" s="10" t="s">
        <v>56</v>
      </c>
    </row>
    <row r="15" spans="1:3" x14ac:dyDescent="0.15">
      <c r="C15" s="10" t="s">
        <v>76</v>
      </c>
    </row>
    <row r="16" spans="1:3" x14ac:dyDescent="0.15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22.1640625" bestFit="1" customWidth="1"/>
  </cols>
  <sheetData>
    <row r="1" spans="1:3" x14ac:dyDescent="0.15">
      <c r="A1" s="28" t="s">
        <v>65</v>
      </c>
    </row>
    <row r="3" spans="1:3" x14ac:dyDescent="0.15">
      <c r="B3" t="s">
        <v>44</v>
      </c>
      <c r="C3" t="s">
        <v>0</v>
      </c>
    </row>
    <row r="4" spans="1:3" x14ac:dyDescent="0.15">
      <c r="B4" t="s">
        <v>45</v>
      </c>
      <c r="C4" t="s">
        <v>0</v>
      </c>
    </row>
    <row r="5" spans="1:3" x14ac:dyDescent="0.15">
      <c r="B5" t="s">
        <v>82</v>
      </c>
      <c r="C5" t="s">
        <v>210</v>
      </c>
    </row>
    <row r="6" spans="1:3" x14ac:dyDescent="0.15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4"/>
  <sheetViews>
    <sheetView zoomScale="130" zoomScaleNormal="130" workbookViewId="0">
      <selection activeCell="F9" sqref="F9"/>
    </sheetView>
  </sheetViews>
  <sheetFormatPr baseColWidth="10" defaultColWidth="9.1640625" defaultRowHeight="13" x14ac:dyDescent="0.15"/>
  <cols>
    <col min="1" max="1" width="2.5" style="1" customWidth="1"/>
    <col min="2" max="2" width="22.5" style="1" customWidth="1"/>
    <col min="3" max="3" width="31" style="1" customWidth="1"/>
    <col min="4" max="4" width="17.5" style="1" customWidth="1"/>
    <col min="5" max="5" width="9.33203125" style="1" customWidth="1"/>
    <col min="6" max="6" width="23.5" style="1" customWidth="1"/>
    <col min="7" max="7" width="13" style="1" customWidth="1"/>
    <col min="8" max="8" width="9" style="1" customWidth="1"/>
    <col min="9" max="9" width="2.83203125" style="1" customWidth="1"/>
    <col min="10" max="10" width="11.83203125" style="1" bestFit="1" customWidth="1"/>
    <col min="11" max="11" width="8.1640625" style="13" bestFit="1" customWidth="1"/>
    <col min="12" max="12" width="7.5" style="1" customWidth="1"/>
    <col min="13" max="16384" width="9.1640625" style="1"/>
  </cols>
  <sheetData>
    <row r="1" spans="1:13" x14ac:dyDescent="0.15">
      <c r="A1" s="19"/>
    </row>
    <row r="2" spans="1:13" x14ac:dyDescent="0.15">
      <c r="B2" s="2" t="s">
        <v>12</v>
      </c>
      <c r="C2" s="3" t="s">
        <v>13</v>
      </c>
      <c r="D2" s="3" t="s">
        <v>14</v>
      </c>
      <c r="E2" s="3" t="s">
        <v>108</v>
      </c>
      <c r="F2" s="3" t="s">
        <v>15</v>
      </c>
      <c r="G2" s="35" t="s">
        <v>70</v>
      </c>
      <c r="H2" s="4" t="s">
        <v>94</v>
      </c>
      <c r="J2" s="1" t="s">
        <v>102</v>
      </c>
      <c r="K2" s="22">
        <v>49</v>
      </c>
    </row>
    <row r="3" spans="1:13" x14ac:dyDescent="0.15">
      <c r="B3" s="8" t="s">
        <v>223</v>
      </c>
      <c r="C3" s="6" t="s">
        <v>83</v>
      </c>
      <c r="D3" s="69">
        <v>1</v>
      </c>
      <c r="E3" s="70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576</v>
      </c>
    </row>
    <row r="4" spans="1:13" x14ac:dyDescent="0.15">
      <c r="B4" s="8" t="s">
        <v>107</v>
      </c>
      <c r="C4" s="6" t="s">
        <v>40</v>
      </c>
      <c r="D4" s="69" t="s">
        <v>41</v>
      </c>
      <c r="E4" s="71">
        <v>35751</v>
      </c>
      <c r="F4" s="72" t="s">
        <v>196</v>
      </c>
      <c r="G4" s="73" t="s">
        <v>186</v>
      </c>
      <c r="H4" s="7" t="s">
        <v>109</v>
      </c>
      <c r="J4" s="1" t="s">
        <v>105</v>
      </c>
      <c r="K4" s="23">
        <f>K2*K3</f>
        <v>61299</v>
      </c>
      <c r="L4" s="20"/>
    </row>
    <row r="5" spans="1:13" x14ac:dyDescent="0.15">
      <c r="B5" s="8" t="s">
        <v>64</v>
      </c>
      <c r="C5" s="6" t="s">
        <v>40</v>
      </c>
      <c r="D5" s="69">
        <v>1</v>
      </c>
      <c r="E5" s="71">
        <v>34057</v>
      </c>
      <c r="F5" s="16" t="s">
        <v>290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576</v>
      </c>
      <c r="M5" s="27"/>
    </row>
    <row r="6" spans="1:13" x14ac:dyDescent="0.15">
      <c r="B6" s="34" t="s">
        <v>269</v>
      </c>
      <c r="C6" s="16" t="s">
        <v>287</v>
      </c>
      <c r="D6" s="69">
        <v>1</v>
      </c>
      <c r="E6" s="71">
        <v>35199</v>
      </c>
      <c r="F6" s="16" t="s">
        <v>270</v>
      </c>
      <c r="G6" s="16" t="s">
        <v>86</v>
      </c>
      <c r="H6" s="7" t="s">
        <v>135</v>
      </c>
      <c r="J6" s="1" t="s">
        <v>104</v>
      </c>
      <c r="K6" s="23">
        <v>15112</v>
      </c>
      <c r="L6" s="33" t="s">
        <v>576</v>
      </c>
    </row>
    <row r="7" spans="1:13" x14ac:dyDescent="0.15">
      <c r="B7" s="34" t="s">
        <v>267</v>
      </c>
      <c r="C7" s="6" t="s">
        <v>96</v>
      </c>
      <c r="D7" s="17" t="s">
        <v>268</v>
      </c>
      <c r="E7" s="71">
        <v>35271</v>
      </c>
      <c r="F7" s="16" t="s">
        <v>289</v>
      </c>
      <c r="G7" s="16" t="s">
        <v>261</v>
      </c>
      <c r="H7" s="7" t="s">
        <v>109</v>
      </c>
      <c r="J7" s="1" t="s">
        <v>106</v>
      </c>
      <c r="K7" s="23">
        <f>K4-K5+K6</f>
        <v>76411</v>
      </c>
    </row>
    <row r="8" spans="1:13" x14ac:dyDescent="0.15">
      <c r="B8" s="8" t="s">
        <v>377</v>
      </c>
      <c r="C8" s="16" t="s">
        <v>257</v>
      </c>
      <c r="D8" s="69">
        <v>1</v>
      </c>
      <c r="E8" s="70">
        <v>41164</v>
      </c>
      <c r="F8" s="6"/>
      <c r="G8" s="16" t="s">
        <v>199</v>
      </c>
      <c r="H8" s="7" t="s">
        <v>109</v>
      </c>
    </row>
    <row r="9" spans="1:13" x14ac:dyDescent="0.15">
      <c r="B9" s="34" t="s">
        <v>275</v>
      </c>
      <c r="C9" s="6" t="s">
        <v>80</v>
      </c>
      <c r="D9" s="69" t="s">
        <v>157</v>
      </c>
      <c r="E9" s="71">
        <v>37477</v>
      </c>
      <c r="F9" s="16" t="s">
        <v>276</v>
      </c>
      <c r="G9" s="16" t="s">
        <v>262</v>
      </c>
      <c r="H9" s="7" t="s">
        <v>135</v>
      </c>
      <c r="J9" s="19" t="s">
        <v>583</v>
      </c>
    </row>
    <row r="10" spans="1:13" x14ac:dyDescent="0.15">
      <c r="B10" s="5" t="s">
        <v>150</v>
      </c>
      <c r="C10" s="6" t="s">
        <v>151</v>
      </c>
      <c r="D10" s="17" t="s">
        <v>288</v>
      </c>
      <c r="E10" s="6"/>
      <c r="F10" s="6"/>
      <c r="G10" s="16" t="s">
        <v>263</v>
      </c>
      <c r="H10" s="7" t="s">
        <v>109</v>
      </c>
      <c r="J10" s="11"/>
      <c r="K10" s="24"/>
    </row>
    <row r="11" spans="1:13" x14ac:dyDescent="0.15">
      <c r="B11" s="34" t="s">
        <v>228</v>
      </c>
      <c r="C11" s="16" t="s">
        <v>83</v>
      </c>
      <c r="D11" s="69"/>
      <c r="E11" s="6"/>
      <c r="F11" s="16" t="s">
        <v>230</v>
      </c>
      <c r="G11" s="16" t="s">
        <v>229</v>
      </c>
      <c r="H11" s="18" t="s">
        <v>109</v>
      </c>
      <c r="K11" s="23"/>
    </row>
    <row r="12" spans="1:13" x14ac:dyDescent="0.15">
      <c r="B12" s="5" t="s">
        <v>47</v>
      </c>
      <c r="C12" s="16" t="s">
        <v>305</v>
      </c>
      <c r="D12" s="17" t="s">
        <v>306</v>
      </c>
      <c r="E12" s="6"/>
      <c r="F12" s="6"/>
      <c r="G12" s="16" t="s">
        <v>307</v>
      </c>
      <c r="H12" s="18" t="s">
        <v>109</v>
      </c>
    </row>
    <row r="13" spans="1:13" x14ac:dyDescent="0.15">
      <c r="B13" s="5" t="s">
        <v>119</v>
      </c>
      <c r="C13" s="6" t="s">
        <v>96</v>
      </c>
      <c r="D13" s="69" t="s">
        <v>120</v>
      </c>
      <c r="E13" s="6">
        <v>2007</v>
      </c>
      <c r="F13" s="6"/>
      <c r="G13" s="6"/>
      <c r="H13" s="7"/>
      <c r="J13" s="1" t="s">
        <v>255</v>
      </c>
    </row>
    <row r="14" spans="1:13" x14ac:dyDescent="0.15">
      <c r="B14" s="5" t="s">
        <v>136</v>
      </c>
      <c r="C14" s="6" t="s">
        <v>137</v>
      </c>
      <c r="D14" s="69">
        <v>1</v>
      </c>
      <c r="E14" s="6"/>
      <c r="F14" s="6"/>
      <c r="G14" s="16" t="s">
        <v>266</v>
      </c>
      <c r="H14" s="7"/>
      <c r="J14" s="1" t="s">
        <v>256</v>
      </c>
    </row>
    <row r="15" spans="1:13" x14ac:dyDescent="0.15">
      <c r="B15" s="8" t="s">
        <v>188</v>
      </c>
      <c r="C15" s="16" t="s">
        <v>152</v>
      </c>
      <c r="D15" s="17">
        <v>1</v>
      </c>
      <c r="E15" s="73">
        <v>39995</v>
      </c>
      <c r="F15" s="16" t="s">
        <v>302</v>
      </c>
      <c r="G15" s="16"/>
      <c r="H15" s="18" t="s">
        <v>109</v>
      </c>
      <c r="J15" s="19" t="s">
        <v>281</v>
      </c>
    </row>
    <row r="16" spans="1:13" x14ac:dyDescent="0.15">
      <c r="B16" s="34" t="s">
        <v>326</v>
      </c>
      <c r="C16" s="6" t="s">
        <v>85</v>
      </c>
      <c r="D16" s="69">
        <v>1</v>
      </c>
      <c r="E16" s="6">
        <v>2010</v>
      </c>
      <c r="F16" s="6" t="s">
        <v>86</v>
      </c>
      <c r="G16" s="6"/>
      <c r="H16" s="7"/>
    </row>
    <row r="17" spans="2:10" x14ac:dyDescent="0.15">
      <c r="B17" s="34" t="s">
        <v>323</v>
      </c>
      <c r="C17" s="19" t="s">
        <v>324</v>
      </c>
      <c r="D17" s="69">
        <v>1</v>
      </c>
      <c r="E17" s="6">
        <v>1997</v>
      </c>
      <c r="F17" s="16" t="s">
        <v>266</v>
      </c>
      <c r="G17" s="6"/>
      <c r="H17" s="7"/>
    </row>
    <row r="18" spans="2:10" x14ac:dyDescent="0.15">
      <c r="B18" s="34" t="s">
        <v>327</v>
      </c>
      <c r="C18" s="16" t="s">
        <v>334</v>
      </c>
      <c r="D18" s="69">
        <v>1</v>
      </c>
      <c r="E18" s="6"/>
      <c r="F18" s="16"/>
      <c r="G18" s="6"/>
      <c r="H18" s="7"/>
    </row>
    <row r="19" spans="2:10" x14ac:dyDescent="0.15">
      <c r="B19" s="34" t="s">
        <v>328</v>
      </c>
      <c r="C19" s="16" t="s">
        <v>330</v>
      </c>
      <c r="D19" s="69">
        <v>1</v>
      </c>
      <c r="E19" s="6"/>
      <c r="F19" s="16"/>
      <c r="G19" s="6"/>
      <c r="H19" s="7"/>
    </row>
    <row r="20" spans="2:10" x14ac:dyDescent="0.15">
      <c r="B20" s="34" t="s">
        <v>565</v>
      </c>
      <c r="C20" s="16" t="s">
        <v>406</v>
      </c>
      <c r="D20" s="17" t="s">
        <v>81</v>
      </c>
      <c r="E20" s="68"/>
      <c r="F20" s="16" t="s">
        <v>566</v>
      </c>
      <c r="G20" s="16" t="s">
        <v>374</v>
      </c>
      <c r="H20" s="18" t="s">
        <v>407</v>
      </c>
    </row>
    <row r="21" spans="2:10" x14ac:dyDescent="0.15">
      <c r="B21" s="34" t="s">
        <v>364</v>
      </c>
      <c r="C21" s="16" t="s">
        <v>337</v>
      </c>
      <c r="D21" s="69" t="s">
        <v>81</v>
      </c>
      <c r="E21" s="6"/>
      <c r="F21" s="6" t="s">
        <v>155</v>
      </c>
      <c r="G21" s="16" t="s">
        <v>245</v>
      </c>
      <c r="H21" s="7" t="s">
        <v>135</v>
      </c>
    </row>
    <row r="22" spans="2:10" x14ac:dyDescent="0.15">
      <c r="B22" s="34" t="s">
        <v>366</v>
      </c>
      <c r="C22" s="16" t="s">
        <v>334</v>
      </c>
      <c r="D22" s="17">
        <v>1</v>
      </c>
      <c r="E22" s="16"/>
      <c r="F22" s="16" t="s">
        <v>372</v>
      </c>
      <c r="G22" s="16" t="s">
        <v>375</v>
      </c>
      <c r="H22" s="7"/>
    </row>
    <row r="23" spans="2:10" x14ac:dyDescent="0.15">
      <c r="B23" s="34" t="s">
        <v>329</v>
      </c>
      <c r="C23" s="16" t="s">
        <v>487</v>
      </c>
      <c r="D23" s="69">
        <v>1</v>
      </c>
      <c r="E23" s="6"/>
      <c r="F23" s="16"/>
      <c r="G23" s="6"/>
      <c r="H23" s="7"/>
    </row>
    <row r="24" spans="2:10" x14ac:dyDescent="0.15">
      <c r="B24" s="34" t="s">
        <v>590</v>
      </c>
      <c r="C24" s="16" t="s">
        <v>586</v>
      </c>
      <c r="D24" s="69"/>
      <c r="E24" s="6"/>
      <c r="F24" s="16"/>
      <c r="G24" s="16" t="s">
        <v>587</v>
      </c>
      <c r="H24" s="7"/>
    </row>
    <row r="25" spans="2:10" x14ac:dyDescent="0.15">
      <c r="B25" s="34" t="s">
        <v>567</v>
      </c>
      <c r="C25" s="16" t="s">
        <v>392</v>
      </c>
      <c r="D25" s="17" t="s">
        <v>81</v>
      </c>
      <c r="E25" s="16"/>
      <c r="F25" s="16" t="s">
        <v>393</v>
      </c>
      <c r="G25" s="16" t="s">
        <v>374</v>
      </c>
      <c r="H25" s="18" t="s">
        <v>373</v>
      </c>
    </row>
    <row r="26" spans="2:10" x14ac:dyDescent="0.15">
      <c r="B26" s="34" t="s">
        <v>367</v>
      </c>
      <c r="C26" s="16" t="s">
        <v>368</v>
      </c>
      <c r="D26" s="17" t="s">
        <v>81</v>
      </c>
      <c r="E26" s="16"/>
      <c r="F26" s="16" t="s">
        <v>369</v>
      </c>
      <c r="G26" s="16" t="s">
        <v>374</v>
      </c>
      <c r="H26" s="18" t="s">
        <v>373</v>
      </c>
    </row>
    <row r="27" spans="2:10" x14ac:dyDescent="0.15">
      <c r="B27" s="34" t="s">
        <v>325</v>
      </c>
      <c r="C27" s="16" t="s">
        <v>137</v>
      </c>
      <c r="D27" s="69">
        <v>1</v>
      </c>
      <c r="E27" s="6"/>
      <c r="F27" s="16" t="s">
        <v>266</v>
      </c>
      <c r="G27" s="6"/>
      <c r="H27" s="7"/>
      <c r="J27" s="19" t="s">
        <v>282</v>
      </c>
    </row>
    <row r="28" spans="2:10" x14ac:dyDescent="0.15">
      <c r="B28" s="34" t="s">
        <v>370</v>
      </c>
      <c r="C28" s="16" t="s">
        <v>257</v>
      </c>
      <c r="D28" s="17" t="s">
        <v>331</v>
      </c>
      <c r="E28" s="16"/>
      <c r="F28" s="16" t="s">
        <v>371</v>
      </c>
      <c r="G28" s="16" t="s">
        <v>374</v>
      </c>
      <c r="H28" s="18" t="s">
        <v>135</v>
      </c>
    </row>
    <row r="29" spans="2:10" x14ac:dyDescent="0.15">
      <c r="B29" s="5" t="s">
        <v>50</v>
      </c>
      <c r="C29" s="6" t="s">
        <v>32</v>
      </c>
      <c r="D29" s="69">
        <v>1</v>
      </c>
      <c r="E29" s="6"/>
      <c r="F29" s="6" t="s">
        <v>59</v>
      </c>
      <c r="G29" s="16" t="s">
        <v>265</v>
      </c>
      <c r="H29" s="7" t="s">
        <v>109</v>
      </c>
    </row>
    <row r="30" spans="2:10" x14ac:dyDescent="0.15">
      <c r="B30" s="2"/>
      <c r="C30" s="3"/>
      <c r="D30" s="3"/>
      <c r="E30" s="3" t="s">
        <v>17</v>
      </c>
      <c r="F30" s="3" t="s">
        <v>70</v>
      </c>
      <c r="G30" s="35" t="s">
        <v>15</v>
      </c>
      <c r="H30" s="4"/>
    </row>
    <row r="31" spans="2:10" x14ac:dyDescent="0.15">
      <c r="B31" s="34" t="s">
        <v>386</v>
      </c>
      <c r="C31" s="16" t="s">
        <v>388</v>
      </c>
      <c r="D31" s="17">
        <v>1</v>
      </c>
      <c r="E31" s="16" t="s">
        <v>153</v>
      </c>
      <c r="F31" s="16" t="s">
        <v>266</v>
      </c>
      <c r="G31" s="16" t="s">
        <v>266</v>
      </c>
      <c r="H31" s="18" t="s">
        <v>391</v>
      </c>
    </row>
    <row r="32" spans="2:10" x14ac:dyDescent="0.15">
      <c r="B32" s="34" t="s">
        <v>591</v>
      </c>
      <c r="C32" s="16"/>
      <c r="D32" s="17"/>
      <c r="E32" s="16"/>
      <c r="F32" s="16" t="s">
        <v>592</v>
      </c>
      <c r="G32" s="16"/>
      <c r="H32" s="18"/>
    </row>
    <row r="33" spans="2:8" x14ac:dyDescent="0.15">
      <c r="B33" s="34" t="s">
        <v>387</v>
      </c>
      <c r="C33" s="16" t="s">
        <v>389</v>
      </c>
      <c r="D33" s="17">
        <v>1</v>
      </c>
      <c r="E33" s="16" t="s">
        <v>153</v>
      </c>
      <c r="F33" s="16" t="s">
        <v>266</v>
      </c>
      <c r="G33" s="16" t="s">
        <v>266</v>
      </c>
      <c r="H33" s="18" t="s">
        <v>391</v>
      </c>
    </row>
    <row r="34" spans="2:8" x14ac:dyDescent="0.15">
      <c r="B34" s="34" t="s">
        <v>491</v>
      </c>
      <c r="C34" s="16" t="s">
        <v>83</v>
      </c>
      <c r="D34" s="17">
        <v>1</v>
      </c>
      <c r="E34" s="16" t="s">
        <v>153</v>
      </c>
      <c r="F34" s="16" t="s">
        <v>492</v>
      </c>
      <c r="G34" s="16" t="s">
        <v>245</v>
      </c>
      <c r="H34" s="18" t="s">
        <v>373</v>
      </c>
    </row>
    <row r="35" spans="2:8" x14ac:dyDescent="0.15">
      <c r="B35" s="34" t="s">
        <v>335</v>
      </c>
      <c r="C35" s="16" t="s">
        <v>336</v>
      </c>
      <c r="D35" s="17">
        <v>1</v>
      </c>
      <c r="E35" s="16" t="s">
        <v>153</v>
      </c>
      <c r="F35" s="6"/>
      <c r="G35" s="16" t="s">
        <v>266</v>
      </c>
      <c r="H35" s="7"/>
    </row>
    <row r="36" spans="2:8" x14ac:dyDescent="0.15">
      <c r="B36" s="34" t="s">
        <v>379</v>
      </c>
      <c r="C36" s="16" t="s">
        <v>83</v>
      </c>
      <c r="D36" s="17" t="s">
        <v>400</v>
      </c>
      <c r="E36" s="16" t="s">
        <v>153</v>
      </c>
      <c r="F36" s="16" t="s">
        <v>84</v>
      </c>
      <c r="G36" s="16" t="s">
        <v>380</v>
      </c>
      <c r="H36" s="18" t="s">
        <v>381</v>
      </c>
    </row>
    <row r="37" spans="2:8" x14ac:dyDescent="0.15">
      <c r="B37" s="34" t="s">
        <v>390</v>
      </c>
      <c r="C37" s="16" t="s">
        <v>397</v>
      </c>
      <c r="D37" s="69">
        <v>1</v>
      </c>
      <c r="E37" s="16" t="s">
        <v>213</v>
      </c>
      <c r="F37" s="16" t="s">
        <v>398</v>
      </c>
      <c r="G37" s="16" t="s">
        <v>245</v>
      </c>
      <c r="H37" s="18" t="s">
        <v>399</v>
      </c>
    </row>
    <row r="38" spans="2:8" x14ac:dyDescent="0.15">
      <c r="B38" s="34" t="s">
        <v>426</v>
      </c>
      <c r="C38" s="16" t="s">
        <v>427</v>
      </c>
      <c r="D38" s="17" t="s">
        <v>417</v>
      </c>
      <c r="E38" s="16" t="s">
        <v>154</v>
      </c>
      <c r="F38" s="16" t="s">
        <v>428</v>
      </c>
      <c r="G38" s="16" t="s">
        <v>374</v>
      </c>
      <c r="H38" s="18" t="s">
        <v>417</v>
      </c>
    </row>
    <row r="39" spans="2:8" x14ac:dyDescent="0.15">
      <c r="B39" s="34" t="s">
        <v>429</v>
      </c>
      <c r="C39" s="16" t="s">
        <v>430</v>
      </c>
      <c r="D39" s="17" t="s">
        <v>431</v>
      </c>
      <c r="E39" s="16" t="s">
        <v>154</v>
      </c>
      <c r="F39" s="16" t="s">
        <v>432</v>
      </c>
      <c r="G39" s="16" t="s">
        <v>374</v>
      </c>
      <c r="H39" s="18" t="s">
        <v>417</v>
      </c>
    </row>
    <row r="40" spans="2:8" x14ac:dyDescent="0.15">
      <c r="B40" s="34" t="s">
        <v>433</v>
      </c>
      <c r="C40" s="16" t="s">
        <v>434</v>
      </c>
      <c r="D40" s="17" t="s">
        <v>308</v>
      </c>
      <c r="E40" s="16" t="s">
        <v>154</v>
      </c>
      <c r="F40" s="16" t="s">
        <v>435</v>
      </c>
      <c r="G40" s="16" t="s">
        <v>374</v>
      </c>
      <c r="H40" s="18" t="s">
        <v>417</v>
      </c>
    </row>
    <row r="41" spans="2:8" x14ac:dyDescent="0.15">
      <c r="B41" s="34" t="s">
        <v>436</v>
      </c>
      <c r="C41" s="16" t="s">
        <v>437</v>
      </c>
      <c r="D41" s="17" t="s">
        <v>243</v>
      </c>
      <c r="E41" s="16" t="s">
        <v>154</v>
      </c>
      <c r="F41" s="16" t="s">
        <v>438</v>
      </c>
      <c r="G41" s="16" t="s">
        <v>375</v>
      </c>
      <c r="H41" s="18" t="s">
        <v>109</v>
      </c>
    </row>
    <row r="42" spans="2:8" x14ac:dyDescent="0.15">
      <c r="B42" s="34" t="s">
        <v>439</v>
      </c>
      <c r="C42" s="16" t="s">
        <v>440</v>
      </c>
      <c r="D42" s="17" t="s">
        <v>308</v>
      </c>
      <c r="E42" s="16" t="s">
        <v>154</v>
      </c>
      <c r="F42" s="16" t="s">
        <v>441</v>
      </c>
      <c r="G42" s="16" t="s">
        <v>417</v>
      </c>
      <c r="H42" s="18" t="s">
        <v>417</v>
      </c>
    </row>
    <row r="43" spans="2:8" x14ac:dyDescent="0.15">
      <c r="B43" s="34" t="s">
        <v>422</v>
      </c>
      <c r="C43" s="16" t="s">
        <v>423</v>
      </c>
      <c r="D43" s="17" t="s">
        <v>424</v>
      </c>
      <c r="E43" s="16" t="s">
        <v>154</v>
      </c>
      <c r="F43" s="16" t="s">
        <v>425</v>
      </c>
      <c r="G43" s="16" t="s">
        <v>417</v>
      </c>
      <c r="H43" s="18" t="s">
        <v>417</v>
      </c>
    </row>
    <row r="44" spans="2:8" x14ac:dyDescent="0.15">
      <c r="B44" s="34" t="s">
        <v>418</v>
      </c>
      <c r="C44" s="16" t="s">
        <v>419</v>
      </c>
      <c r="D44" s="69">
        <v>1</v>
      </c>
      <c r="E44" s="16" t="s">
        <v>154</v>
      </c>
      <c r="F44" s="16" t="s">
        <v>420</v>
      </c>
      <c r="G44" s="16" t="s">
        <v>374</v>
      </c>
      <c r="H44" s="18" t="s">
        <v>421</v>
      </c>
    </row>
    <row r="45" spans="2:8" x14ac:dyDescent="0.15">
      <c r="B45" s="34" t="s">
        <v>414</v>
      </c>
      <c r="C45" s="16" t="s">
        <v>415</v>
      </c>
      <c r="D45" s="69">
        <v>1</v>
      </c>
      <c r="E45" s="16" t="s">
        <v>154</v>
      </c>
      <c r="F45" s="16" t="s">
        <v>416</v>
      </c>
      <c r="G45" s="16" t="s">
        <v>417</v>
      </c>
      <c r="H45" s="18" t="s">
        <v>417</v>
      </c>
    </row>
    <row r="46" spans="2:8" x14ac:dyDescent="0.15">
      <c r="B46" s="34" t="s">
        <v>411</v>
      </c>
      <c r="C46" s="16" t="s">
        <v>412</v>
      </c>
      <c r="D46" s="69">
        <v>1</v>
      </c>
      <c r="E46" s="16" t="s">
        <v>154</v>
      </c>
      <c r="F46" s="16" t="s">
        <v>413</v>
      </c>
      <c r="G46" s="16" t="s">
        <v>374</v>
      </c>
      <c r="H46" s="18" t="s">
        <v>407</v>
      </c>
    </row>
    <row r="47" spans="2:8" x14ac:dyDescent="0.15">
      <c r="B47" s="34" t="s">
        <v>460</v>
      </c>
      <c r="C47" s="16" t="s">
        <v>461</v>
      </c>
      <c r="D47" s="69">
        <v>1</v>
      </c>
      <c r="E47" s="16" t="s">
        <v>213</v>
      </c>
      <c r="F47" s="16" t="s">
        <v>462</v>
      </c>
      <c r="G47" s="16" t="s">
        <v>463</v>
      </c>
      <c r="H47" s="18" t="s">
        <v>421</v>
      </c>
    </row>
    <row r="48" spans="2:8" x14ac:dyDescent="0.15">
      <c r="B48" s="34" t="s">
        <v>408</v>
      </c>
      <c r="C48" s="16" t="s">
        <v>409</v>
      </c>
      <c r="D48" s="69">
        <v>1</v>
      </c>
      <c r="E48" s="16" t="s">
        <v>154</v>
      </c>
      <c r="F48" s="16" t="s">
        <v>410</v>
      </c>
      <c r="G48" s="16" t="s">
        <v>374</v>
      </c>
      <c r="H48" s="18" t="s">
        <v>407</v>
      </c>
    </row>
    <row r="49" spans="2:8" x14ac:dyDescent="0.15">
      <c r="B49" s="34" t="s">
        <v>442</v>
      </c>
      <c r="C49" s="16" t="s">
        <v>242</v>
      </c>
      <c r="D49" s="69">
        <v>1</v>
      </c>
      <c r="E49" s="16" t="s">
        <v>213</v>
      </c>
      <c r="F49" s="16" t="s">
        <v>443</v>
      </c>
      <c r="G49" s="16" t="s">
        <v>374</v>
      </c>
      <c r="H49" s="18"/>
    </row>
    <row r="50" spans="2:8" x14ac:dyDescent="0.15">
      <c r="B50" s="34" t="s">
        <v>444</v>
      </c>
      <c r="C50" s="16" t="s">
        <v>242</v>
      </c>
      <c r="D50" s="17" t="s">
        <v>417</v>
      </c>
      <c r="E50" s="16" t="s">
        <v>213</v>
      </c>
      <c r="F50" s="16" t="s">
        <v>445</v>
      </c>
      <c r="G50" s="16" t="s">
        <v>417</v>
      </c>
      <c r="H50" s="18" t="s">
        <v>417</v>
      </c>
    </row>
    <row r="51" spans="2:8" x14ac:dyDescent="0.15">
      <c r="B51" s="34" t="s">
        <v>464</v>
      </c>
      <c r="C51" s="16" t="s">
        <v>465</v>
      </c>
      <c r="D51" s="17">
        <v>1</v>
      </c>
      <c r="E51" s="16" t="s">
        <v>213</v>
      </c>
      <c r="F51" s="16" t="s">
        <v>466</v>
      </c>
      <c r="G51" s="16" t="s">
        <v>374</v>
      </c>
      <c r="H51" s="18" t="s">
        <v>417</v>
      </c>
    </row>
    <row r="52" spans="2:8" x14ac:dyDescent="0.15">
      <c r="B52" s="34" t="s">
        <v>469</v>
      </c>
      <c r="C52" s="16" t="s">
        <v>470</v>
      </c>
      <c r="D52" s="17">
        <v>1</v>
      </c>
      <c r="E52" s="16" t="s">
        <v>213</v>
      </c>
      <c r="F52" s="16" t="s">
        <v>471</v>
      </c>
      <c r="G52" s="16" t="s">
        <v>374</v>
      </c>
      <c r="H52" s="18" t="s">
        <v>417</v>
      </c>
    </row>
    <row r="53" spans="2:8" x14ac:dyDescent="0.15">
      <c r="B53" s="34" t="s">
        <v>472</v>
      </c>
      <c r="C53" s="16" t="s">
        <v>473</v>
      </c>
      <c r="D53" s="17">
        <v>1</v>
      </c>
      <c r="E53" s="16" t="s">
        <v>213</v>
      </c>
      <c r="F53" s="16" t="s">
        <v>474</v>
      </c>
      <c r="G53" s="16" t="s">
        <v>374</v>
      </c>
      <c r="H53" s="18" t="s">
        <v>417</v>
      </c>
    </row>
    <row r="54" spans="2:8" x14ac:dyDescent="0.15">
      <c r="B54" s="34" t="s">
        <v>489</v>
      </c>
      <c r="C54" s="16" t="s">
        <v>330</v>
      </c>
      <c r="D54" s="17">
        <v>1</v>
      </c>
      <c r="E54" s="16" t="s">
        <v>213</v>
      </c>
      <c r="F54" s="16" t="s">
        <v>490</v>
      </c>
      <c r="G54" s="16" t="s">
        <v>245</v>
      </c>
      <c r="H54" s="18" t="s">
        <v>135</v>
      </c>
    </row>
    <row r="55" spans="2:8" x14ac:dyDescent="0.15">
      <c r="B55" s="34" t="s">
        <v>485</v>
      </c>
      <c r="C55" s="16" t="s">
        <v>486</v>
      </c>
      <c r="D55" s="17">
        <v>1</v>
      </c>
      <c r="E55" s="16" t="s">
        <v>213</v>
      </c>
      <c r="F55" s="16" t="s">
        <v>488</v>
      </c>
      <c r="G55" s="16" t="s">
        <v>375</v>
      </c>
      <c r="H55" s="18" t="s">
        <v>109</v>
      </c>
    </row>
    <row r="56" spans="2:8" x14ac:dyDescent="0.15">
      <c r="B56" s="34" t="s">
        <v>446</v>
      </c>
      <c r="C56" s="16" t="s">
        <v>447</v>
      </c>
      <c r="D56" s="17">
        <v>1</v>
      </c>
      <c r="E56" s="16" t="s">
        <v>213</v>
      </c>
      <c r="F56" s="16" t="s">
        <v>448</v>
      </c>
      <c r="G56" s="16" t="s">
        <v>374</v>
      </c>
      <c r="H56" s="18" t="s">
        <v>421</v>
      </c>
    </row>
    <row r="57" spans="2:8" x14ac:dyDescent="0.15">
      <c r="B57" s="34" t="s">
        <v>451</v>
      </c>
      <c r="C57" s="16" t="s">
        <v>242</v>
      </c>
      <c r="D57" s="17">
        <v>1</v>
      </c>
      <c r="E57" s="16" t="s">
        <v>213</v>
      </c>
      <c r="F57" s="16" t="s">
        <v>453</v>
      </c>
      <c r="G57" s="16" t="s">
        <v>417</v>
      </c>
      <c r="H57" s="18" t="s">
        <v>452</v>
      </c>
    </row>
    <row r="58" spans="2:8" x14ac:dyDescent="0.15">
      <c r="B58" s="34" t="s">
        <v>458</v>
      </c>
      <c r="C58" s="16" t="s">
        <v>242</v>
      </c>
      <c r="D58" s="17" t="s">
        <v>243</v>
      </c>
      <c r="E58" s="16" t="s">
        <v>213</v>
      </c>
      <c r="F58" s="16" t="s">
        <v>459</v>
      </c>
      <c r="G58" s="16" t="s">
        <v>375</v>
      </c>
      <c r="H58" s="18" t="s">
        <v>109</v>
      </c>
    </row>
    <row r="59" spans="2:8" x14ac:dyDescent="0.15">
      <c r="B59" s="34" t="s">
        <v>454</v>
      </c>
      <c r="C59" s="16" t="s">
        <v>242</v>
      </c>
      <c r="D59" s="17">
        <v>1</v>
      </c>
      <c r="E59" s="16" t="s">
        <v>213</v>
      </c>
      <c r="F59" s="16" t="s">
        <v>455</v>
      </c>
      <c r="G59" s="16" t="s">
        <v>374</v>
      </c>
      <c r="H59" s="18" t="s">
        <v>421</v>
      </c>
    </row>
    <row r="60" spans="2:8" x14ac:dyDescent="0.15">
      <c r="B60" s="34" t="s">
        <v>456</v>
      </c>
      <c r="C60" s="16" t="s">
        <v>242</v>
      </c>
      <c r="D60" s="17">
        <v>1</v>
      </c>
      <c r="E60" s="16" t="s">
        <v>213</v>
      </c>
      <c r="F60" s="16" t="s">
        <v>457</v>
      </c>
      <c r="G60" s="16" t="s">
        <v>375</v>
      </c>
      <c r="H60" s="18" t="s">
        <v>109</v>
      </c>
    </row>
    <row r="61" spans="2:8" x14ac:dyDescent="0.15">
      <c r="B61" s="49" t="s">
        <v>449</v>
      </c>
      <c r="C61" s="50" t="s">
        <v>242</v>
      </c>
      <c r="D61" s="51" t="s">
        <v>431</v>
      </c>
      <c r="E61" s="50" t="s">
        <v>213</v>
      </c>
      <c r="F61" s="50" t="s">
        <v>450</v>
      </c>
      <c r="G61" s="50" t="s">
        <v>374</v>
      </c>
      <c r="H61" s="52" t="s">
        <v>421</v>
      </c>
    </row>
    <row r="63" spans="2:8" x14ac:dyDescent="0.15">
      <c r="F63" s="19" t="s">
        <v>251</v>
      </c>
    </row>
    <row r="64" spans="2:8" x14ac:dyDescent="0.15">
      <c r="E64" s="12"/>
      <c r="F64" s="19" t="s">
        <v>376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5" location="Multaq!A1" display="Multaq (dronedarone)" xr:uid="{00000000-0004-0000-0200-000002000000}"/>
    <hyperlink ref="B8" location="Aubagio!A1" display="Aubagio (teriflunomide)" xr:uid="{00000000-0004-0000-0200-000003000000}"/>
    <hyperlink ref="B3" location="Lantus!A1" display="Lantus" xr:uid="{00000000-0004-0000-0200-000004000000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3"/>
  <sheetViews>
    <sheetView tabSelected="1" zoomScale="145" zoomScaleNormal="145" workbookViewId="0">
      <pane xSplit="2" ySplit="2" topLeftCell="BV3" activePane="bottomRight" state="frozen"/>
      <selection pane="topRight" activeCell="C1" sqref="C1"/>
      <selection pane="bottomLeft" activeCell="A3" sqref="A3"/>
      <selection pane="bottomRight" activeCell="BW12" sqref="BW12"/>
    </sheetView>
  </sheetViews>
  <sheetFormatPr baseColWidth="10" defaultColWidth="9.1640625" defaultRowHeight="13" x14ac:dyDescent="0.15"/>
  <cols>
    <col min="1" max="1" width="5" style="1" bestFit="1" customWidth="1"/>
    <col min="2" max="2" width="17.5" style="1" bestFit="1" customWidth="1"/>
    <col min="3" max="17" width="6.5" style="23" customWidth="1"/>
    <col min="18" max="62" width="6.5" style="20" customWidth="1"/>
    <col min="63" max="67" width="6.5" style="75" customWidth="1"/>
    <col min="68" max="70" width="7" style="75" customWidth="1"/>
    <col min="71" max="91" width="7" style="53" customWidth="1"/>
    <col min="92" max="92" width="6.5" style="20" customWidth="1"/>
    <col min="93" max="93" width="9.1640625" style="20"/>
    <col min="94" max="106" width="7.33203125" style="20" customWidth="1"/>
    <col min="107" max="107" width="6.83203125" style="20" customWidth="1"/>
    <col min="108" max="113" width="6.83203125" style="1" customWidth="1"/>
    <col min="114" max="16384" width="9.1640625" style="1"/>
  </cols>
  <sheetData>
    <row r="1" spans="1:125" x14ac:dyDescent="0.15">
      <c r="A1" s="9" t="s">
        <v>65</v>
      </c>
      <c r="AO1" s="53"/>
      <c r="CD1" s="75"/>
    </row>
    <row r="2" spans="1:125" x14ac:dyDescent="0.15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318</v>
      </c>
      <c r="AF2" s="33" t="s">
        <v>319</v>
      </c>
      <c r="AG2" s="33" t="s">
        <v>321</v>
      </c>
      <c r="AH2" s="33" t="s">
        <v>320</v>
      </c>
      <c r="AI2" s="33" t="s">
        <v>344</v>
      </c>
      <c r="AJ2" s="33" t="s">
        <v>345</v>
      </c>
      <c r="AK2" s="33" t="s">
        <v>346</v>
      </c>
      <c r="AL2" s="33" t="s">
        <v>347</v>
      </c>
      <c r="AM2" s="33" t="s">
        <v>348</v>
      </c>
      <c r="AN2" s="33" t="s">
        <v>349</v>
      </c>
      <c r="AO2" s="55" t="s">
        <v>350</v>
      </c>
      <c r="AP2" s="33" t="s">
        <v>351</v>
      </c>
      <c r="AQ2" s="33" t="s">
        <v>496</v>
      </c>
      <c r="AR2" s="55" t="s">
        <v>497</v>
      </c>
      <c r="AS2" s="33" t="s">
        <v>498</v>
      </c>
      <c r="AT2" s="33" t="s">
        <v>499</v>
      </c>
      <c r="AU2" s="33" t="s">
        <v>502</v>
      </c>
      <c r="AV2" s="33" t="s">
        <v>503</v>
      </c>
      <c r="AW2" s="33" t="s">
        <v>504</v>
      </c>
      <c r="AX2" s="33" t="s">
        <v>505</v>
      </c>
      <c r="AY2" s="33" t="s">
        <v>506</v>
      </c>
      <c r="AZ2" s="33" t="s">
        <v>507</v>
      </c>
      <c r="BA2" s="33" t="s">
        <v>508</v>
      </c>
      <c r="BB2" s="33" t="s">
        <v>509</v>
      </c>
      <c r="BC2" s="33" t="s">
        <v>510</v>
      </c>
      <c r="BD2" s="33" t="s">
        <v>511</v>
      </c>
      <c r="BE2" s="33" t="s">
        <v>512</v>
      </c>
      <c r="BF2" s="33" t="s">
        <v>513</v>
      </c>
      <c r="BG2" s="33" t="s">
        <v>514</v>
      </c>
      <c r="BH2" s="33" t="s">
        <v>515</v>
      </c>
      <c r="BI2" s="33" t="s">
        <v>516</v>
      </c>
      <c r="BJ2" s="33" t="s">
        <v>517</v>
      </c>
      <c r="BK2" s="76" t="s">
        <v>518</v>
      </c>
      <c r="BL2" s="76" t="s">
        <v>519</v>
      </c>
      <c r="BM2" s="76" t="s">
        <v>520</v>
      </c>
      <c r="BN2" s="76" t="s">
        <v>521</v>
      </c>
      <c r="BO2" s="76" t="s">
        <v>522</v>
      </c>
      <c r="BP2" s="76" t="s">
        <v>523</v>
      </c>
      <c r="BQ2" s="76" t="s">
        <v>524</v>
      </c>
      <c r="BR2" s="76" t="s">
        <v>525</v>
      </c>
      <c r="BS2" s="59" t="s">
        <v>526</v>
      </c>
      <c r="BT2" s="59" t="s">
        <v>527</v>
      </c>
      <c r="BU2" s="59" t="s">
        <v>528</v>
      </c>
      <c r="BV2" s="59" t="s">
        <v>529</v>
      </c>
      <c r="BW2" s="59" t="s">
        <v>530</v>
      </c>
      <c r="BX2" s="59" t="s">
        <v>531</v>
      </c>
      <c r="BY2" s="59" t="s">
        <v>532</v>
      </c>
      <c r="BZ2" s="59" t="s">
        <v>533</v>
      </c>
      <c r="CA2" s="59" t="s">
        <v>558</v>
      </c>
      <c r="CB2" s="59" t="s">
        <v>559</v>
      </c>
      <c r="CC2" s="59" t="s">
        <v>560</v>
      </c>
      <c r="CD2" s="76" t="s">
        <v>561</v>
      </c>
      <c r="CE2" s="59" t="s">
        <v>575</v>
      </c>
      <c r="CF2" s="59" t="s">
        <v>576</v>
      </c>
      <c r="CG2" s="59" t="s">
        <v>577</v>
      </c>
      <c r="CH2" s="59" t="s">
        <v>578</v>
      </c>
      <c r="CI2" s="59" t="s">
        <v>579</v>
      </c>
      <c r="CJ2" s="59" t="s">
        <v>580</v>
      </c>
      <c r="CK2" s="59" t="s">
        <v>581</v>
      </c>
      <c r="CL2" s="59" t="s">
        <v>582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15">
      <c r="B3" s="48" t="s">
        <v>534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77"/>
      <c r="BL3" s="77"/>
      <c r="BM3" s="77"/>
      <c r="BN3" s="77"/>
      <c r="BO3" s="77">
        <v>776</v>
      </c>
      <c r="BP3" s="77">
        <v>858</v>
      </c>
      <c r="BQ3" s="77">
        <v>918</v>
      </c>
      <c r="BR3" s="77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77">
        <v>2990</v>
      </c>
      <c r="CE3" s="60">
        <v>2835</v>
      </c>
      <c r="CF3" s="60">
        <v>3303</v>
      </c>
      <c r="CG3" s="60">
        <f>+CC3*1.3</f>
        <v>3701.1</v>
      </c>
      <c r="CH3" s="60">
        <f>+CD3*1.3</f>
        <v>3887</v>
      </c>
      <c r="CI3" s="60">
        <f>+CE3*1.3</f>
        <v>3685.5</v>
      </c>
      <c r="CJ3" s="60">
        <f>+CF3*1.3</f>
        <v>4293.9000000000005</v>
      </c>
      <c r="CK3" s="60">
        <f>+CG3*1.3</f>
        <v>4811.43</v>
      </c>
      <c r="CL3" s="60">
        <f>+CH3*1.3</f>
        <v>5053.1000000000004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</row>
    <row r="4" spans="1:125" s="27" customFormat="1" x14ac:dyDescent="0.15">
      <c r="B4" s="48" t="s">
        <v>300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19">+AC4*1.1</f>
        <v>990.00000000000011</v>
      </c>
      <c r="AH4" s="23">
        <f t="shared" si="19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78"/>
      <c r="BL4" s="78"/>
      <c r="BM4" s="78"/>
      <c r="BN4" s="78"/>
      <c r="BO4" s="78">
        <v>724</v>
      </c>
      <c r="BP4" s="78">
        <v>693</v>
      </c>
      <c r="BQ4" s="78">
        <v>657</v>
      </c>
      <c r="BR4" s="78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78">
        <v>277</v>
      </c>
      <c r="CE4" s="54">
        <v>360</v>
      </c>
      <c r="CF4" s="54">
        <v>398</v>
      </c>
      <c r="CG4" s="54">
        <f>+CC4*0.9</f>
        <v>308.7</v>
      </c>
      <c r="CH4" s="54">
        <f>+CD4*0.9</f>
        <v>249.3</v>
      </c>
      <c r="CI4" s="54">
        <f>+CE4*0.9</f>
        <v>324</v>
      </c>
      <c r="CJ4" s="54">
        <f>+CF4*0.9</f>
        <v>358.2</v>
      </c>
      <c r="CK4" s="54">
        <f>+CG4*0.9</f>
        <v>277.83</v>
      </c>
      <c r="CL4" s="54">
        <f>+CH4*0.9</f>
        <v>224.37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0">CY4*0.99</f>
        <v>3828.3431274</v>
      </c>
      <c r="DA4" s="23">
        <f t="shared" si="20"/>
        <v>3790.0596961259998</v>
      </c>
      <c r="DB4" s="23">
        <f t="shared" si="20"/>
        <v>3752.1590991647399</v>
      </c>
      <c r="DC4" s="23">
        <f t="shared" si="20"/>
        <v>3714.6375081730926</v>
      </c>
      <c r="DE4" s="48"/>
    </row>
    <row r="5" spans="1:125" s="27" customFormat="1" x14ac:dyDescent="0.15">
      <c r="B5" s="48" t="s">
        <v>353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78"/>
      <c r="BL5" s="78"/>
      <c r="BM5" s="78"/>
      <c r="BN5" s="78"/>
      <c r="BO5" s="78">
        <v>541</v>
      </c>
      <c r="BP5" s="78">
        <v>527</v>
      </c>
      <c r="BQ5" s="78">
        <v>505</v>
      </c>
      <c r="BR5" s="78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78">
        <v>121</v>
      </c>
      <c r="CE5" s="54">
        <v>102</v>
      </c>
      <c r="CF5" s="54">
        <v>107</v>
      </c>
      <c r="CG5" s="54">
        <f>+CF5-5</f>
        <v>102</v>
      </c>
      <c r="CH5" s="54">
        <f>+CG5-5</f>
        <v>97</v>
      </c>
      <c r="CI5" s="54">
        <f>+CH5-5</f>
        <v>92</v>
      </c>
      <c r="CJ5" s="54">
        <f>+CI5-5</f>
        <v>87</v>
      </c>
      <c r="CK5" s="54">
        <f>+CJ5-5</f>
        <v>82</v>
      </c>
      <c r="CL5" s="54">
        <f>+CK5-5</f>
        <v>77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</row>
    <row r="6" spans="1:125" s="27" customFormat="1" x14ac:dyDescent="0.15">
      <c r="B6" s="48" t="s">
        <v>301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78"/>
      <c r="BL6" s="78"/>
      <c r="BM6" s="78"/>
      <c r="BN6" s="78"/>
      <c r="BO6" s="78">
        <v>329</v>
      </c>
      <c r="BP6" s="78">
        <v>301</v>
      </c>
      <c r="BQ6" s="78">
        <v>365</v>
      </c>
      <c r="BR6" s="78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78">
        <v>263</v>
      </c>
      <c r="CE6" s="54">
        <v>262</v>
      </c>
      <c r="CF6" s="54">
        <v>256</v>
      </c>
      <c r="CG6" s="54">
        <f>+CC6</f>
        <v>255</v>
      </c>
      <c r="CH6" s="54">
        <f>+CD6</f>
        <v>263</v>
      </c>
      <c r="CI6" s="54">
        <f>+CE6</f>
        <v>262</v>
      </c>
      <c r="CJ6" s="54">
        <f>+CF6</f>
        <v>256</v>
      </c>
      <c r="CK6" s="54">
        <f>+CG6</f>
        <v>255</v>
      </c>
      <c r="CL6" s="54">
        <f>+CH6</f>
        <v>263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7" si="21">SUM(W6:Z6)</f>
        <v>3043</v>
      </c>
      <c r="CV6" s="23">
        <f t="shared" ref="CV6:CV49" si="22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</row>
    <row r="7" spans="1:125" s="27" customFormat="1" x14ac:dyDescent="0.15">
      <c r="B7" s="48" t="s">
        <v>548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78"/>
      <c r="BL7" s="78"/>
      <c r="BM7" s="78"/>
      <c r="BN7" s="78"/>
      <c r="BO7" s="78">
        <f>1282-724-257-89-37</f>
        <v>175</v>
      </c>
      <c r="BP7" s="78">
        <f>1194-38-84-239-693</f>
        <v>140</v>
      </c>
      <c r="BQ7" s="78">
        <f>1146-657-216-79-40</f>
        <v>154</v>
      </c>
      <c r="BR7" s="78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78">
        <f>284+28+869</f>
        <v>1181</v>
      </c>
      <c r="CE7" s="54">
        <v>1140</v>
      </c>
      <c r="CF7" s="54">
        <v>1080</v>
      </c>
      <c r="CG7" s="54">
        <f>+CC7</f>
        <v>1196</v>
      </c>
      <c r="CH7" s="54">
        <f>+CD7</f>
        <v>1181</v>
      </c>
      <c r="CI7" s="54">
        <f>+CE7</f>
        <v>1140</v>
      </c>
      <c r="CJ7" s="54">
        <f>+CF7</f>
        <v>1080</v>
      </c>
      <c r="CK7" s="54">
        <f>+CG7</f>
        <v>1196</v>
      </c>
      <c r="CL7" s="54">
        <f>+CH7</f>
        <v>1181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</row>
    <row r="8" spans="1:125" s="27" customFormat="1" x14ac:dyDescent="0.15">
      <c r="B8" s="48" t="s">
        <v>585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78"/>
      <c r="BL8" s="78"/>
      <c r="BM8" s="78"/>
      <c r="BN8" s="78"/>
      <c r="BO8" s="78"/>
      <c r="BP8" s="78"/>
      <c r="BQ8" s="78"/>
      <c r="BR8" s="78"/>
      <c r="BS8" s="54"/>
      <c r="BT8" s="54"/>
      <c r="BU8" s="54"/>
      <c r="BV8" s="54"/>
      <c r="BW8" s="54">
        <v>0</v>
      </c>
      <c r="BX8" s="54">
        <v>0</v>
      </c>
      <c r="BY8" s="54">
        <v>0</v>
      </c>
      <c r="BZ8" s="54">
        <v>0</v>
      </c>
      <c r="CA8" s="54">
        <v>0</v>
      </c>
      <c r="CB8" s="54">
        <v>18</v>
      </c>
      <c r="CC8" s="54">
        <v>46</v>
      </c>
      <c r="CD8" s="78">
        <v>94</v>
      </c>
      <c r="CE8" s="54">
        <v>122</v>
      </c>
      <c r="CF8" s="54">
        <v>158</v>
      </c>
      <c r="CG8" s="54">
        <f>+CF8+10</f>
        <v>168</v>
      </c>
      <c r="CH8" s="54">
        <f>+CG8+10</f>
        <v>178</v>
      </c>
      <c r="CI8" s="54">
        <f>+CH8+10</f>
        <v>188</v>
      </c>
      <c r="CJ8" s="54">
        <f>+CI8+10</f>
        <v>198</v>
      </c>
      <c r="CK8" s="54">
        <f>+CJ8+10</f>
        <v>208</v>
      </c>
      <c r="CL8" s="54">
        <f>+CK8+10</f>
        <v>218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</row>
    <row r="9" spans="1:125" s="27" customFormat="1" x14ac:dyDescent="0.15">
      <c r="B9" s="48" t="s">
        <v>544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78"/>
      <c r="BL9" s="78"/>
      <c r="BM9" s="78"/>
      <c r="BN9" s="78"/>
      <c r="BO9" s="78">
        <v>257</v>
      </c>
      <c r="BP9" s="78">
        <v>239</v>
      </c>
      <c r="BQ9" s="78">
        <v>216</v>
      </c>
      <c r="BR9" s="78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78">
        <v>278</v>
      </c>
      <c r="CE9" s="54">
        <v>321</v>
      </c>
      <c r="CF9" s="54">
        <v>313</v>
      </c>
      <c r="CG9" s="54">
        <f>+CC9*0.9</f>
        <v>238.5</v>
      </c>
      <c r="CH9" s="54">
        <f>+CD9*0.9</f>
        <v>250.20000000000002</v>
      </c>
      <c r="CI9" s="54">
        <f>+CE9*0.9</f>
        <v>288.90000000000003</v>
      </c>
      <c r="CJ9" s="54">
        <f>+CF9*0.9</f>
        <v>281.7</v>
      </c>
      <c r="CK9" s="54">
        <f>+CG9*0.9</f>
        <v>214.65</v>
      </c>
      <c r="CL9" s="54">
        <f>+CH9*0.9</f>
        <v>225.18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</row>
    <row r="10" spans="1:125" s="27" customFormat="1" x14ac:dyDescent="0.15">
      <c r="B10" s="48" t="s">
        <v>588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78"/>
      <c r="BL10" s="78"/>
      <c r="BM10" s="78"/>
      <c r="BN10" s="78"/>
      <c r="BO10" s="78"/>
      <c r="BP10" s="78"/>
      <c r="BQ10" s="78"/>
      <c r="BR10" s="78"/>
      <c r="BS10" s="54"/>
      <c r="BT10" s="54"/>
      <c r="BU10" s="54"/>
      <c r="BV10" s="54"/>
      <c r="BW10" s="54">
        <v>0</v>
      </c>
      <c r="BX10" s="54">
        <v>0</v>
      </c>
      <c r="BY10" s="54">
        <v>0</v>
      </c>
      <c r="BZ10" s="54">
        <v>0</v>
      </c>
      <c r="CA10" s="54">
        <v>16</v>
      </c>
      <c r="CB10" s="54">
        <v>17</v>
      </c>
      <c r="CC10" s="54">
        <v>16</v>
      </c>
      <c r="CD10" s="78">
        <v>23</v>
      </c>
      <c r="CE10" s="54">
        <v>29</v>
      </c>
      <c r="CF10" s="54">
        <v>26</v>
      </c>
      <c r="CG10" s="54">
        <f>+CF10+5</f>
        <v>31</v>
      </c>
      <c r="CH10" s="54">
        <f>+CG10+5</f>
        <v>36</v>
      </c>
      <c r="CI10" s="54">
        <f>+CH10+5</f>
        <v>41</v>
      </c>
      <c r="CJ10" s="54">
        <f>+CI10+5</f>
        <v>46</v>
      </c>
      <c r="CK10" s="54">
        <f>+CJ10+5</f>
        <v>51</v>
      </c>
      <c r="CL10" s="54">
        <f>+CK10+5</f>
        <v>56</v>
      </c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</row>
    <row r="11" spans="1:125" s="27" customFormat="1" x14ac:dyDescent="0.15">
      <c r="B11" s="48" t="s">
        <v>589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78"/>
      <c r="BL11" s="78"/>
      <c r="BM11" s="78"/>
      <c r="BN11" s="78"/>
      <c r="BO11" s="78"/>
      <c r="BP11" s="78"/>
      <c r="BQ11" s="78"/>
      <c r="BR11" s="78"/>
      <c r="BS11" s="54"/>
      <c r="BT11" s="54"/>
      <c r="BU11" s="54"/>
      <c r="BV11" s="54"/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78">
        <v>0</v>
      </c>
      <c r="CE11" s="54">
        <v>10</v>
      </c>
      <c r="CF11" s="54">
        <v>11</v>
      </c>
      <c r="CG11" s="54">
        <f t="shared" ref="CG11:CL11" si="23">+CF11+5</f>
        <v>16</v>
      </c>
      <c r="CH11" s="54">
        <f t="shared" si="23"/>
        <v>21</v>
      </c>
      <c r="CI11" s="54">
        <f t="shared" si="23"/>
        <v>26</v>
      </c>
      <c r="CJ11" s="54">
        <f t="shared" si="23"/>
        <v>31</v>
      </c>
      <c r="CK11" s="54">
        <f t="shared" si="23"/>
        <v>36</v>
      </c>
      <c r="CL11" s="54">
        <f t="shared" si="23"/>
        <v>41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</row>
    <row r="12" spans="1:125" s="27" customFormat="1" x14ac:dyDescent="0.15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24">+AF12-10</f>
        <v>500</v>
      </c>
      <c r="AH12" s="23">
        <f t="shared" si="24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78"/>
      <c r="BL12" s="78"/>
      <c r="BM12" s="78"/>
      <c r="BN12" s="78"/>
      <c r="BO12" s="78">
        <v>273</v>
      </c>
      <c r="BP12" s="78">
        <v>236</v>
      </c>
      <c r="BQ12" s="78">
        <v>205</v>
      </c>
      <c r="BR12" s="78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78">
        <v>254</v>
      </c>
      <c r="CE12" s="54">
        <v>238</v>
      </c>
      <c r="CF12" s="54">
        <v>235</v>
      </c>
      <c r="CG12" s="54">
        <f>+CB12</f>
        <v>240</v>
      </c>
      <c r="CH12" s="54">
        <f>+CC12</f>
        <v>218</v>
      </c>
      <c r="CI12" s="54">
        <f>+CD12</f>
        <v>254</v>
      </c>
      <c r="CJ12" s="54">
        <f>+CE12</f>
        <v>238</v>
      </c>
      <c r="CK12" s="54">
        <f>+CF12</f>
        <v>235</v>
      </c>
      <c r="CL12" s="54">
        <f>+CG12</f>
        <v>240</v>
      </c>
      <c r="CM12" s="54"/>
      <c r="CN12" s="23"/>
      <c r="CO12" s="23"/>
      <c r="CP12" s="23"/>
      <c r="CQ12" s="23"/>
      <c r="CR12" s="23">
        <f t="shared" ref="CR12:CR64" si="25">SUM(K12:N12)</f>
        <v>2229</v>
      </c>
      <c r="CS12" s="23">
        <f>SUM(O12:R12)</f>
        <v>2424</v>
      </c>
      <c r="CT12" s="23">
        <f t="shared" ref="CT12:CT15" si="26">SUM(S12:V12)</f>
        <v>2616</v>
      </c>
      <c r="CU12" s="23">
        <f t="shared" si="21"/>
        <v>2623</v>
      </c>
      <c r="CV12" s="23">
        <f t="shared" si="22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27">CZ12*0.8</f>
        <v>576.70771200000024</v>
      </c>
      <c r="DB12" s="23">
        <f t="shared" si="27"/>
        <v>461.36616960000021</v>
      </c>
      <c r="DC12" s="23">
        <f>+DB12*0.1</f>
        <v>46.136616960000026</v>
      </c>
    </row>
    <row r="13" spans="1:125" s="27" customFormat="1" x14ac:dyDescent="0.15">
      <c r="B13" s="48" t="s">
        <v>328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78"/>
      <c r="BL13" s="78"/>
      <c r="BM13" s="78"/>
      <c r="BN13" s="78"/>
      <c r="BO13" s="78">
        <v>246</v>
      </c>
      <c r="BP13" s="78">
        <v>226</v>
      </c>
      <c r="BQ13" s="78">
        <v>241</v>
      </c>
      <c r="BR13" s="78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78">
        <v>160</v>
      </c>
      <c r="CE13" s="54">
        <v>191</v>
      </c>
      <c r="CF13" s="54">
        <v>180</v>
      </c>
      <c r="CG13" s="54">
        <f>+CF13-5</f>
        <v>175</v>
      </c>
      <c r="CH13" s="54">
        <f>+CG13-5</f>
        <v>170</v>
      </c>
      <c r="CI13" s="54">
        <f>+CH13-5</f>
        <v>165</v>
      </c>
      <c r="CJ13" s="54">
        <f>+CI13-5</f>
        <v>160</v>
      </c>
      <c r="CK13" s="54">
        <f>+CJ13-5</f>
        <v>155</v>
      </c>
      <c r="CL13" s="54">
        <f>+CK13-5</f>
        <v>150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</row>
    <row r="14" spans="1:125" s="27" customFormat="1" x14ac:dyDescent="0.15">
      <c r="B14" s="48" t="s">
        <v>329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78"/>
      <c r="BL14" s="78"/>
      <c r="BM14" s="78"/>
      <c r="BN14" s="78"/>
      <c r="BO14" s="78">
        <v>214</v>
      </c>
      <c r="BP14" s="78">
        <v>199</v>
      </c>
      <c r="BQ14" s="78">
        <v>204</v>
      </c>
      <c r="BR14" s="78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78">
        <v>242</v>
      </c>
      <c r="CE14" s="54">
        <v>253</v>
      </c>
      <c r="CF14" s="54">
        <v>273</v>
      </c>
      <c r="CG14" s="54">
        <f>+CC14*1.01</f>
        <v>255.53</v>
      </c>
      <c r="CH14" s="54">
        <f>+CD14*1.01</f>
        <v>244.42000000000002</v>
      </c>
      <c r="CI14" s="54">
        <f>+CE14*1.01</f>
        <v>255.53</v>
      </c>
      <c r="CJ14" s="54">
        <f>+CF14*1.01</f>
        <v>275.73</v>
      </c>
      <c r="CK14" s="54">
        <f>+CG14*1.01</f>
        <v>258.08530000000002</v>
      </c>
      <c r="CL14" s="54">
        <f>+CH14*1.01</f>
        <v>246.86420000000001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</row>
    <row r="15" spans="1:125" s="27" customFormat="1" x14ac:dyDescent="0.15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28">+AF15</f>
        <v>343</v>
      </c>
      <c r="AH15" s="23">
        <f t="shared" si="28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78"/>
      <c r="BL15" s="78"/>
      <c r="BM15" s="78"/>
      <c r="BN15" s="78"/>
      <c r="BO15" s="78">
        <v>174</v>
      </c>
      <c r="BP15" s="78">
        <v>132</v>
      </c>
      <c r="BQ15" s="78">
        <v>133</v>
      </c>
      <c r="BR15" s="78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78">
        <v>106</v>
      </c>
      <c r="CE15" s="54">
        <v>105</v>
      </c>
      <c r="CF15" s="54">
        <v>108</v>
      </c>
      <c r="CG15" s="54">
        <f>+CC15*0.9</f>
        <v>87.3</v>
      </c>
      <c r="CH15" s="54">
        <f>+CD15*0.9</f>
        <v>95.4</v>
      </c>
      <c r="CI15" s="54">
        <f>+CE15*0.9</f>
        <v>94.5</v>
      </c>
      <c r="CJ15" s="54">
        <f>+CF15*0.9</f>
        <v>97.2</v>
      </c>
      <c r="CK15" s="54">
        <f>+CG15*0.9</f>
        <v>78.569999999999993</v>
      </c>
      <c r="CL15" s="54">
        <f>+CH15*0.9</f>
        <v>85.860000000000014</v>
      </c>
      <c r="CM15" s="54"/>
      <c r="CN15" s="23"/>
      <c r="CO15" s="23"/>
      <c r="CP15" s="23"/>
      <c r="CQ15" s="23"/>
      <c r="CR15" s="23">
        <f t="shared" si="25"/>
        <v>1015</v>
      </c>
      <c r="CS15" s="23">
        <f t="shared" ref="CS15:CS47" si="29">SUM(O15:R15)</f>
        <v>1080</v>
      </c>
      <c r="CT15" s="23">
        <f t="shared" si="26"/>
        <v>1202</v>
      </c>
      <c r="CU15" s="23">
        <f t="shared" si="21"/>
        <v>1236</v>
      </c>
      <c r="CV15" s="23">
        <f t="shared" si="22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30">CX15*0.8</f>
        <v>424.6400000000001</v>
      </c>
      <c r="CZ15" s="23">
        <f t="shared" si="30"/>
        <v>339.7120000000001</v>
      </c>
      <c r="DA15" s="23">
        <f t="shared" si="30"/>
        <v>271.76960000000008</v>
      </c>
      <c r="DB15" s="23">
        <f t="shared" si="30"/>
        <v>217.41568000000007</v>
      </c>
      <c r="DC15" s="23">
        <f t="shared" si="30"/>
        <v>173.93254400000006</v>
      </c>
    </row>
    <row r="16" spans="1:125" s="27" customFormat="1" x14ac:dyDescent="0.15">
      <c r="B16" s="48" t="s">
        <v>327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78"/>
      <c r="BL16" s="78"/>
      <c r="BM16" s="78"/>
      <c r="BN16" s="78"/>
      <c r="BO16" s="78">
        <v>189</v>
      </c>
      <c r="BP16" s="78">
        <v>179</v>
      </c>
      <c r="BQ16" s="78">
        <v>162</v>
      </c>
      <c r="BR16" s="78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78">
        <v>134</v>
      </c>
      <c r="CE16" s="54">
        <v>214</v>
      </c>
      <c r="CF16" s="54">
        <v>193</v>
      </c>
      <c r="CG16" s="54">
        <f>+CC16</f>
        <v>176</v>
      </c>
      <c r="CH16" s="54">
        <f>+CD16</f>
        <v>134</v>
      </c>
      <c r="CI16" s="54">
        <f>+CE16</f>
        <v>214</v>
      </c>
      <c r="CJ16" s="54">
        <f>+CF16</f>
        <v>193</v>
      </c>
      <c r="CK16" s="54">
        <f>+CG16</f>
        <v>176</v>
      </c>
      <c r="CL16" s="54">
        <f>+CH16</f>
        <v>134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</row>
    <row r="17" spans="2:109" s="27" customFormat="1" x14ac:dyDescent="0.15">
      <c r="B17" s="48" t="s">
        <v>541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78"/>
      <c r="BL17" s="78"/>
      <c r="BM17" s="78"/>
      <c r="BN17" s="78"/>
      <c r="BO17" s="78">
        <v>161</v>
      </c>
      <c r="BP17" s="78">
        <v>169</v>
      </c>
      <c r="BQ17" s="78">
        <v>152</v>
      </c>
      <c r="BR17" s="78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78">
        <v>103</v>
      </c>
      <c r="CE17" s="54">
        <v>86</v>
      </c>
      <c r="CF17" s="54">
        <v>105</v>
      </c>
      <c r="CG17" s="54"/>
      <c r="CH17" s="54"/>
      <c r="CI17" s="54"/>
      <c r="CJ17" s="54"/>
      <c r="CK17" s="54"/>
      <c r="CL17" s="54"/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</row>
    <row r="18" spans="2:109" s="27" customFormat="1" x14ac:dyDescent="0.15">
      <c r="B18" s="48" t="s">
        <v>542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78"/>
      <c r="BL18" s="78"/>
      <c r="BM18" s="78"/>
      <c r="BN18" s="78"/>
      <c r="BO18" s="78">
        <v>109</v>
      </c>
      <c r="BP18" s="78">
        <v>117</v>
      </c>
      <c r="BQ18" s="78">
        <v>109</v>
      </c>
      <c r="BR18" s="78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78">
        <v>142</v>
      </c>
      <c r="CE18" s="54">
        <v>130</v>
      </c>
      <c r="CF18" s="54">
        <v>141</v>
      </c>
      <c r="CG18" s="54"/>
      <c r="CH18" s="54"/>
      <c r="CI18" s="54"/>
      <c r="CJ18" s="54"/>
      <c r="CK18" s="54"/>
      <c r="CL18" s="54"/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</row>
    <row r="19" spans="2:109" s="27" customFormat="1" x14ac:dyDescent="0.15">
      <c r="B19" s="48" t="s">
        <v>299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78"/>
      <c r="BL19" s="78"/>
      <c r="BM19" s="78"/>
      <c r="BN19" s="78"/>
      <c r="BO19" s="78">
        <v>138</v>
      </c>
      <c r="BP19" s="78">
        <v>133</v>
      </c>
      <c r="BQ19" s="78">
        <v>134</v>
      </c>
      <c r="BR19" s="78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78">
        <v>77</v>
      </c>
      <c r="CE19" s="54">
        <v>68</v>
      </c>
      <c r="CF19" s="54">
        <v>73</v>
      </c>
      <c r="CG19" s="54"/>
      <c r="CH19" s="54"/>
      <c r="CI19" s="54"/>
      <c r="CJ19" s="54"/>
      <c r="CK19" s="54"/>
      <c r="CL19" s="54"/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</row>
    <row r="20" spans="2:109" x14ac:dyDescent="0.15">
      <c r="B20" s="19" t="s">
        <v>359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78"/>
      <c r="BL20" s="78"/>
      <c r="BM20" s="78"/>
      <c r="BN20" s="78"/>
      <c r="BO20" s="78">
        <v>85</v>
      </c>
      <c r="BP20" s="78">
        <v>64</v>
      </c>
      <c r="BQ20" s="78">
        <v>87</v>
      </c>
      <c r="BR20" s="78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78">
        <v>112</v>
      </c>
      <c r="CE20" s="54">
        <v>117</v>
      </c>
      <c r="CF20" s="54">
        <v>129</v>
      </c>
      <c r="CG20" s="54"/>
      <c r="CH20" s="54"/>
      <c r="CI20" s="54"/>
      <c r="CJ20" s="54"/>
      <c r="CK20" s="54"/>
      <c r="CL20" s="54"/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</row>
    <row r="21" spans="2:109" s="27" customFormat="1" x14ac:dyDescent="0.15">
      <c r="B21" s="48" t="s">
        <v>535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78"/>
      <c r="BL21" s="78"/>
      <c r="BM21" s="78"/>
      <c r="BN21" s="78"/>
      <c r="BO21" s="78">
        <v>55</v>
      </c>
      <c r="BP21" s="78">
        <v>62</v>
      </c>
      <c r="BQ21" s="78">
        <v>59</v>
      </c>
      <c r="BR21" s="78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78">
        <v>105</v>
      </c>
      <c r="CE21" s="54">
        <v>87</v>
      </c>
      <c r="CF21" s="54">
        <v>102</v>
      </c>
      <c r="CG21" s="54"/>
      <c r="CH21" s="54"/>
      <c r="CI21" s="54"/>
      <c r="CJ21" s="54"/>
      <c r="CK21" s="54"/>
      <c r="CL21" s="54"/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</row>
    <row r="22" spans="2:109" x14ac:dyDescent="0.15">
      <c r="B22" s="19" t="s">
        <v>303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31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78"/>
      <c r="BL22" s="78"/>
      <c r="BM22" s="78"/>
      <c r="BN22" s="78"/>
      <c r="BO22" s="78">
        <v>81</v>
      </c>
      <c r="BP22" s="78">
        <v>73</v>
      </c>
      <c r="BQ22" s="78">
        <v>79</v>
      </c>
      <c r="BR22" s="78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78">
        <v>87</v>
      </c>
      <c r="CE22" s="54">
        <v>78</v>
      </c>
      <c r="CF22" s="54">
        <v>84</v>
      </c>
      <c r="CG22" s="54"/>
      <c r="CH22" s="54"/>
      <c r="CI22" s="54"/>
      <c r="CJ22" s="54"/>
      <c r="CK22" s="54"/>
      <c r="CL22" s="54"/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</row>
    <row r="23" spans="2:109" s="27" customFormat="1" x14ac:dyDescent="0.15">
      <c r="B23" s="48" t="s">
        <v>352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78"/>
      <c r="BL23" s="78"/>
      <c r="BM23" s="78"/>
      <c r="BN23" s="78"/>
      <c r="BO23" s="78">
        <v>67</v>
      </c>
      <c r="BP23" s="78">
        <v>55</v>
      </c>
      <c r="BQ23" s="78">
        <v>55</v>
      </c>
      <c r="BR23" s="78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78">
        <v>62</v>
      </c>
      <c r="CE23" s="54">
        <v>83</v>
      </c>
      <c r="CF23" s="54">
        <v>78</v>
      </c>
      <c r="CG23" s="54"/>
      <c r="CH23" s="54"/>
      <c r="CI23" s="54"/>
      <c r="CJ23" s="54"/>
      <c r="CK23" s="54"/>
      <c r="CL23" s="54"/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</row>
    <row r="24" spans="2:109" s="27" customFormat="1" x14ac:dyDescent="0.15">
      <c r="B24" s="48" t="s">
        <v>546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78"/>
      <c r="BL24" s="78"/>
      <c r="BM24" s="78"/>
      <c r="BN24" s="78"/>
      <c r="BO24" s="78">
        <v>73</v>
      </c>
      <c r="BP24" s="78">
        <v>73</v>
      </c>
      <c r="BQ24" s="78">
        <v>50</v>
      </c>
      <c r="BR24" s="78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78">
        <v>118</v>
      </c>
      <c r="CE24" s="54">
        <v>121</v>
      </c>
      <c r="CF24" s="54">
        <v>126</v>
      </c>
      <c r="CG24" s="54"/>
      <c r="CH24" s="54"/>
      <c r="CI24" s="54"/>
      <c r="CJ24" s="54"/>
      <c r="CK24" s="54"/>
      <c r="CL24" s="54"/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</row>
    <row r="25" spans="2:109" s="27" customFormat="1" x14ac:dyDescent="0.15">
      <c r="B25" s="48" t="s">
        <v>537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78"/>
      <c r="BL25" s="78"/>
      <c r="BM25" s="78"/>
      <c r="BN25" s="78"/>
      <c r="BO25" s="78">
        <v>58</v>
      </c>
      <c r="BP25" s="78">
        <v>57</v>
      </c>
      <c r="BQ25" s="78">
        <v>60</v>
      </c>
      <c r="BR25" s="78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78">
        <v>75</v>
      </c>
      <c r="CE25" s="54">
        <v>83</v>
      </c>
      <c r="CF25" s="54">
        <v>82</v>
      </c>
      <c r="CG25" s="54"/>
      <c r="CH25" s="54"/>
      <c r="CI25" s="54"/>
      <c r="CJ25" s="54"/>
      <c r="CK25" s="54"/>
      <c r="CL25" s="54"/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</row>
    <row r="26" spans="2:109" s="27" customFormat="1" x14ac:dyDescent="0.15">
      <c r="B26" s="48" t="s">
        <v>538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78"/>
      <c r="BL26" s="78"/>
      <c r="BM26" s="78"/>
      <c r="BN26" s="78"/>
      <c r="BO26" s="78">
        <v>1</v>
      </c>
      <c r="BP26" s="78">
        <v>4</v>
      </c>
      <c r="BQ26" s="78">
        <v>13</v>
      </c>
      <c r="BR26" s="78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78">
        <v>103</v>
      </c>
      <c r="CE26" s="54">
        <v>106</v>
      </c>
      <c r="CF26" s="54">
        <v>121</v>
      </c>
      <c r="CG26" s="54"/>
      <c r="CH26" s="54"/>
      <c r="CI26" s="54"/>
      <c r="CJ26" s="54"/>
      <c r="CK26" s="54"/>
      <c r="CL26" s="54"/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</row>
    <row r="27" spans="2:109" x14ac:dyDescent="0.15">
      <c r="B27" s="19" t="s">
        <v>354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78"/>
      <c r="BL27" s="78"/>
      <c r="BM27" s="78"/>
      <c r="BN27" s="78"/>
      <c r="BO27" s="78">
        <v>54</v>
      </c>
      <c r="BP27" s="78">
        <v>45</v>
      </c>
      <c r="BQ27" s="78">
        <v>56</v>
      </c>
      <c r="BR27" s="78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78">
        <v>33</v>
      </c>
      <c r="CE27" s="54">
        <v>25</v>
      </c>
      <c r="CF27" s="54">
        <v>21</v>
      </c>
      <c r="CG27" s="54"/>
      <c r="CH27" s="54"/>
      <c r="CI27" s="54"/>
      <c r="CJ27" s="54"/>
      <c r="CK27" s="54"/>
      <c r="CL27" s="54"/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</row>
    <row r="28" spans="2:109" s="27" customFormat="1" x14ac:dyDescent="0.15">
      <c r="B28" s="48" t="s">
        <v>545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78"/>
      <c r="BL28" s="78"/>
      <c r="BM28" s="78"/>
      <c r="BN28" s="78"/>
      <c r="BO28" s="78">
        <v>37</v>
      </c>
      <c r="BP28" s="78">
        <v>38</v>
      </c>
      <c r="BQ28" s="78">
        <v>40</v>
      </c>
      <c r="BR28" s="78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78">
        <v>61</v>
      </c>
      <c r="CE28" s="54">
        <v>58</v>
      </c>
      <c r="CF28" s="54">
        <v>56</v>
      </c>
      <c r="CG28" s="54"/>
      <c r="CH28" s="54"/>
      <c r="CI28" s="54"/>
      <c r="CJ28" s="54"/>
      <c r="CK28" s="54"/>
      <c r="CL28" s="54"/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</row>
    <row r="29" spans="2:109" s="27" customFormat="1" x14ac:dyDescent="0.15">
      <c r="B29" s="48" t="s">
        <v>543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78"/>
      <c r="BL29" s="78"/>
      <c r="BM29" s="78"/>
      <c r="BN29" s="78"/>
      <c r="BO29" s="78">
        <v>24</v>
      </c>
      <c r="BP29" s="78">
        <v>28</v>
      </c>
      <c r="BQ29" s="78">
        <v>31</v>
      </c>
      <c r="BR29" s="78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78">
        <v>58</v>
      </c>
      <c r="CE29" s="54">
        <v>59</v>
      </c>
      <c r="CF29" s="54">
        <v>54</v>
      </c>
      <c r="CG29" s="54"/>
      <c r="CH29" s="54"/>
      <c r="CI29" s="54"/>
      <c r="CJ29" s="54"/>
      <c r="CK29" s="54"/>
      <c r="CL29" s="54"/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</row>
    <row r="30" spans="2:109" s="27" customFormat="1" x14ac:dyDescent="0.15">
      <c r="B30" s="48" t="s">
        <v>584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78"/>
      <c r="BL30" s="78"/>
      <c r="BM30" s="78"/>
      <c r="BN30" s="78"/>
      <c r="BO30" s="78"/>
      <c r="BP30" s="78"/>
      <c r="BQ30" s="78"/>
      <c r="BR30" s="78"/>
      <c r="BS30" s="54"/>
      <c r="BT30" s="54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78">
        <v>26</v>
      </c>
      <c r="CE30" s="54">
        <v>35</v>
      </c>
      <c r="CF30" s="54">
        <v>37</v>
      </c>
      <c r="CG30" s="54"/>
      <c r="CH30" s="54"/>
      <c r="CI30" s="54"/>
      <c r="CJ30" s="54"/>
      <c r="CK30" s="54"/>
      <c r="CL30" s="54"/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</row>
    <row r="31" spans="2:109" s="27" customFormat="1" x14ac:dyDescent="0.15">
      <c r="B31" s="48" t="s">
        <v>539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78"/>
      <c r="BL31" s="78"/>
      <c r="BM31" s="78"/>
      <c r="BN31" s="78"/>
      <c r="BO31" s="78">
        <v>35</v>
      </c>
      <c r="BP31" s="78">
        <v>37</v>
      </c>
      <c r="BQ31" s="78">
        <v>42</v>
      </c>
      <c r="BR31" s="78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78">
        <v>40</v>
      </c>
      <c r="CE31" s="54">
        <v>42</v>
      </c>
      <c r="CF31" s="54">
        <v>44</v>
      </c>
      <c r="CG31" s="54"/>
      <c r="CH31" s="54"/>
      <c r="CI31" s="54"/>
      <c r="CJ31" s="54"/>
      <c r="CK31" s="54"/>
      <c r="CL31" s="54"/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</row>
    <row r="32" spans="2:109" s="27" customFormat="1" x14ac:dyDescent="0.15">
      <c r="B32" s="48" t="s">
        <v>547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78"/>
      <c r="BL32" s="78"/>
      <c r="BM32" s="78"/>
      <c r="BN32" s="78"/>
      <c r="BO32" s="78">
        <v>0</v>
      </c>
      <c r="BP32" s="78">
        <v>0</v>
      </c>
      <c r="BQ32" s="78">
        <v>0</v>
      </c>
      <c r="BR32" s="78">
        <v>0</v>
      </c>
      <c r="BS32" s="54">
        <v>0</v>
      </c>
      <c r="BT32" s="54">
        <v>0</v>
      </c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78">
        <v>86</v>
      </c>
      <c r="CE32" s="54">
        <v>93</v>
      </c>
      <c r="CF32" s="54">
        <v>114</v>
      </c>
      <c r="CG32" s="54"/>
      <c r="CH32" s="54"/>
      <c r="CI32" s="54"/>
      <c r="CJ32" s="54"/>
      <c r="CK32" s="54"/>
      <c r="CL32" s="54"/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</row>
    <row r="33" spans="2:107" s="27" customFormat="1" x14ac:dyDescent="0.15">
      <c r="B33" s="48" t="s">
        <v>540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78"/>
      <c r="BL33" s="78"/>
      <c r="BM33" s="78"/>
      <c r="BN33" s="78"/>
      <c r="BO33" s="78">
        <v>12</v>
      </c>
      <c r="BP33" s="78">
        <v>15</v>
      </c>
      <c r="BQ33" s="78">
        <v>21</v>
      </c>
      <c r="BR33" s="78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78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07" s="27" customFormat="1" x14ac:dyDescent="0.15">
      <c r="B34" s="48" t="s">
        <v>536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78"/>
      <c r="BL34" s="78"/>
      <c r="BM34" s="78"/>
      <c r="BN34" s="78"/>
      <c r="BO34" s="78">
        <v>0</v>
      </c>
      <c r="BP34" s="78">
        <v>0</v>
      </c>
      <c r="BQ34" s="78">
        <v>0</v>
      </c>
      <c r="BR34" s="78">
        <v>0</v>
      </c>
      <c r="BS34" s="54">
        <v>0</v>
      </c>
      <c r="BT34" s="54">
        <v>0</v>
      </c>
      <c r="BU34" s="54">
        <v>0</v>
      </c>
      <c r="BV34" s="54">
        <v>15</v>
      </c>
      <c r="BW34" s="54">
        <v>30</v>
      </c>
      <c r="BX34" s="54">
        <v>43</v>
      </c>
      <c r="BY34" s="54">
        <v>58</v>
      </c>
      <c r="BZ34" s="54">
        <v>65</v>
      </c>
      <c r="CA34" s="54">
        <v>81</v>
      </c>
      <c r="CB34" s="54">
        <v>103</v>
      </c>
      <c r="CC34" s="54">
        <v>110</v>
      </c>
      <c r="CD34" s="78">
        <v>131</v>
      </c>
      <c r="CE34" s="54">
        <v>152</v>
      </c>
      <c r="CF34" s="54">
        <v>168</v>
      </c>
      <c r="CG34" s="54"/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32"/>
      <c r="CW34" s="23"/>
      <c r="CX34" s="23"/>
      <c r="CY34" s="23"/>
      <c r="CZ34" s="23"/>
      <c r="DA34" s="23"/>
      <c r="DB34" s="23"/>
      <c r="DC34" s="23"/>
    </row>
    <row r="35" spans="2:107" s="27" customFormat="1" x14ac:dyDescent="0.15">
      <c r="B35" s="48" t="s">
        <v>501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>
        <v>6</v>
      </c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78"/>
      <c r="BL35" s="78"/>
      <c r="BM35" s="78"/>
      <c r="BN35" s="78"/>
      <c r="BO35" s="78">
        <v>49</v>
      </c>
      <c r="BP35" s="78">
        <v>19</v>
      </c>
      <c r="BQ35" s="78">
        <v>24</v>
      </c>
      <c r="BR35" s="78">
        <v>21</v>
      </c>
      <c r="BS35" s="54">
        <v>24</v>
      </c>
      <c r="BT35" s="54">
        <v>19</v>
      </c>
      <c r="BU35" s="54">
        <v>20</v>
      </c>
      <c r="BV35" s="54">
        <v>19</v>
      </c>
      <c r="BW35" s="54">
        <v>25</v>
      </c>
      <c r="BX35" s="54">
        <v>20</v>
      </c>
      <c r="BY35" s="54">
        <v>18</v>
      </c>
      <c r="BZ35" s="54">
        <v>17</v>
      </c>
      <c r="CA35" s="54"/>
      <c r="CB35" s="54"/>
      <c r="CC35" s="54"/>
      <c r="CD35" s="78"/>
      <c r="CE35" s="54"/>
      <c r="CF35" s="54"/>
      <c r="CG35" s="54"/>
      <c r="CH35" s="54"/>
      <c r="CI35" s="54"/>
      <c r="CJ35" s="54"/>
      <c r="CK35" s="54"/>
      <c r="CL35" s="54"/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</row>
    <row r="36" spans="2:107" s="27" customFormat="1" x14ac:dyDescent="0.15">
      <c r="B36" s="48" t="s">
        <v>495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>
        <v>63</v>
      </c>
      <c r="AO36" s="56">
        <v>59</v>
      </c>
      <c r="AP36" s="23"/>
      <c r="AQ36" s="23"/>
      <c r="AR36" s="56">
        <v>64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78"/>
      <c r="BL36" s="78"/>
      <c r="BM36" s="78"/>
      <c r="BN36" s="78"/>
      <c r="BO36" s="78">
        <f>794-67-214-246-58-189</f>
        <v>20</v>
      </c>
      <c r="BP36" s="78">
        <f>738-55-199-226-57-179</f>
        <v>22</v>
      </c>
      <c r="BQ36" s="78">
        <f>745-55-204-241-60-162</f>
        <v>23</v>
      </c>
      <c r="BR36" s="78">
        <v>23</v>
      </c>
      <c r="BS36" s="54">
        <v>21</v>
      </c>
      <c r="BT36" s="54">
        <v>24</v>
      </c>
      <c r="BU36" s="54">
        <v>24</v>
      </c>
      <c r="BV36" s="54">
        <v>15</v>
      </c>
      <c r="BW36" s="54">
        <v>18</v>
      </c>
      <c r="BX36" s="54">
        <f>3+20</f>
        <v>23</v>
      </c>
      <c r="BY36" s="54">
        <f>336-52-151-126+900-69-240-58-255-78-181</f>
        <v>26</v>
      </c>
      <c r="BZ36" s="54">
        <f>850-BZ34-BZ23-BZ16-BZ25-BZ13-BZ14</f>
        <v>34</v>
      </c>
      <c r="CA36" s="54"/>
      <c r="CB36" s="54"/>
      <c r="CC36" s="54"/>
      <c r="CD36" s="78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07" s="27" customFormat="1" x14ac:dyDescent="0.15">
      <c r="B37" s="58" t="s">
        <v>228</v>
      </c>
      <c r="C37" s="23"/>
      <c r="D37" s="23"/>
      <c r="E37" s="23"/>
      <c r="F37" s="23"/>
      <c r="G37" s="23"/>
      <c r="H37" s="23"/>
      <c r="I37" s="23"/>
      <c r="J37" s="23"/>
      <c r="K37" s="23">
        <v>121</v>
      </c>
      <c r="L37" s="23">
        <v>119</v>
      </c>
      <c r="M37" s="23">
        <v>106</v>
      </c>
      <c r="N37" s="23">
        <v>105</v>
      </c>
      <c r="O37" s="23">
        <f>197-P37</f>
        <v>94</v>
      </c>
      <c r="P37" s="23">
        <v>103</v>
      </c>
      <c r="Q37" s="23">
        <v>94</v>
      </c>
      <c r="R37" s="23">
        <v>101</v>
      </c>
      <c r="S37" s="23">
        <v>92</v>
      </c>
      <c r="T37" s="23">
        <v>95</v>
      </c>
      <c r="U37" s="23">
        <v>94</v>
      </c>
      <c r="V37" s="23">
        <v>106</v>
      </c>
      <c r="W37" s="23">
        <v>100</v>
      </c>
      <c r="X37" s="23">
        <f>207-W37</f>
        <v>107</v>
      </c>
      <c r="Y37" s="23">
        <v>103</v>
      </c>
      <c r="Z37" s="23">
        <v>106</v>
      </c>
      <c r="AA37" s="23">
        <v>108</v>
      </c>
      <c r="AB37" s="23">
        <v>126</v>
      </c>
      <c r="AC37" s="23">
        <v>121</v>
      </c>
      <c r="AD37" s="23">
        <v>123</v>
      </c>
      <c r="AE37" s="23">
        <v>108</v>
      </c>
      <c r="AF37" s="23">
        <v>109</v>
      </c>
      <c r="AG37" s="23">
        <f>+AF37-5</f>
        <v>104</v>
      </c>
      <c r="AH37" s="23">
        <f>+AG37-5</f>
        <v>99</v>
      </c>
      <c r="AI37" s="23"/>
      <c r="AJ37" s="23"/>
      <c r="AK37" s="23"/>
      <c r="AL37" s="23"/>
      <c r="AM37" s="23"/>
      <c r="AN37" s="23">
        <v>99</v>
      </c>
      <c r="AO37" s="56">
        <v>91</v>
      </c>
      <c r="AP37" s="23"/>
      <c r="AQ37" s="23"/>
      <c r="AR37" s="56">
        <v>96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78"/>
      <c r="BL37" s="78"/>
      <c r="BM37" s="78"/>
      <c r="BN37" s="78"/>
      <c r="BO37" s="78"/>
      <c r="BP37" s="78"/>
      <c r="BQ37" s="78"/>
      <c r="BR37" s="78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78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>
        <f>SUM(K37:N37)</f>
        <v>451</v>
      </c>
      <c r="CS37" s="23">
        <f>SUM(O37:R37)</f>
        <v>392</v>
      </c>
      <c r="CT37" s="23">
        <f>SUM(S37:V37)</f>
        <v>387</v>
      </c>
      <c r="CU37" s="23">
        <f>SUM(W37:Z37)</f>
        <v>416</v>
      </c>
      <c r="CV37" s="23">
        <f>SUM(AA37:AD37)</f>
        <v>478</v>
      </c>
      <c r="CW37" s="23">
        <f t="shared" ref="CW37:DC37" si="32">CV37*0.9</f>
        <v>430.2</v>
      </c>
      <c r="CX37" s="23">
        <f t="shared" si="32"/>
        <v>387.18</v>
      </c>
      <c r="CY37" s="23">
        <f t="shared" si="32"/>
        <v>348.46199999999999</v>
      </c>
      <c r="CZ37" s="23">
        <f t="shared" si="32"/>
        <v>313.61579999999998</v>
      </c>
      <c r="DA37" s="23">
        <f t="shared" si="32"/>
        <v>282.25421999999998</v>
      </c>
      <c r="DB37" s="23">
        <f t="shared" si="32"/>
        <v>254.02879799999999</v>
      </c>
      <c r="DC37" s="23">
        <f t="shared" si="32"/>
        <v>228.6259182</v>
      </c>
    </row>
    <row r="38" spans="2:107" s="27" customFormat="1" x14ac:dyDescent="0.15">
      <c r="B38" s="48" t="s">
        <v>343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>
        <v>89</v>
      </c>
      <c r="AG38" s="23"/>
      <c r="AH38" s="23"/>
      <c r="AI38" s="23"/>
      <c r="AJ38" s="23"/>
      <c r="AK38" s="23"/>
      <c r="AL38" s="23"/>
      <c r="AM38" s="23"/>
      <c r="AN38" s="23">
        <v>105</v>
      </c>
      <c r="AO38" s="56">
        <v>90</v>
      </c>
      <c r="AP38" s="23"/>
      <c r="AQ38" s="23"/>
      <c r="AR38" s="56">
        <v>93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78"/>
      <c r="BL38" s="78"/>
      <c r="BM38" s="78"/>
      <c r="BN38" s="78"/>
      <c r="BO38" s="78">
        <v>58</v>
      </c>
      <c r="BP38" s="78">
        <v>38</v>
      </c>
      <c r="BQ38" s="78">
        <v>56</v>
      </c>
      <c r="BR38" s="78">
        <v>40</v>
      </c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78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/>
      <c r="CS38" s="23"/>
      <c r="CT38" s="23"/>
      <c r="CU38" s="32"/>
      <c r="CV38" s="32"/>
      <c r="CW38" s="23"/>
      <c r="CX38" s="23"/>
      <c r="CY38" s="23"/>
      <c r="CZ38" s="23"/>
      <c r="DA38" s="23"/>
      <c r="DB38" s="23"/>
      <c r="DC38" s="23"/>
    </row>
    <row r="39" spans="2:107" s="27" customFormat="1" x14ac:dyDescent="0.15">
      <c r="B39" s="27" t="s">
        <v>214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>
        <v>31</v>
      </c>
      <c r="X39" s="23">
        <f>66-W39</f>
        <v>35</v>
      </c>
      <c r="Y39" s="23">
        <v>34</v>
      </c>
      <c r="Z39" s="23">
        <v>37</v>
      </c>
      <c r="AA39" s="23">
        <v>39</v>
      </c>
      <c r="AB39" s="23">
        <v>44</v>
      </c>
      <c r="AC39" s="23">
        <v>45</v>
      </c>
      <c r="AD39" s="23">
        <v>49</v>
      </c>
      <c r="AE39" s="23">
        <v>49</v>
      </c>
      <c r="AF39" s="23">
        <v>53</v>
      </c>
      <c r="AG39" s="23">
        <f>+AF39</f>
        <v>53</v>
      </c>
      <c r="AH39" s="23">
        <f>+AG39</f>
        <v>53</v>
      </c>
      <c r="AI39" s="23"/>
      <c r="AJ39" s="23"/>
      <c r="AK39" s="23"/>
      <c r="AL39" s="23"/>
      <c r="AM39" s="23"/>
      <c r="AN39" s="23">
        <v>68</v>
      </c>
      <c r="AO39" s="56">
        <v>73</v>
      </c>
      <c r="AP39" s="23"/>
      <c r="AQ39" s="23"/>
      <c r="AR39" s="56">
        <v>77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78"/>
      <c r="BL39" s="78"/>
      <c r="BM39" s="78"/>
      <c r="BN39" s="78"/>
      <c r="BO39" s="78">
        <v>89</v>
      </c>
      <c r="BP39" s="78">
        <v>84</v>
      </c>
      <c r="BQ39" s="78">
        <v>79</v>
      </c>
      <c r="BR39" s="78">
        <v>80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78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23">
        <f>SUM(W39:Z39)</f>
        <v>137</v>
      </c>
      <c r="CV39" s="23">
        <f>SUM(AA39:AD39)</f>
        <v>177</v>
      </c>
      <c r="CW39" s="23">
        <f t="shared" ref="CW39:DB39" si="33">CV39*1.02</f>
        <v>180.54</v>
      </c>
      <c r="CX39" s="23">
        <f t="shared" si="33"/>
        <v>184.1508</v>
      </c>
      <c r="CY39" s="23">
        <f t="shared" si="33"/>
        <v>187.83381600000001</v>
      </c>
      <c r="CZ39" s="23">
        <f t="shared" si="33"/>
        <v>191.59049232000001</v>
      </c>
      <c r="DA39" s="23">
        <f t="shared" si="33"/>
        <v>195.42230216640002</v>
      </c>
      <c r="DB39" s="23">
        <f t="shared" si="33"/>
        <v>199.33074820972803</v>
      </c>
      <c r="DC39" s="23">
        <f t="shared" ref="DC39" si="34">DB39*1.02</f>
        <v>203.31736317392259</v>
      </c>
    </row>
    <row r="40" spans="2:107" x14ac:dyDescent="0.15">
      <c r="B40" s="1" t="s">
        <v>61</v>
      </c>
      <c r="K40" s="23">
        <v>429</v>
      </c>
      <c r="L40" s="23">
        <v>445</v>
      </c>
      <c r="M40" s="23">
        <v>417</v>
      </c>
      <c r="N40" s="23">
        <v>402</v>
      </c>
      <c r="O40" s="23">
        <f>773-P40</f>
        <v>393</v>
      </c>
      <c r="P40" s="23">
        <v>380</v>
      </c>
      <c r="Q40" s="23">
        <v>383</v>
      </c>
      <c r="R40" s="23">
        <v>365</v>
      </c>
      <c r="S40" s="23">
        <v>342</v>
      </c>
      <c r="T40" s="23">
        <v>326</v>
      </c>
      <c r="U40" s="23">
        <v>325</v>
      </c>
      <c r="V40" s="23">
        <v>355</v>
      </c>
      <c r="W40" s="23">
        <v>344</v>
      </c>
      <c r="X40" s="23">
        <f>697-W40</f>
        <v>353</v>
      </c>
      <c r="Y40" s="23">
        <v>193</v>
      </c>
      <c r="Z40" s="23">
        <v>67</v>
      </c>
      <c r="AA40" s="23">
        <v>66</v>
      </c>
      <c r="AB40" s="23">
        <v>94</v>
      </c>
      <c r="AC40" s="23">
        <v>120</v>
      </c>
      <c r="AD40" s="23">
        <v>147</v>
      </c>
      <c r="AE40" s="23">
        <v>188</v>
      </c>
      <c r="AF40" s="23">
        <v>248</v>
      </c>
      <c r="AG40" s="23">
        <f t="shared" ref="AG40:AH40" si="35">+AF40</f>
        <v>248</v>
      </c>
      <c r="AH40" s="23">
        <f t="shared" si="35"/>
        <v>248</v>
      </c>
      <c r="AI40" s="23"/>
      <c r="AJ40" s="23"/>
      <c r="AK40" s="23"/>
      <c r="AL40" s="23"/>
      <c r="AM40" s="23"/>
      <c r="AN40" s="23">
        <v>60</v>
      </c>
      <c r="AO40" s="56">
        <v>50</v>
      </c>
      <c r="AP40" s="23"/>
      <c r="AQ40" s="23"/>
      <c r="AR40" s="56">
        <v>47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78"/>
      <c r="BL40" s="78"/>
      <c r="BM40" s="78"/>
      <c r="BN40" s="78"/>
      <c r="BO40" s="78">
        <v>47</v>
      </c>
      <c r="BP40" s="78">
        <v>47</v>
      </c>
      <c r="BQ40" s="78">
        <v>52</v>
      </c>
      <c r="BR40" s="78">
        <v>52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78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P40" s="23"/>
      <c r="CQ40" s="23"/>
      <c r="CR40" s="23">
        <f>SUM(K40:N40)</f>
        <v>1693</v>
      </c>
      <c r="CS40" s="23">
        <f>SUM(O40:R40)</f>
        <v>1521</v>
      </c>
      <c r="CT40" s="23">
        <f t="shared" ref="CT40:CT47" si="36">SUM(S40:V40)</f>
        <v>1348</v>
      </c>
      <c r="CU40" s="23">
        <f>SUM(W40:Z40)</f>
        <v>957</v>
      </c>
      <c r="CV40" s="23">
        <f>SUM(AA40:AD40)</f>
        <v>427</v>
      </c>
      <c r="CW40" s="23">
        <f>CV40*0.85</f>
        <v>362.95</v>
      </c>
      <c r="CX40" s="23">
        <f t="shared" ref="CX40:DC40" si="37">CW40*0.85</f>
        <v>308.50749999999999</v>
      </c>
      <c r="CY40" s="23">
        <f t="shared" si="37"/>
        <v>262.23137500000001</v>
      </c>
      <c r="CZ40" s="23">
        <f t="shared" si="37"/>
        <v>222.89666875</v>
      </c>
      <c r="DA40" s="23">
        <f t="shared" si="37"/>
        <v>189.4621684375</v>
      </c>
      <c r="DB40" s="23">
        <f t="shared" si="37"/>
        <v>161.04284317187501</v>
      </c>
      <c r="DC40" s="23">
        <f t="shared" si="37"/>
        <v>136.88641669609376</v>
      </c>
    </row>
    <row r="41" spans="2:107" x14ac:dyDescent="0.15">
      <c r="B41" s="1" t="s">
        <v>132</v>
      </c>
      <c r="K41" s="23">
        <v>441</v>
      </c>
      <c r="L41" s="23">
        <v>467</v>
      </c>
      <c r="M41" s="23">
        <v>538</v>
      </c>
      <c r="N41" s="23">
        <v>580</v>
      </c>
      <c r="O41" s="23">
        <f>858-P41</f>
        <v>606</v>
      </c>
      <c r="P41" s="23">
        <v>252</v>
      </c>
      <c r="Q41" s="23">
        <v>207</v>
      </c>
      <c r="R41" s="23">
        <v>185</v>
      </c>
      <c r="S41" s="23">
        <v>210</v>
      </c>
      <c r="T41" s="23">
        <v>191</v>
      </c>
      <c r="U41" s="23">
        <v>201</v>
      </c>
      <c r="V41" s="23">
        <v>227</v>
      </c>
      <c r="W41" s="23">
        <v>220</v>
      </c>
      <c r="X41" s="23">
        <f>447-W41</f>
        <v>227</v>
      </c>
      <c r="Y41" s="23">
        <v>213</v>
      </c>
      <c r="Z41" s="23">
        <v>213</v>
      </c>
      <c r="AA41" s="23">
        <f>142+62+17</f>
        <v>221</v>
      </c>
      <c r="AB41" s="23">
        <v>220</v>
      </c>
      <c r="AC41" s="23">
        <v>218</v>
      </c>
      <c r="AD41" s="23">
        <v>160</v>
      </c>
      <c r="AE41" s="23">
        <v>116</v>
      </c>
      <c r="AF41" s="23">
        <v>116</v>
      </c>
      <c r="AG41" s="23">
        <f>+AF41-5</f>
        <v>111</v>
      </c>
      <c r="AH41" s="23">
        <f>+AG41-5</f>
        <v>106</v>
      </c>
      <c r="AI41" s="23"/>
      <c r="AJ41" s="23"/>
      <c r="AK41" s="23"/>
      <c r="AL41" s="23"/>
      <c r="AM41" s="23"/>
      <c r="AN41" s="23">
        <v>92</v>
      </c>
      <c r="AO41" s="56">
        <v>94</v>
      </c>
      <c r="AP41" s="23"/>
      <c r="AQ41" s="23"/>
      <c r="AR41" s="56">
        <v>73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78"/>
      <c r="BL41" s="78"/>
      <c r="BM41" s="78"/>
      <c r="BN41" s="78"/>
      <c r="BO41" s="78"/>
      <c r="BP41" s="78"/>
      <c r="BQ41" s="78"/>
      <c r="BR41" s="78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78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2026</v>
      </c>
      <c r="CS41" s="23">
        <f>SUM(O41:R41)</f>
        <v>1250</v>
      </c>
      <c r="CT41" s="23">
        <f t="shared" si="36"/>
        <v>829</v>
      </c>
      <c r="CU41" s="23">
        <f>SUM(W41:Z41)</f>
        <v>873</v>
      </c>
      <c r="CV41" s="23">
        <f>SUM(AA41:AD41)</f>
        <v>819</v>
      </c>
      <c r="CW41" s="23">
        <f>CV41*0.2</f>
        <v>163.80000000000001</v>
      </c>
      <c r="CX41" s="23">
        <f>CW41*0.2</f>
        <v>32.760000000000005</v>
      </c>
      <c r="CY41" s="23">
        <f>CX41*0.2</f>
        <v>6.5520000000000014</v>
      </c>
      <c r="CZ41" s="23">
        <f t="shared" ref="CZ41:DB41" si="38">CY41*0.5</f>
        <v>3.2760000000000007</v>
      </c>
      <c r="DA41" s="23">
        <f t="shared" si="38"/>
        <v>1.6380000000000003</v>
      </c>
      <c r="DB41" s="23">
        <f t="shared" si="38"/>
        <v>0.81900000000000017</v>
      </c>
      <c r="DC41" s="23">
        <f t="shared" ref="DC41" si="39">DB41*0.5</f>
        <v>0.40950000000000009</v>
      </c>
    </row>
    <row r="42" spans="2:107" x14ac:dyDescent="0.15">
      <c r="B42" s="1" t="s">
        <v>48</v>
      </c>
      <c r="K42" s="23">
        <v>180</v>
      </c>
      <c r="L42" s="23">
        <v>189</v>
      </c>
      <c r="M42" s="23">
        <v>156</v>
      </c>
      <c r="N42" s="23">
        <v>163</v>
      </c>
      <c r="O42" s="23">
        <f>399-P42</f>
        <v>201</v>
      </c>
      <c r="P42" s="23">
        <v>198</v>
      </c>
      <c r="Q42" s="23">
        <v>159</v>
      </c>
      <c r="R42" s="23">
        <v>148</v>
      </c>
      <c r="S42" s="23">
        <v>204</v>
      </c>
      <c r="T42" s="23">
        <v>171</v>
      </c>
      <c r="U42" s="23">
        <v>139</v>
      </c>
      <c r="V42" s="23">
        <v>174</v>
      </c>
      <c r="W42" s="23">
        <v>251</v>
      </c>
      <c r="X42" s="23">
        <v>191</v>
      </c>
      <c r="Y42" s="23">
        <v>153</v>
      </c>
      <c r="Z42" s="23">
        <v>140</v>
      </c>
      <c r="AA42" s="23">
        <v>171</v>
      </c>
      <c r="AB42" s="23">
        <v>148</v>
      </c>
      <c r="AC42" s="23">
        <v>136</v>
      </c>
      <c r="AD42" s="23">
        <v>152</v>
      </c>
      <c r="AE42" s="23">
        <v>216</v>
      </c>
      <c r="AF42" s="23">
        <v>119</v>
      </c>
      <c r="AG42" s="23">
        <f>+AF42-5</f>
        <v>114</v>
      </c>
      <c r="AH42" s="23">
        <f>+AG42+10</f>
        <v>124</v>
      </c>
      <c r="AI42" s="23"/>
      <c r="AJ42" s="23"/>
      <c r="AK42" s="23"/>
      <c r="AL42" s="23"/>
      <c r="AM42" s="23"/>
      <c r="AN42" s="23">
        <v>79</v>
      </c>
      <c r="AO42" s="56">
        <v>71</v>
      </c>
      <c r="AP42" s="23"/>
      <c r="AQ42" s="23"/>
      <c r="AR42" s="56">
        <v>39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78"/>
      <c r="BL42" s="78"/>
      <c r="BM42" s="78"/>
      <c r="BN42" s="78"/>
      <c r="BO42" s="78"/>
      <c r="BP42" s="78"/>
      <c r="BQ42" s="78"/>
      <c r="BR42" s="78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78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688</v>
      </c>
      <c r="CS42" s="23">
        <f>SUM(O42:R42)</f>
        <v>706</v>
      </c>
      <c r="CT42" s="23">
        <f t="shared" si="36"/>
        <v>688</v>
      </c>
      <c r="CU42" s="23">
        <f t="shared" si="21"/>
        <v>735</v>
      </c>
      <c r="CV42" s="23">
        <f t="shared" si="22"/>
        <v>607</v>
      </c>
      <c r="CW42" s="23">
        <f t="shared" ref="CW42:DC42" si="40">CV42*0.8</f>
        <v>485.6</v>
      </c>
      <c r="CX42" s="23">
        <f t="shared" si="40"/>
        <v>388.48</v>
      </c>
      <c r="CY42" s="23">
        <f t="shared" si="40"/>
        <v>310.78400000000005</v>
      </c>
      <c r="CZ42" s="23">
        <f t="shared" si="40"/>
        <v>248.62720000000004</v>
      </c>
      <c r="DA42" s="23">
        <f t="shared" si="40"/>
        <v>198.90176000000005</v>
      </c>
      <c r="DB42" s="23">
        <f t="shared" si="40"/>
        <v>159.12140800000006</v>
      </c>
      <c r="DC42" s="23">
        <f t="shared" si="40"/>
        <v>127.29712640000005</v>
      </c>
    </row>
    <row r="43" spans="2:107" x14ac:dyDescent="0.15">
      <c r="B43" s="31" t="s">
        <v>226</v>
      </c>
      <c r="K43" s="23">
        <v>235</v>
      </c>
      <c r="L43" s="23">
        <v>248</v>
      </c>
      <c r="M43" s="23">
        <v>223</v>
      </c>
      <c r="N43" s="23">
        <v>271</v>
      </c>
      <c r="O43" s="23">
        <f>378-P43</f>
        <v>211</v>
      </c>
      <c r="P43" s="23">
        <v>167</v>
      </c>
      <c r="Q43" s="23">
        <v>168</v>
      </c>
      <c r="R43" s="23">
        <v>195</v>
      </c>
      <c r="S43" s="23">
        <v>138</v>
      </c>
      <c r="T43" s="23">
        <v>137</v>
      </c>
      <c r="U43" s="23">
        <v>122</v>
      </c>
      <c r="V43" s="23">
        <v>116</v>
      </c>
      <c r="W43" s="23">
        <v>110</v>
      </c>
      <c r="X43" s="23">
        <f>221-W43</f>
        <v>111</v>
      </c>
      <c r="Y43" s="23">
        <v>107</v>
      </c>
      <c r="Z43" s="23">
        <v>101</v>
      </c>
      <c r="AA43" s="23">
        <v>105</v>
      </c>
      <c r="AB43" s="23">
        <v>106</v>
      </c>
      <c r="AC43" s="23">
        <v>103</v>
      </c>
      <c r="AD43" s="23">
        <v>96</v>
      </c>
      <c r="AE43" s="23">
        <v>99</v>
      </c>
      <c r="AF43" s="23"/>
      <c r="AG43" s="23"/>
      <c r="AH43" s="23"/>
      <c r="AI43" s="23"/>
      <c r="AJ43" s="23"/>
      <c r="AK43" s="23"/>
      <c r="AL43" s="23"/>
      <c r="AM43" s="23"/>
      <c r="AN43" s="23">
        <v>80</v>
      </c>
      <c r="AO43" s="56">
        <v>75</v>
      </c>
      <c r="AP43" s="23"/>
      <c r="AQ43" s="23"/>
      <c r="AR43" s="56">
        <v>75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78"/>
      <c r="BL43" s="78"/>
      <c r="BM43" s="78"/>
      <c r="BN43" s="78"/>
      <c r="BO43" s="78"/>
      <c r="BP43" s="78"/>
      <c r="BQ43" s="78"/>
      <c r="BR43" s="78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78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 t="shared" si="25"/>
        <v>977</v>
      </c>
      <c r="CS43" s="23">
        <f t="shared" si="29"/>
        <v>741</v>
      </c>
      <c r="CT43" s="23">
        <f t="shared" si="36"/>
        <v>513</v>
      </c>
      <c r="CU43" s="23">
        <f t="shared" si="21"/>
        <v>429</v>
      </c>
      <c r="CV43" s="23">
        <f t="shared" si="22"/>
        <v>410</v>
      </c>
      <c r="CW43" s="23">
        <f t="shared" ref="CW43:DC47" si="41">CV43*0.9</f>
        <v>369</v>
      </c>
      <c r="CX43" s="23">
        <f t="shared" si="41"/>
        <v>332.1</v>
      </c>
      <c r="CY43" s="23">
        <f t="shared" si="41"/>
        <v>298.89000000000004</v>
      </c>
      <c r="CZ43" s="23">
        <f>+CY43*0.4</f>
        <v>119.55600000000003</v>
      </c>
      <c r="DA43" s="23">
        <f t="shared" ref="DA43:DC43" si="42">+CZ43*0.4</f>
        <v>47.822400000000016</v>
      </c>
      <c r="DB43" s="23">
        <f t="shared" si="42"/>
        <v>19.128960000000006</v>
      </c>
      <c r="DC43" s="23">
        <f t="shared" si="42"/>
        <v>7.6515840000000033</v>
      </c>
    </row>
    <row r="44" spans="2:107" x14ac:dyDescent="0.15">
      <c r="B44" s="31" t="s">
        <v>237</v>
      </c>
      <c r="K44" s="23">
        <v>94</v>
      </c>
      <c r="L44" s="23">
        <v>92</v>
      </c>
      <c r="M44" s="23">
        <v>83</v>
      </c>
      <c r="N44" s="23">
        <v>84</v>
      </c>
      <c r="O44" s="23">
        <f>167-P44</f>
        <v>82</v>
      </c>
      <c r="P44" s="23">
        <v>85</v>
      </c>
      <c r="Q44" s="23">
        <v>82</v>
      </c>
      <c r="R44" s="23">
        <v>84</v>
      </c>
      <c r="S44" s="23">
        <v>83</v>
      </c>
      <c r="T44" s="23">
        <v>85</v>
      </c>
      <c r="U44" s="23">
        <v>79</v>
      </c>
      <c r="V44" s="23">
        <v>84</v>
      </c>
      <c r="W44" s="23">
        <v>75</v>
      </c>
      <c r="X44" s="23">
        <f>153-W44</f>
        <v>78</v>
      </c>
      <c r="Y44" s="23">
        <v>72</v>
      </c>
      <c r="Z44" s="23">
        <v>71</v>
      </c>
      <c r="AA44" s="23">
        <v>76</v>
      </c>
      <c r="AB44" s="23">
        <v>77</v>
      </c>
      <c r="AC44" s="23">
        <v>72</v>
      </c>
      <c r="AD44" s="23">
        <v>71</v>
      </c>
      <c r="AE44" s="23">
        <v>65</v>
      </c>
      <c r="AF44" s="23"/>
      <c r="AG44" s="23"/>
      <c r="AH44" s="23"/>
      <c r="AI44" s="23"/>
      <c r="AJ44" s="23"/>
      <c r="AK44" s="23"/>
      <c r="AL44" s="23"/>
      <c r="AM44" s="23"/>
      <c r="AN44" s="23">
        <v>25</v>
      </c>
      <c r="AO44" s="56">
        <v>26</v>
      </c>
      <c r="AP44" s="23"/>
      <c r="AQ44" s="23"/>
      <c r="AR44" s="56">
        <v>23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78"/>
      <c r="BL44" s="78"/>
      <c r="BM44" s="78"/>
      <c r="BN44" s="78"/>
      <c r="BO44" s="78"/>
      <c r="BP44" s="78"/>
      <c r="BQ44" s="78"/>
      <c r="BR44" s="78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78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>SUM(K44:N44)</f>
        <v>353</v>
      </c>
      <c r="CS44" s="23">
        <f>SUM(O44:R44)</f>
        <v>333</v>
      </c>
      <c r="CT44" s="23">
        <f t="shared" si="36"/>
        <v>331</v>
      </c>
      <c r="CU44" s="23">
        <f t="shared" si="21"/>
        <v>296</v>
      </c>
      <c r="CV44" s="23">
        <f t="shared" si="22"/>
        <v>296</v>
      </c>
      <c r="CW44" s="23">
        <f t="shared" si="41"/>
        <v>266.40000000000003</v>
      </c>
      <c r="CX44" s="23">
        <f t="shared" si="41"/>
        <v>239.76000000000005</v>
      </c>
      <c r="CY44" s="23">
        <f t="shared" si="41"/>
        <v>215.78400000000005</v>
      </c>
      <c r="CZ44" s="23">
        <f t="shared" si="41"/>
        <v>194.20560000000006</v>
      </c>
      <c r="DA44" s="23">
        <f t="shared" si="41"/>
        <v>174.78504000000007</v>
      </c>
      <c r="DB44" s="23">
        <f t="shared" si="41"/>
        <v>157.30653600000005</v>
      </c>
      <c r="DC44" s="23">
        <f t="shared" si="41"/>
        <v>141.57588240000004</v>
      </c>
    </row>
    <row r="45" spans="2:107" x14ac:dyDescent="0.15">
      <c r="B45" s="19" t="s">
        <v>357</v>
      </c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>
        <v>137</v>
      </c>
      <c r="AG45" s="23"/>
      <c r="AH45" s="23"/>
      <c r="AI45" s="23"/>
      <c r="AJ45" s="23"/>
      <c r="AK45" s="23"/>
      <c r="AL45" s="23"/>
      <c r="AM45" s="23"/>
      <c r="AN45" s="23">
        <v>175</v>
      </c>
      <c r="AO45" s="56">
        <v>187</v>
      </c>
      <c r="AP45" s="23"/>
      <c r="AQ45" s="23"/>
      <c r="AR45" s="56">
        <v>137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78"/>
      <c r="BL45" s="78"/>
      <c r="BM45" s="78"/>
      <c r="BN45" s="78"/>
      <c r="BO45" s="78">
        <v>71</v>
      </c>
      <c r="BP45" s="78">
        <v>60</v>
      </c>
      <c r="BQ45" s="78">
        <v>63</v>
      </c>
      <c r="BR45" s="78">
        <v>44</v>
      </c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78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/>
      <c r="CS45" s="23"/>
      <c r="CT45" s="23"/>
      <c r="CU45" s="32"/>
      <c r="CV45" s="32"/>
      <c r="CW45" s="23"/>
      <c r="CX45" s="23"/>
      <c r="CY45" s="23"/>
      <c r="CZ45" s="23"/>
      <c r="DA45" s="23"/>
      <c r="DB45" s="23"/>
      <c r="DC45" s="23"/>
    </row>
    <row r="46" spans="2:107" x14ac:dyDescent="0.15">
      <c r="B46" s="26" t="s">
        <v>133</v>
      </c>
      <c r="K46" s="23">
        <v>78</v>
      </c>
      <c r="L46" s="23">
        <v>76</v>
      </c>
      <c r="M46" s="23">
        <v>73</v>
      </c>
      <c r="N46" s="23">
        <v>74</v>
      </c>
      <c r="O46" s="23">
        <f>157-P46</f>
        <v>76</v>
      </c>
      <c r="P46" s="23">
        <v>81</v>
      </c>
      <c r="Q46" s="23">
        <v>79</v>
      </c>
      <c r="R46" s="23">
        <v>80</v>
      </c>
      <c r="S46" s="23">
        <v>82</v>
      </c>
      <c r="T46" s="23">
        <v>81</v>
      </c>
      <c r="U46" s="23">
        <v>81</v>
      </c>
      <c r="V46" s="23">
        <v>85</v>
      </c>
      <c r="W46" s="23">
        <v>80</v>
      </c>
      <c r="X46" s="23">
        <f>165-W46</f>
        <v>85</v>
      </c>
      <c r="Y46" s="23">
        <v>80</v>
      </c>
      <c r="Z46" s="23">
        <v>84</v>
      </c>
      <c r="AA46" s="23">
        <v>88</v>
      </c>
      <c r="AB46" s="23">
        <v>96</v>
      </c>
      <c r="AC46" s="23">
        <v>93</v>
      </c>
      <c r="AD46" s="23">
        <v>95</v>
      </c>
      <c r="AE46" s="23">
        <v>96</v>
      </c>
      <c r="AF46" s="23"/>
      <c r="AG46" s="23"/>
      <c r="AH46" s="23"/>
      <c r="AI46" s="23"/>
      <c r="AJ46" s="23"/>
      <c r="AK46" s="23"/>
      <c r="AL46" s="23"/>
      <c r="AM46" s="23"/>
      <c r="AN46" s="23">
        <v>103</v>
      </c>
      <c r="AO46" s="56">
        <v>102</v>
      </c>
      <c r="AP46" s="23"/>
      <c r="AQ46" s="23"/>
      <c r="AR46" s="56">
        <v>99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78"/>
      <c r="BL46" s="78"/>
      <c r="BM46" s="78"/>
      <c r="BN46" s="78"/>
      <c r="BO46" s="78"/>
      <c r="BP46" s="78"/>
      <c r="BQ46" s="78"/>
      <c r="BR46" s="78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78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>
        <f>SUM(K46:N46)</f>
        <v>301</v>
      </c>
      <c r="CS46" s="23">
        <f>SUM(O46:R46)</f>
        <v>316</v>
      </c>
      <c r="CT46" s="23">
        <f t="shared" ref="CT46" si="43">SUM(S46:V46)</f>
        <v>329</v>
      </c>
      <c r="CU46" s="23">
        <f>SUM(W46:Z46)</f>
        <v>329</v>
      </c>
      <c r="CV46" s="23">
        <f>SUM(AA46:AD46)</f>
        <v>372</v>
      </c>
      <c r="CW46" s="23">
        <f t="shared" ref="CW46:CY46" si="44">CV46</f>
        <v>372</v>
      </c>
      <c r="CX46" s="23">
        <f t="shared" si="44"/>
        <v>372</v>
      </c>
      <c r="CY46" s="23">
        <f t="shared" si="44"/>
        <v>372</v>
      </c>
      <c r="CZ46" s="23"/>
      <c r="DA46" s="23"/>
      <c r="DB46" s="23"/>
      <c r="DC46" s="23"/>
    </row>
    <row r="47" spans="2:107" x14ac:dyDescent="0.15">
      <c r="B47" s="31" t="s">
        <v>238</v>
      </c>
      <c r="K47" s="23">
        <v>71</v>
      </c>
      <c r="L47" s="23">
        <v>78</v>
      </c>
      <c r="M47" s="23">
        <v>60</v>
      </c>
      <c r="N47" s="23">
        <v>74</v>
      </c>
      <c r="O47" s="23">
        <f>166-P47</f>
        <v>79</v>
      </c>
      <c r="P47" s="23">
        <v>87</v>
      </c>
      <c r="Q47" s="23">
        <v>61</v>
      </c>
      <c r="R47" s="23">
        <v>67</v>
      </c>
      <c r="S47" s="23">
        <v>70</v>
      </c>
      <c r="T47" s="23">
        <v>60</v>
      </c>
      <c r="U47" s="23">
        <v>51</v>
      </c>
      <c r="V47" s="23">
        <v>60</v>
      </c>
      <c r="W47" s="23">
        <v>59</v>
      </c>
      <c r="X47" s="23">
        <f>120-W47</f>
        <v>61</v>
      </c>
      <c r="Y47" s="23">
        <v>48</v>
      </c>
      <c r="Z47" s="23">
        <v>52</v>
      </c>
      <c r="AA47" s="23">
        <v>48</v>
      </c>
      <c r="AB47" s="23">
        <v>56</v>
      </c>
      <c r="AC47" s="23">
        <v>42</v>
      </c>
      <c r="AD47" s="23">
        <v>43</v>
      </c>
      <c r="AE47" s="23">
        <v>43</v>
      </c>
      <c r="AF47" s="23"/>
      <c r="AG47" s="23"/>
      <c r="AH47" s="23"/>
      <c r="AI47" s="23"/>
      <c r="AJ47" s="23"/>
      <c r="AK47" s="23"/>
      <c r="AL47" s="23"/>
      <c r="AM47" s="23"/>
      <c r="AN47" s="23">
        <v>0</v>
      </c>
      <c r="AO47" s="56">
        <v>0</v>
      </c>
      <c r="AP47" s="23"/>
      <c r="AQ47" s="23"/>
      <c r="AR47" s="56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78"/>
      <c r="BL47" s="78"/>
      <c r="BM47" s="78"/>
      <c r="BN47" s="78"/>
      <c r="BO47" s="78"/>
      <c r="BP47" s="78"/>
      <c r="BQ47" s="78"/>
      <c r="BR47" s="78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78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 t="shared" si="25"/>
        <v>283</v>
      </c>
      <c r="CS47" s="23">
        <f t="shared" si="29"/>
        <v>294</v>
      </c>
      <c r="CT47" s="23">
        <f t="shared" si="36"/>
        <v>241</v>
      </c>
      <c r="CU47" s="23">
        <f t="shared" si="21"/>
        <v>220</v>
      </c>
      <c r="CV47" s="23">
        <f t="shared" si="22"/>
        <v>189</v>
      </c>
      <c r="CW47" s="23">
        <f t="shared" si="41"/>
        <v>170.1</v>
      </c>
      <c r="CX47" s="23">
        <f>CW47*0.4</f>
        <v>68.040000000000006</v>
      </c>
      <c r="CY47" s="23">
        <f t="shared" si="41"/>
        <v>61.236000000000004</v>
      </c>
      <c r="CZ47" s="23">
        <f t="shared" si="41"/>
        <v>55.112400000000008</v>
      </c>
      <c r="DA47" s="23">
        <f t="shared" si="41"/>
        <v>49.601160000000007</v>
      </c>
      <c r="DB47" s="23">
        <f t="shared" si="41"/>
        <v>44.641044000000008</v>
      </c>
      <c r="DC47" s="23">
        <f t="shared" si="41"/>
        <v>40.176939600000011</v>
      </c>
    </row>
    <row r="48" spans="2:107" x14ac:dyDescent="0.15">
      <c r="B48" s="31" t="s">
        <v>296</v>
      </c>
      <c r="R48" s="23"/>
      <c r="S48" s="23"/>
      <c r="T48" s="23"/>
      <c r="U48" s="23"/>
      <c r="V48" s="23"/>
      <c r="W48" s="23"/>
      <c r="X48" s="23"/>
      <c r="Y48" s="23"/>
      <c r="Z48" s="23"/>
      <c r="AA48" s="23">
        <v>34</v>
      </c>
      <c r="AB48" s="23">
        <v>33</v>
      </c>
      <c r="AC48" s="23">
        <v>31</v>
      </c>
      <c r="AD48" s="23">
        <v>35</v>
      </c>
      <c r="AE48" s="23">
        <v>31</v>
      </c>
      <c r="AF48" s="23"/>
      <c r="AG48" s="23"/>
      <c r="AH48" s="23"/>
      <c r="AI48" s="23"/>
      <c r="AJ48" s="23"/>
      <c r="AK48" s="23"/>
      <c r="AL48" s="23"/>
      <c r="AM48" s="23"/>
      <c r="AN48" s="23">
        <v>32</v>
      </c>
      <c r="AO48" s="56">
        <v>34</v>
      </c>
      <c r="AP48" s="23"/>
      <c r="AQ48" s="23"/>
      <c r="AR48" s="56">
        <v>33</v>
      </c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78"/>
      <c r="BL48" s="78"/>
      <c r="BM48" s="78"/>
      <c r="BN48" s="78"/>
      <c r="BO48" s="78"/>
      <c r="BP48" s="78"/>
      <c r="BQ48" s="78"/>
      <c r="BR48" s="78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78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/>
      <c r="CS48" s="23"/>
      <c r="CT48" s="23"/>
      <c r="CU48" s="23"/>
      <c r="CV48" s="23">
        <f>SUM(AA48:AE48)</f>
        <v>164</v>
      </c>
      <c r="CW48" s="23"/>
      <c r="CX48" s="23"/>
      <c r="CY48" s="23"/>
      <c r="CZ48" s="23"/>
      <c r="DA48" s="23"/>
      <c r="DB48" s="23"/>
      <c r="DC48" s="23"/>
    </row>
    <row r="49" spans="2:109" x14ac:dyDescent="0.15">
      <c r="B49" s="31" t="s">
        <v>304</v>
      </c>
      <c r="K49" s="23">
        <v>89</v>
      </c>
      <c r="L49" s="23">
        <v>91</v>
      </c>
      <c r="M49" s="23">
        <v>84</v>
      </c>
      <c r="N49" s="23">
        <v>87</v>
      </c>
      <c r="O49" s="23">
        <f>160-P49</f>
        <v>78</v>
      </c>
      <c r="P49" s="23">
        <v>82</v>
      </c>
      <c r="Q49" s="23">
        <v>79</v>
      </c>
      <c r="R49" s="23">
        <v>81</v>
      </c>
      <c r="S49" s="23">
        <v>75</v>
      </c>
      <c r="T49" s="23">
        <v>87</v>
      </c>
      <c r="U49" s="23">
        <v>85</v>
      </c>
      <c r="V49" s="23">
        <v>83</v>
      </c>
      <c r="W49" s="23">
        <v>68</v>
      </c>
      <c r="X49" s="23">
        <f>137-W49</f>
        <v>69</v>
      </c>
      <c r="Y49" s="23">
        <v>62</v>
      </c>
      <c r="Z49" s="23">
        <v>65</v>
      </c>
      <c r="AA49" s="23">
        <v>60</v>
      </c>
      <c r="AB49" s="23">
        <v>64</v>
      </c>
      <c r="AC49" s="23">
        <v>58</v>
      </c>
      <c r="AD49" s="23">
        <v>56</v>
      </c>
      <c r="AE49" s="23">
        <v>48</v>
      </c>
      <c r="AF49" s="23"/>
      <c r="AG49" s="23"/>
      <c r="AH49" s="23"/>
      <c r="AI49" s="23"/>
      <c r="AJ49" s="23"/>
      <c r="AK49" s="23"/>
      <c r="AL49" s="23"/>
      <c r="AM49" s="23"/>
      <c r="AN49" s="23">
        <v>24</v>
      </c>
      <c r="AO49" s="56">
        <v>23</v>
      </c>
      <c r="AP49" s="23"/>
      <c r="AQ49" s="23"/>
      <c r="AR49" s="56">
        <v>20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78"/>
      <c r="BL49" s="78"/>
      <c r="BM49" s="78"/>
      <c r="BN49" s="78"/>
      <c r="BO49" s="78"/>
      <c r="BP49" s="78"/>
      <c r="BQ49" s="78"/>
      <c r="BR49" s="78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78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>
        <f>SUM(K49:N49)</f>
        <v>351</v>
      </c>
      <c r="CS49" s="23">
        <f>SUM(O49:R49)</f>
        <v>320</v>
      </c>
      <c r="CT49" s="23">
        <f>SUM(S49:V49)</f>
        <v>330</v>
      </c>
      <c r="CU49" s="23">
        <f>SUM(W49:Z49)</f>
        <v>264</v>
      </c>
      <c r="CV49" s="23">
        <f t="shared" si="22"/>
        <v>238</v>
      </c>
      <c r="CW49" s="23">
        <f>+CV49*0.9</f>
        <v>214.20000000000002</v>
      </c>
      <c r="CX49" s="23">
        <f t="shared" ref="CX49:DC49" si="45">+CW49*0.9</f>
        <v>192.78000000000003</v>
      </c>
      <c r="CY49" s="23">
        <f t="shared" si="45"/>
        <v>173.50200000000004</v>
      </c>
      <c r="CZ49" s="23">
        <f t="shared" si="45"/>
        <v>156.15180000000004</v>
      </c>
      <c r="DA49" s="23">
        <f t="shared" si="45"/>
        <v>140.53662000000003</v>
      </c>
      <c r="DB49" s="23">
        <f t="shared" si="45"/>
        <v>126.48295800000002</v>
      </c>
      <c r="DC49" s="23">
        <f t="shared" si="45"/>
        <v>113.83466220000003</v>
      </c>
      <c r="DE49" s="19"/>
    </row>
    <row r="50" spans="2:109" x14ac:dyDescent="0.15">
      <c r="B50" s="19" t="s">
        <v>355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>
        <v>14</v>
      </c>
      <c r="AO50" s="56">
        <v>13</v>
      </c>
      <c r="AP50" s="23"/>
      <c r="AQ50" s="23"/>
      <c r="AR50" s="56">
        <v>15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78"/>
      <c r="BL50" s="78"/>
      <c r="BM50" s="78"/>
      <c r="BN50" s="78"/>
      <c r="BO50" s="78"/>
      <c r="BP50" s="78"/>
      <c r="BQ50" s="78"/>
      <c r="BR50" s="78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78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 t="s">
        <v>253</v>
      </c>
      <c r="CS50" s="23" t="s">
        <v>253</v>
      </c>
      <c r="CT50" s="23" t="s">
        <v>254</v>
      </c>
      <c r="CU50" s="32" t="s">
        <v>254</v>
      </c>
      <c r="CV50" s="32" t="s">
        <v>254</v>
      </c>
      <c r="CW50" s="23">
        <v>50</v>
      </c>
      <c r="CX50" s="23">
        <v>100</v>
      </c>
      <c r="CY50" s="23">
        <v>200</v>
      </c>
      <c r="CZ50" s="23">
        <v>300</v>
      </c>
      <c r="DA50" s="23">
        <v>400</v>
      </c>
      <c r="DB50" s="32">
        <v>500</v>
      </c>
      <c r="DC50" s="32">
        <v>500</v>
      </c>
    </row>
    <row r="51" spans="2:109" x14ac:dyDescent="0.15">
      <c r="B51" s="1" t="s">
        <v>60</v>
      </c>
      <c r="K51" s="23">
        <v>430</v>
      </c>
      <c r="L51" s="23">
        <v>456</v>
      </c>
      <c r="M51" s="23">
        <v>429</v>
      </c>
      <c r="N51" s="23">
        <v>437</v>
      </c>
      <c r="O51" s="23">
        <f>923-P51</f>
        <v>449</v>
      </c>
      <c r="P51" s="23">
        <v>474</v>
      </c>
      <c r="Q51" s="23">
        <v>475</v>
      </c>
      <c r="R51" s="23">
        <v>476</v>
      </c>
      <c r="S51" s="23">
        <v>484</v>
      </c>
      <c r="T51" s="23">
        <v>503</v>
      </c>
      <c r="U51" s="23">
        <v>505</v>
      </c>
      <c r="V51" s="23">
        <v>541</v>
      </c>
      <c r="W51" s="23">
        <v>534</v>
      </c>
      <c r="X51" s="23">
        <f>1118-W51</f>
        <v>584</v>
      </c>
      <c r="Y51" s="23">
        <v>526</v>
      </c>
      <c r="Z51" s="23">
        <v>533</v>
      </c>
      <c r="AA51" s="23">
        <v>531</v>
      </c>
      <c r="AB51" s="23">
        <v>598</v>
      </c>
      <c r="AC51" s="23">
        <v>537</v>
      </c>
      <c r="AD51" s="23">
        <v>456</v>
      </c>
      <c r="AE51" s="23">
        <v>382</v>
      </c>
      <c r="AF51" s="23">
        <v>204</v>
      </c>
      <c r="AG51" s="23">
        <f t="shared" ref="AG51:AH51" si="46">+AF51-10</f>
        <v>194</v>
      </c>
      <c r="AH51" s="23">
        <f t="shared" si="46"/>
        <v>184</v>
      </c>
      <c r="AI51" s="23"/>
      <c r="AJ51" s="23"/>
      <c r="AK51" s="23"/>
      <c r="AL51" s="23"/>
      <c r="AM51" s="23"/>
      <c r="AN51" s="23">
        <v>114</v>
      </c>
      <c r="AO51" s="56">
        <v>84</v>
      </c>
      <c r="AP51" s="23"/>
      <c r="AQ51" s="23"/>
      <c r="AR51" s="56">
        <v>67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78"/>
      <c r="BL51" s="78"/>
      <c r="BM51" s="78"/>
      <c r="BN51" s="78"/>
      <c r="BO51" s="78">
        <v>39</v>
      </c>
      <c r="BP51" s="78">
        <v>39</v>
      </c>
      <c r="BQ51" s="78">
        <v>41</v>
      </c>
      <c r="BR51" s="78">
        <v>41</v>
      </c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78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>
        <f>SUM(K51:N51)</f>
        <v>1752</v>
      </c>
      <c r="CS51" s="23">
        <f>SUM(O51:R51)</f>
        <v>1874</v>
      </c>
      <c r="CT51" s="23">
        <f>SUM(S51:V51)</f>
        <v>2033</v>
      </c>
      <c r="CU51" s="23">
        <f>SUM(W51:Z51)</f>
        <v>2177</v>
      </c>
      <c r="CV51" s="23">
        <f>SUM(AA51:AD51)</f>
        <v>2122</v>
      </c>
      <c r="CW51" s="23">
        <f>CV51*0.4</f>
        <v>848.80000000000007</v>
      </c>
      <c r="CX51" s="23">
        <f>CW51*0.5</f>
        <v>424.40000000000003</v>
      </c>
      <c r="CY51" s="23">
        <f>CX51*0.75</f>
        <v>318.3</v>
      </c>
      <c r="CZ51" s="23">
        <f t="shared" ref="CZ51:DB51" si="47">CY51*0.75</f>
        <v>238.72500000000002</v>
      </c>
      <c r="DA51" s="23">
        <f t="shared" si="47"/>
        <v>179.04375000000002</v>
      </c>
      <c r="DB51" s="23">
        <f t="shared" si="47"/>
        <v>134.28281250000001</v>
      </c>
      <c r="DC51" s="23">
        <f t="shared" ref="DC51" si="48">DB51*0.75</f>
        <v>100.71210937500001</v>
      </c>
    </row>
    <row r="52" spans="2:109" x14ac:dyDescent="0.15">
      <c r="B52" s="19" t="s">
        <v>356</v>
      </c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>
        <v>0</v>
      </c>
      <c r="AO52" s="56">
        <v>27</v>
      </c>
      <c r="AP52" s="23"/>
      <c r="AQ52" s="23"/>
      <c r="AR52" s="56">
        <v>16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78"/>
      <c r="BL52" s="78"/>
      <c r="BM52" s="78"/>
      <c r="BN52" s="78"/>
      <c r="BO52" s="78"/>
      <c r="BP52" s="78"/>
      <c r="BQ52" s="78"/>
      <c r="BR52" s="78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78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/>
      <c r="CS52" s="23"/>
      <c r="CT52" s="23"/>
      <c r="CU52" s="32"/>
      <c r="CV52" s="32"/>
      <c r="CW52" s="23"/>
      <c r="CX52" s="23"/>
      <c r="CY52" s="23"/>
      <c r="CZ52" s="23"/>
      <c r="DA52" s="23"/>
      <c r="DB52" s="32"/>
      <c r="DC52" s="32"/>
    </row>
    <row r="53" spans="2:109" x14ac:dyDescent="0.15">
      <c r="B53" s="19" t="s">
        <v>360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43</v>
      </c>
      <c r="AO53" s="56">
        <v>43</v>
      </c>
      <c r="AP53" s="23"/>
      <c r="AQ53" s="23"/>
      <c r="AR53" s="56">
        <v>45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78"/>
      <c r="BL53" s="78"/>
      <c r="BM53" s="78"/>
      <c r="BN53" s="78"/>
      <c r="BO53" s="78"/>
      <c r="BP53" s="78"/>
      <c r="BQ53" s="78"/>
      <c r="BR53" s="78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78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23"/>
      <c r="DC53" s="23"/>
    </row>
    <row r="54" spans="2:109" x14ac:dyDescent="0.15">
      <c r="B54" s="19" t="s">
        <v>361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45</v>
      </c>
      <c r="AO54" s="56">
        <v>37</v>
      </c>
      <c r="AP54" s="23"/>
      <c r="AQ54" s="23"/>
      <c r="AR54" s="56">
        <v>38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78"/>
      <c r="BL54" s="78"/>
      <c r="BM54" s="78"/>
      <c r="BN54" s="78"/>
      <c r="BO54" s="78"/>
      <c r="BP54" s="78"/>
      <c r="BQ54" s="78"/>
      <c r="BR54" s="78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78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</row>
    <row r="55" spans="2:109" x14ac:dyDescent="0.15">
      <c r="B55" s="19" t="s">
        <v>362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38</v>
      </c>
      <c r="AO55" s="56">
        <v>36</v>
      </c>
      <c r="AP55" s="23"/>
      <c r="AQ55" s="23"/>
      <c r="AR55" s="56">
        <v>48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78"/>
      <c r="BL55" s="78"/>
      <c r="BM55" s="78"/>
      <c r="BN55" s="78"/>
      <c r="BO55" s="78"/>
      <c r="BP55" s="78"/>
      <c r="BQ55" s="78"/>
      <c r="BR55" s="78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78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</row>
    <row r="56" spans="2:109" x14ac:dyDescent="0.15">
      <c r="B56" s="19" t="s">
        <v>363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37</v>
      </c>
      <c r="AO56" s="56">
        <v>33</v>
      </c>
      <c r="AP56" s="23"/>
      <c r="AQ56" s="23"/>
      <c r="AR56" s="56">
        <v>33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78"/>
      <c r="BL56" s="78"/>
      <c r="BM56" s="78"/>
      <c r="BN56" s="78"/>
      <c r="BO56" s="78"/>
      <c r="BP56" s="78"/>
      <c r="BQ56" s="78"/>
      <c r="BR56" s="78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78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</row>
    <row r="57" spans="2:109" x14ac:dyDescent="0.15">
      <c r="B57" s="19" t="s">
        <v>494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64</v>
      </c>
      <c r="AO57" s="56">
        <v>64</v>
      </c>
      <c r="AP57" s="23"/>
      <c r="AQ57" s="23"/>
      <c r="AR57" s="56">
        <v>61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78"/>
      <c r="BL57" s="78"/>
      <c r="BM57" s="78"/>
      <c r="BN57" s="78"/>
      <c r="BO57" s="78"/>
      <c r="BP57" s="78"/>
      <c r="BQ57" s="78"/>
      <c r="BR57" s="78"/>
      <c r="BS57" s="54"/>
      <c r="BT57" s="54"/>
      <c r="BU57" s="54"/>
      <c r="BV57" s="54"/>
      <c r="BW57" s="54"/>
      <c r="BX57" s="54">
        <v>1</v>
      </c>
      <c r="BY57" s="54"/>
      <c r="BZ57" s="54"/>
      <c r="CA57" s="54"/>
      <c r="CB57" s="54"/>
      <c r="CC57" s="54"/>
      <c r="CD57" s="78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</row>
    <row r="58" spans="2:109" x14ac:dyDescent="0.15">
      <c r="B58" s="19" t="s">
        <v>500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56"/>
      <c r="AP58" s="23"/>
      <c r="AQ58" s="23"/>
      <c r="AR58" s="56">
        <v>6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78"/>
      <c r="BL58" s="78"/>
      <c r="BM58" s="78"/>
      <c r="BN58" s="78"/>
      <c r="BO58" s="78"/>
      <c r="BP58" s="78"/>
      <c r="BQ58" s="78"/>
      <c r="BR58" s="78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78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</row>
    <row r="59" spans="2:109" x14ac:dyDescent="0.15">
      <c r="B59" s="1" t="s">
        <v>63</v>
      </c>
      <c r="K59" s="23">
        <v>263</v>
      </c>
      <c r="L59" s="23">
        <v>271</v>
      </c>
      <c r="M59" s="23">
        <v>262</v>
      </c>
      <c r="N59" s="23">
        <v>273</v>
      </c>
      <c r="O59" s="23">
        <f>596-P59</f>
        <v>289</v>
      </c>
      <c r="P59" s="23">
        <v>307</v>
      </c>
      <c r="Q59" s="23">
        <v>301</v>
      </c>
      <c r="R59" s="23">
        <v>280</v>
      </c>
      <c r="S59" s="23">
        <v>317</v>
      </c>
      <c r="T59" s="23">
        <v>103</v>
      </c>
      <c r="U59" s="23">
        <v>100</v>
      </c>
      <c r="V59" s="23">
        <v>102</v>
      </c>
      <c r="W59" s="23">
        <v>113</v>
      </c>
      <c r="X59" s="23">
        <f>231-W59</f>
        <v>118</v>
      </c>
      <c r="Y59" s="23">
        <v>118</v>
      </c>
      <c r="Z59" s="23">
        <v>118</v>
      </c>
      <c r="AA59" s="23">
        <v>131</v>
      </c>
      <c r="AB59" s="23">
        <v>131</v>
      </c>
      <c r="AC59" s="23">
        <v>125</v>
      </c>
      <c r="AD59" s="23">
        <v>126</v>
      </c>
      <c r="AE59" s="23">
        <v>114</v>
      </c>
      <c r="AF59" s="23">
        <f>+AE59</f>
        <v>114</v>
      </c>
      <c r="AG59" s="23">
        <f>+AF59</f>
        <v>114</v>
      </c>
      <c r="AH59" s="23">
        <f>+AG59</f>
        <v>114</v>
      </c>
      <c r="AI59" s="23"/>
      <c r="AJ59" s="23"/>
      <c r="AK59" s="23"/>
      <c r="AL59" s="23"/>
      <c r="AM59" s="23"/>
      <c r="AN59" s="23">
        <v>0</v>
      </c>
      <c r="AO59" s="56">
        <v>0</v>
      </c>
      <c r="AP59" s="23"/>
      <c r="AQ59" s="23"/>
      <c r="AR59" s="56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78"/>
      <c r="BL59" s="78"/>
      <c r="BM59" s="78"/>
      <c r="BN59" s="78"/>
      <c r="BO59" s="78"/>
      <c r="BP59" s="78"/>
      <c r="BQ59" s="78"/>
      <c r="BR59" s="78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78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>
        <f>SUM(K59:N59)</f>
        <v>1069</v>
      </c>
      <c r="CS59" s="23">
        <f>SUM(O59:R59)</f>
        <v>1177</v>
      </c>
      <c r="CT59" s="23">
        <f>SUM(S59:V59)</f>
        <v>622</v>
      </c>
      <c r="CU59" s="23">
        <f>SUM(W59:Z59)</f>
        <v>467</v>
      </c>
      <c r="CV59" s="23">
        <f>SUM(AA59:AD59)</f>
        <v>513</v>
      </c>
      <c r="CW59" s="23">
        <f>CV59*1.05</f>
        <v>538.65</v>
      </c>
      <c r="CX59" s="23">
        <f>CW59*1.05</f>
        <v>565.58249999999998</v>
      </c>
      <c r="CY59" s="23">
        <f>CX59*1.05</f>
        <v>593.861625</v>
      </c>
      <c r="CZ59" s="23">
        <f>CY59*0.5</f>
        <v>296.9308125</v>
      </c>
      <c r="DA59" s="23">
        <f>CZ59*0.5</f>
        <v>148.46540625</v>
      </c>
      <c r="DB59" s="23">
        <f>DA59*0.5</f>
        <v>74.232703125</v>
      </c>
      <c r="DC59" s="23">
        <f>DB59*0.5</f>
        <v>37.1163515625</v>
      </c>
    </row>
    <row r="60" spans="2:109" x14ac:dyDescent="0.15">
      <c r="B60" s="19" t="s">
        <v>283</v>
      </c>
      <c r="R60" s="23"/>
      <c r="S60" s="23"/>
      <c r="T60" s="23"/>
      <c r="U60" s="23"/>
      <c r="V60" s="23"/>
      <c r="W60" s="23">
        <v>329</v>
      </c>
      <c r="X60" s="23">
        <v>311</v>
      </c>
      <c r="Y60" s="23">
        <v>356</v>
      </c>
      <c r="Z60" s="23">
        <v>405</v>
      </c>
      <c r="AA60" s="23">
        <f>292+52+147</f>
        <v>491</v>
      </c>
      <c r="AB60" s="23">
        <v>578</v>
      </c>
      <c r="AC60" s="23">
        <v>576</v>
      </c>
      <c r="AD60" s="23">
        <v>572</v>
      </c>
      <c r="AE60" s="23">
        <v>712</v>
      </c>
      <c r="AF60" s="23">
        <f t="shared" ref="AF60:AH63" si="49">+AE60</f>
        <v>712</v>
      </c>
      <c r="AG60" s="23">
        <f t="shared" si="49"/>
        <v>712</v>
      </c>
      <c r="AH60" s="23">
        <f t="shared" si="49"/>
        <v>712</v>
      </c>
      <c r="AI60" s="23"/>
      <c r="AJ60" s="23"/>
      <c r="AK60" s="23"/>
      <c r="AL60" s="23"/>
      <c r="AM60" s="23"/>
      <c r="AN60" s="23">
        <v>729</v>
      </c>
      <c r="AO60" s="56">
        <v>742</v>
      </c>
      <c r="AP60" s="23"/>
      <c r="AQ60" s="23"/>
      <c r="AR60" s="56">
        <v>816</v>
      </c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78"/>
      <c r="BL60" s="78"/>
      <c r="BM60" s="78"/>
      <c r="BN60" s="78"/>
      <c r="BO60" s="78">
        <v>1300</v>
      </c>
      <c r="BP60" s="78">
        <v>1024</v>
      </c>
      <c r="BQ60" s="78">
        <v>1041</v>
      </c>
      <c r="BR60" s="78">
        <v>1029</v>
      </c>
      <c r="BS60" s="54">
        <v>1113</v>
      </c>
      <c r="BT60" s="54">
        <v>1089</v>
      </c>
      <c r="BU60" s="54">
        <v>1155</v>
      </c>
      <c r="BV60" s="54">
        <v>1111</v>
      </c>
      <c r="BW60" s="54">
        <v>1328</v>
      </c>
      <c r="BX60" s="54">
        <v>1265</v>
      </c>
      <c r="BY60" s="54">
        <v>1271</v>
      </c>
      <c r="BZ60" s="54">
        <v>1216</v>
      </c>
      <c r="CA60" s="54">
        <v>1495</v>
      </c>
      <c r="CB60" s="54">
        <v>1225</v>
      </c>
      <c r="CC60" s="54">
        <v>1245</v>
      </c>
      <c r="CD60" s="78">
        <v>1215</v>
      </c>
      <c r="CE60" s="54">
        <v>1525</v>
      </c>
      <c r="CF60" s="54">
        <v>1306</v>
      </c>
      <c r="CG60" s="54"/>
      <c r="CH60" s="54"/>
      <c r="CI60" s="54"/>
      <c r="CJ60" s="54"/>
      <c r="CK60" s="54"/>
      <c r="CL60" s="54"/>
      <c r="CM60" s="54"/>
      <c r="CN60" s="23"/>
      <c r="CP60" s="23"/>
      <c r="CQ60" s="23"/>
      <c r="CR60" s="23"/>
      <c r="CS60" s="23"/>
      <c r="CT60" s="23"/>
      <c r="CU60" s="23">
        <f>SUM(W60:Z60)</f>
        <v>1401</v>
      </c>
      <c r="CV60" s="23">
        <f>SUM(AA60:AD60)</f>
        <v>2217</v>
      </c>
      <c r="CW60" s="23">
        <f t="shared" ref="CW60:DC60" si="50">CV60*1.02</f>
        <v>2261.34</v>
      </c>
      <c r="CX60" s="23">
        <f t="shared" si="50"/>
        <v>2306.5668000000001</v>
      </c>
      <c r="CY60" s="23">
        <f t="shared" si="50"/>
        <v>2352.698136</v>
      </c>
      <c r="CZ60" s="23">
        <f t="shared" si="50"/>
        <v>2399.75209872</v>
      </c>
      <c r="DA60" s="23">
        <f t="shared" si="50"/>
        <v>2447.7471406944001</v>
      </c>
      <c r="DB60" s="23">
        <f t="shared" si="50"/>
        <v>2496.7020835082881</v>
      </c>
      <c r="DC60" s="23">
        <f t="shared" si="50"/>
        <v>2546.6361251784538</v>
      </c>
    </row>
    <row r="61" spans="2:109" x14ac:dyDescent="0.15">
      <c r="B61" s="19" t="s">
        <v>556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56"/>
      <c r="AP61" s="23"/>
      <c r="AQ61" s="23"/>
      <c r="AR61" s="56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78"/>
      <c r="BL61" s="78"/>
      <c r="BM61" s="78"/>
      <c r="BN61" s="78"/>
      <c r="BO61" s="78"/>
      <c r="BP61" s="78"/>
      <c r="BQ61" s="78"/>
      <c r="BR61" s="78"/>
      <c r="BS61" s="54">
        <v>188</v>
      </c>
      <c r="BT61" s="54">
        <v>192</v>
      </c>
      <c r="BU61" s="54">
        <v>208</v>
      </c>
      <c r="BV61" s="54">
        <v>220</v>
      </c>
      <c r="BW61" s="54">
        <v>183</v>
      </c>
      <c r="BX61" s="54">
        <v>133</v>
      </c>
      <c r="BY61" s="54">
        <v>127</v>
      </c>
      <c r="BZ61" s="54">
        <v>177</v>
      </c>
      <c r="CA61" s="54">
        <v>135</v>
      </c>
      <c r="CB61" s="54">
        <v>145</v>
      </c>
      <c r="CC61" s="54">
        <v>126</v>
      </c>
      <c r="CD61" s="78">
        <v>176</v>
      </c>
      <c r="CE61" s="54">
        <v>157</v>
      </c>
      <c r="CF61" s="54">
        <v>121</v>
      </c>
      <c r="CG61" s="54"/>
      <c r="CH61" s="54"/>
      <c r="CI61" s="54"/>
      <c r="CJ61" s="54"/>
      <c r="CK61" s="54"/>
      <c r="CL61" s="54"/>
      <c r="CM61" s="54"/>
      <c r="CN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</row>
    <row r="62" spans="2:109" x14ac:dyDescent="0.15">
      <c r="B62" s="19" t="s">
        <v>278</v>
      </c>
      <c r="R62" s="23"/>
      <c r="S62" s="23"/>
      <c r="T62" s="23"/>
      <c r="U62" s="23"/>
      <c r="V62" s="23"/>
      <c r="W62" s="23">
        <f>377-X62</f>
        <v>93</v>
      </c>
      <c r="X62" s="23">
        <v>284</v>
      </c>
      <c r="Y62" s="23">
        <v>302</v>
      </c>
      <c r="Z62" s="23">
        <v>333</v>
      </c>
      <c r="AA62" s="23">
        <f>254+20+69</f>
        <v>343</v>
      </c>
      <c r="AB62" s="23">
        <v>381</v>
      </c>
      <c r="AC62" s="23">
        <v>390</v>
      </c>
      <c r="AD62" s="23">
        <v>420</v>
      </c>
      <c r="AE62" s="23">
        <v>414</v>
      </c>
      <c r="AF62" s="23">
        <f t="shared" si="49"/>
        <v>414</v>
      </c>
      <c r="AG62" s="23">
        <f t="shared" si="49"/>
        <v>414</v>
      </c>
      <c r="AH62" s="23">
        <f t="shared" si="49"/>
        <v>414</v>
      </c>
      <c r="AI62" s="23"/>
      <c r="AJ62" s="23"/>
      <c r="AK62" s="23"/>
      <c r="AL62" s="23"/>
      <c r="AM62" s="23"/>
      <c r="AN62" s="23">
        <v>300</v>
      </c>
      <c r="AO62" s="56">
        <v>424</v>
      </c>
      <c r="AP62" s="23"/>
      <c r="AQ62" s="23"/>
      <c r="AR62" s="56">
        <v>466</v>
      </c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78"/>
      <c r="BL62" s="78"/>
      <c r="BM62" s="78"/>
      <c r="BN62" s="78"/>
      <c r="BO62" s="78">
        <v>270</v>
      </c>
      <c r="BP62" s="78">
        <v>224</v>
      </c>
      <c r="BQ62" s="78">
        <v>219</v>
      </c>
      <c r="BR62" s="78">
        <v>219</v>
      </c>
      <c r="BS62" s="54">
        <v>206</v>
      </c>
      <c r="BT62" s="54">
        <v>188</v>
      </c>
      <c r="BU62" s="54">
        <v>172</v>
      </c>
      <c r="BV62" s="54">
        <v>133</v>
      </c>
      <c r="BW62" s="54"/>
      <c r="BX62" s="54"/>
      <c r="BY62" s="54"/>
      <c r="BZ62" s="54"/>
      <c r="CA62" s="54"/>
      <c r="CB62" s="54"/>
      <c r="CC62" s="54"/>
      <c r="CD62" s="78"/>
      <c r="CE62" s="54"/>
      <c r="CF62" s="54"/>
      <c r="CG62" s="54"/>
      <c r="CH62" s="54"/>
      <c r="CI62" s="54"/>
      <c r="CJ62" s="54"/>
      <c r="CK62" s="54"/>
      <c r="CL62" s="54"/>
      <c r="CM62" s="54"/>
      <c r="CN62" s="23"/>
      <c r="CP62" s="23"/>
      <c r="CQ62" s="23"/>
      <c r="CR62" s="23"/>
      <c r="CS62" s="23"/>
      <c r="CT62" s="23"/>
      <c r="CU62" s="23">
        <f>SUM(W62:Z62)</f>
        <v>1012</v>
      </c>
      <c r="CV62" s="23">
        <f>SUM(AA62:AD62)</f>
        <v>1534</v>
      </c>
      <c r="CW62" s="23">
        <f t="shared" ref="CW62:DC62" si="51">CV62*1.02</f>
        <v>1564.68</v>
      </c>
      <c r="CX62" s="23">
        <f t="shared" si="51"/>
        <v>1595.9736</v>
      </c>
      <c r="CY62" s="23">
        <f t="shared" si="51"/>
        <v>1627.8930720000001</v>
      </c>
      <c r="CZ62" s="23">
        <f t="shared" si="51"/>
        <v>1660.4509334400002</v>
      </c>
      <c r="DA62" s="23">
        <f t="shared" si="51"/>
        <v>1693.6599521088003</v>
      </c>
      <c r="DB62" s="23">
        <f t="shared" si="51"/>
        <v>1727.5331511509764</v>
      </c>
      <c r="DC62" s="23">
        <f t="shared" si="51"/>
        <v>1762.083814173996</v>
      </c>
    </row>
    <row r="63" spans="2:109" x14ac:dyDescent="0.15">
      <c r="B63" s="1" t="s">
        <v>138</v>
      </c>
      <c r="K63" s="23">
        <v>2258</v>
      </c>
      <c r="L63" s="23">
        <v>2131</v>
      </c>
      <c r="M63" s="23">
        <v>2033</v>
      </c>
      <c r="N63" s="23">
        <v>2129</v>
      </c>
      <c r="O63" s="23">
        <v>2127</v>
      </c>
      <c r="P63" s="23">
        <v>2026</v>
      </c>
      <c r="Q63" s="23">
        <v>1962</v>
      </c>
      <c r="R63" s="23">
        <v>2088</v>
      </c>
      <c r="S63" s="23">
        <f>2067-22-18+22</f>
        <v>2049</v>
      </c>
      <c r="T63" s="23">
        <v>2005</v>
      </c>
      <c r="U63" s="23">
        <v>1949</v>
      </c>
      <c r="V63" s="23">
        <v>2029</v>
      </c>
      <c r="W63" s="23">
        <f>1516+378+93-W60-W62</f>
        <v>1565</v>
      </c>
      <c r="X63" s="23">
        <f>3099+640+377-W63-X60-X62-W60-W62</f>
        <v>1534</v>
      </c>
      <c r="Y63" s="23">
        <v>1486</v>
      </c>
      <c r="Z63" s="23">
        <v>1522</v>
      </c>
      <c r="AA63" s="23">
        <v>1484</v>
      </c>
      <c r="AB63" s="23">
        <v>1576</v>
      </c>
      <c r="AC63" s="23">
        <v>1510</v>
      </c>
      <c r="AD63" s="23">
        <v>1494</v>
      </c>
      <c r="AE63" s="23">
        <v>1479</v>
      </c>
      <c r="AF63" s="23">
        <f t="shared" si="49"/>
        <v>1479</v>
      </c>
      <c r="AG63" s="23">
        <f t="shared" si="49"/>
        <v>1479</v>
      </c>
      <c r="AH63" s="23">
        <f t="shared" si="49"/>
        <v>1479</v>
      </c>
      <c r="AI63" s="23"/>
      <c r="AJ63" s="23"/>
      <c r="AK63" s="23"/>
      <c r="AL63" s="23"/>
      <c r="AM63" s="23"/>
      <c r="AN63" s="23">
        <v>1074</v>
      </c>
      <c r="AO63" s="56">
        <f>1044-AO52</f>
        <v>1017</v>
      </c>
      <c r="AP63" s="23"/>
      <c r="AQ63" s="23"/>
      <c r="AR63" s="56">
        <f>927+19</f>
        <v>946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78"/>
      <c r="BL63" s="78"/>
      <c r="BM63" s="78"/>
      <c r="BN63" s="78"/>
      <c r="BO63" s="78">
        <v>1233</v>
      </c>
      <c r="BP63" s="78">
        <v>1023</v>
      </c>
      <c r="BQ63" s="78">
        <v>1056</v>
      </c>
      <c r="BR63" s="78">
        <v>1055</v>
      </c>
      <c r="BS63" s="54">
        <v>1090</v>
      </c>
      <c r="BT63" s="54">
        <v>1043</v>
      </c>
      <c r="BU63" s="54">
        <v>1064</v>
      </c>
      <c r="BV63" s="54">
        <f>1015-BV32</f>
        <v>995</v>
      </c>
      <c r="BW63" s="54">
        <v>1187</v>
      </c>
      <c r="BX63" s="54">
        <v>1133</v>
      </c>
      <c r="BY63" s="54"/>
      <c r="BZ63" s="54"/>
      <c r="CA63" s="54"/>
      <c r="CB63" s="54"/>
      <c r="CC63" s="54"/>
      <c r="CD63" s="78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>
        <f>SUM(K63:N63)</f>
        <v>8551</v>
      </c>
      <c r="CS63" s="23">
        <f>SUM(O63:R63)</f>
        <v>8203</v>
      </c>
      <c r="CT63" s="23">
        <f>SUM(S63:V63)</f>
        <v>8032</v>
      </c>
      <c r="CU63" s="23">
        <f>SUM(W63:Z63)</f>
        <v>6107</v>
      </c>
      <c r="CV63" s="23">
        <f>SUM(AA63:AD63)</f>
        <v>6064</v>
      </c>
      <c r="CW63" s="44">
        <f>CV63*0.95</f>
        <v>5760.8</v>
      </c>
      <c r="CX63" s="44">
        <f t="shared" ref="CX63:DA63" si="52">CW63*0.95</f>
        <v>5472.76</v>
      </c>
      <c r="CY63" s="44">
        <f t="shared" si="52"/>
        <v>5199.1220000000003</v>
      </c>
      <c r="CZ63" s="44">
        <f t="shared" si="52"/>
        <v>4939.1659</v>
      </c>
      <c r="DA63" s="44">
        <f t="shared" si="52"/>
        <v>4692.2076049999996</v>
      </c>
      <c r="DB63" s="44">
        <f>DA63*0.95</f>
        <v>4457.5972247499994</v>
      </c>
      <c r="DC63" s="44">
        <f>DB63*0.95</f>
        <v>4234.7173635124991</v>
      </c>
    </row>
    <row r="64" spans="2:109" x14ac:dyDescent="0.15">
      <c r="B64" s="1" t="s">
        <v>145</v>
      </c>
      <c r="K64" s="23">
        <v>512</v>
      </c>
      <c r="L64" s="23">
        <v>568</v>
      </c>
      <c r="M64" s="23">
        <v>647</v>
      </c>
      <c r="N64" s="23">
        <v>806</v>
      </c>
      <c r="O64" s="23">
        <v>567</v>
      </c>
      <c r="P64" s="23">
        <v>619</v>
      </c>
      <c r="Q64" s="23">
        <v>943</v>
      </c>
      <c r="R64" s="23">
        <v>649</v>
      </c>
      <c r="S64" s="23">
        <v>548</v>
      </c>
      <c r="T64" s="23">
        <v>657</v>
      </c>
      <c r="U64" s="23">
        <v>947</v>
      </c>
      <c r="V64" s="20">
        <v>709</v>
      </c>
      <c r="W64" s="23">
        <v>627</v>
      </c>
      <c r="X64" s="23">
        <f>1339-W64</f>
        <v>712</v>
      </c>
      <c r="Y64" s="23">
        <v>1046</v>
      </c>
      <c r="Z64" s="23">
        <v>1098</v>
      </c>
      <c r="AA64" s="23">
        <v>944</v>
      </c>
      <c r="AB64" s="23">
        <v>748</v>
      </c>
      <c r="AC64" s="23">
        <v>1226</v>
      </c>
      <c r="AD64" s="23">
        <v>890</v>
      </c>
      <c r="AE64" s="23">
        <v>602</v>
      </c>
      <c r="AF64" s="23">
        <f>+AB64</f>
        <v>748</v>
      </c>
      <c r="AG64" s="23">
        <f t="shared" ref="AG64:AH64" si="53">+AC64</f>
        <v>1226</v>
      </c>
      <c r="AH64" s="23">
        <f t="shared" si="53"/>
        <v>890</v>
      </c>
      <c r="AI64" s="23"/>
      <c r="AJ64" s="23"/>
      <c r="AK64" s="23"/>
      <c r="AL64" s="23"/>
      <c r="AM64" s="23"/>
      <c r="AN64" s="23">
        <v>760</v>
      </c>
      <c r="AO64" s="56">
        <v>1300</v>
      </c>
      <c r="AP64" s="23"/>
      <c r="AQ64" s="23"/>
      <c r="AR64" s="56">
        <v>718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78"/>
      <c r="BL64" s="78"/>
      <c r="BM64" s="78"/>
      <c r="BN64" s="78"/>
      <c r="BO64" s="79" t="s">
        <v>574</v>
      </c>
      <c r="BP64" s="79" t="s">
        <v>573</v>
      </c>
      <c r="BQ64" s="79" t="s">
        <v>572</v>
      </c>
      <c r="BR64" s="79" t="s">
        <v>570</v>
      </c>
      <c r="BS64" s="61" t="s">
        <v>569</v>
      </c>
      <c r="BT64" s="61" t="s">
        <v>564</v>
      </c>
      <c r="BU64" s="61" t="s">
        <v>563</v>
      </c>
      <c r="BV64" s="67" t="s">
        <v>557</v>
      </c>
      <c r="BW64" s="61" t="s">
        <v>555</v>
      </c>
      <c r="BX64" s="61" t="s">
        <v>562</v>
      </c>
      <c r="BY64" s="54"/>
      <c r="BZ64" s="54"/>
      <c r="CA64" s="54"/>
      <c r="CB64" s="54"/>
      <c r="CC64" s="54"/>
      <c r="CD64" s="78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 t="shared" si="25"/>
        <v>2533</v>
      </c>
      <c r="CS64" s="23">
        <f t="shared" ref="CS64" si="54">SUM(O64:R64)</f>
        <v>2778</v>
      </c>
      <c r="CT64" s="23">
        <f>SUM(S64:V64)</f>
        <v>2861</v>
      </c>
      <c r="CU64" s="23">
        <f>SUM(W64:Z64)</f>
        <v>3483</v>
      </c>
      <c r="CV64" s="23">
        <f>SUM(AA64:AD64)</f>
        <v>3808</v>
      </c>
      <c r="CW64" s="23">
        <f>CV64*1.04</f>
        <v>3960.32</v>
      </c>
      <c r="CX64" s="23">
        <f>CW64*1.03</f>
        <v>4079.1296000000002</v>
      </c>
      <c r="CY64" s="23">
        <f t="shared" ref="CY64:DC64" si="55">CX64*1.03</f>
        <v>4201.5034880000003</v>
      </c>
      <c r="CZ64" s="23">
        <f t="shared" si="55"/>
        <v>4327.5485926400006</v>
      </c>
      <c r="DA64" s="23">
        <f t="shared" si="55"/>
        <v>4457.3750504192003</v>
      </c>
      <c r="DB64" s="23">
        <f t="shared" si="55"/>
        <v>4591.096301931776</v>
      </c>
      <c r="DC64" s="23">
        <f t="shared" si="55"/>
        <v>4728.8291909897298</v>
      </c>
    </row>
    <row r="65" spans="2:107" x14ac:dyDescent="0.15">
      <c r="B65" s="19" t="s">
        <v>549</v>
      </c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56"/>
      <c r="AP65" s="23"/>
      <c r="AQ65" s="23"/>
      <c r="AR65" s="56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78"/>
      <c r="BL65" s="78"/>
      <c r="BM65" s="78"/>
      <c r="BN65" s="78"/>
      <c r="BO65" s="78">
        <v>484</v>
      </c>
      <c r="BP65" s="78">
        <v>575</v>
      </c>
      <c r="BQ65" s="78">
        <v>553</v>
      </c>
      <c r="BR65" s="78">
        <v>494</v>
      </c>
      <c r="BS65" s="54">
        <v>533</v>
      </c>
      <c r="BT65" s="54">
        <v>520</v>
      </c>
      <c r="BU65" s="54">
        <v>563</v>
      </c>
      <c r="BV65" s="54">
        <v>543</v>
      </c>
      <c r="BW65" s="54">
        <v>613</v>
      </c>
      <c r="BX65" s="54">
        <v>589</v>
      </c>
      <c r="BY65" s="54">
        <v>640</v>
      </c>
      <c r="BZ65" s="54">
        <v>443</v>
      </c>
      <c r="CA65" s="54">
        <v>537</v>
      </c>
      <c r="CB65" s="54">
        <v>617</v>
      </c>
      <c r="CC65" s="54">
        <v>577</v>
      </c>
      <c r="CD65" s="78">
        <v>434</v>
      </c>
      <c r="CE65" s="54">
        <v>636</v>
      </c>
      <c r="CF65" s="54">
        <v>712</v>
      </c>
      <c r="CG65" s="54"/>
      <c r="CH65" s="54"/>
      <c r="CI65" s="54"/>
      <c r="CJ65" s="54"/>
      <c r="CK65" s="54"/>
      <c r="CL65" s="54"/>
      <c r="CM65" s="54"/>
      <c r="CN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</row>
    <row r="66" spans="2:107" x14ac:dyDescent="0.15">
      <c r="B66" s="19" t="s">
        <v>593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78"/>
      <c r="BL66" s="78"/>
      <c r="BM66" s="78"/>
      <c r="BN66" s="78"/>
      <c r="BO66" s="78"/>
      <c r="BP66" s="78"/>
      <c r="BQ66" s="78"/>
      <c r="BR66" s="78"/>
      <c r="BS66" s="54"/>
      <c r="BT66" s="54"/>
      <c r="BU66" s="54"/>
      <c r="BV66" s="54"/>
      <c r="BW66" s="54"/>
      <c r="BX66" s="54"/>
      <c r="BY66" s="54">
        <v>0</v>
      </c>
      <c r="BZ66" s="54">
        <v>0</v>
      </c>
      <c r="CA66" s="54">
        <v>0</v>
      </c>
      <c r="CB66" s="54">
        <v>0</v>
      </c>
      <c r="CC66" s="54">
        <v>137</v>
      </c>
      <c r="CD66" s="78">
        <v>410</v>
      </c>
      <c r="CE66" s="54">
        <v>182</v>
      </c>
      <c r="CF66" s="54">
        <v>18</v>
      </c>
      <c r="CG66" s="54"/>
      <c r="CH66" s="54"/>
      <c r="CI66" s="54"/>
      <c r="CJ66" s="54"/>
      <c r="CK66" s="54"/>
      <c r="CL66" s="54"/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</row>
    <row r="67" spans="2:107" x14ac:dyDescent="0.15">
      <c r="B67" s="19" t="s">
        <v>550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78"/>
      <c r="BL67" s="78"/>
      <c r="BM67" s="78"/>
      <c r="BN67" s="78"/>
      <c r="BO67" s="78">
        <v>131</v>
      </c>
      <c r="BP67" s="78">
        <v>89</v>
      </c>
      <c r="BQ67" s="78">
        <v>214</v>
      </c>
      <c r="BR67" s="78">
        <v>125</v>
      </c>
      <c r="BS67" s="54">
        <v>128</v>
      </c>
      <c r="BT67" s="54">
        <v>186</v>
      </c>
      <c r="BU67" s="54">
        <v>158</v>
      </c>
      <c r="BV67" s="54">
        <v>91</v>
      </c>
      <c r="BW67" s="54">
        <v>112</v>
      </c>
      <c r="BX67" s="54">
        <v>153</v>
      </c>
      <c r="BY67" s="54">
        <v>328</v>
      </c>
      <c r="BZ67" s="54">
        <v>110</v>
      </c>
      <c r="CA67" s="54">
        <v>249</v>
      </c>
      <c r="CB67" s="54">
        <v>270</v>
      </c>
      <c r="CC67" s="54">
        <v>409</v>
      </c>
      <c r="CD67" s="78">
        <v>242</v>
      </c>
      <c r="CE67" s="54">
        <v>286</v>
      </c>
      <c r="CF67" s="54">
        <v>296</v>
      </c>
      <c r="CG67" s="54"/>
      <c r="CH67" s="54"/>
      <c r="CI67" s="54"/>
      <c r="CJ67" s="54"/>
      <c r="CK67" s="54"/>
      <c r="CL67" s="54"/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</row>
    <row r="68" spans="2:107" x14ac:dyDescent="0.15">
      <c r="B68" s="19" t="s">
        <v>551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78"/>
      <c r="BL68" s="78"/>
      <c r="BM68" s="78"/>
      <c r="BN68" s="78"/>
      <c r="BO68" s="78">
        <v>115</v>
      </c>
      <c r="BP68" s="78">
        <v>78</v>
      </c>
      <c r="BQ68" s="78">
        <v>151</v>
      </c>
      <c r="BR68" s="78">
        <v>123</v>
      </c>
      <c r="BS68" s="54">
        <v>100</v>
      </c>
      <c r="BT68" s="54">
        <v>106</v>
      </c>
      <c r="BU68" s="54">
        <v>253</v>
      </c>
      <c r="BV68" s="54">
        <v>124</v>
      </c>
      <c r="BW68" s="54">
        <v>109</v>
      </c>
      <c r="BX68" s="54">
        <v>152</v>
      </c>
      <c r="BY68" s="54">
        <v>178</v>
      </c>
      <c r="BZ68" s="54">
        <v>148</v>
      </c>
      <c r="CA68" s="54">
        <v>124</v>
      </c>
      <c r="CB68" s="54">
        <v>150</v>
      </c>
      <c r="CC68" s="54">
        <v>185</v>
      </c>
      <c r="CD68" s="78">
        <v>139</v>
      </c>
      <c r="CE68" s="54"/>
      <c r="CF68" s="54"/>
      <c r="CG68" s="54"/>
      <c r="CH68" s="54"/>
      <c r="CI68" s="54"/>
      <c r="CJ68" s="54"/>
      <c r="CK68" s="54"/>
      <c r="CL68" s="54"/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</row>
    <row r="69" spans="2:107" x14ac:dyDescent="0.15">
      <c r="B69" s="19" t="s">
        <v>552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78"/>
      <c r="BL69" s="78"/>
      <c r="BM69" s="78"/>
      <c r="BN69" s="78"/>
      <c r="BO69" s="78">
        <v>99</v>
      </c>
      <c r="BP69" s="78">
        <v>55</v>
      </c>
      <c r="BQ69" s="78">
        <v>71</v>
      </c>
      <c r="BR69" s="78">
        <v>76</v>
      </c>
      <c r="BS69" s="54">
        <v>59</v>
      </c>
      <c r="BT69" s="54">
        <v>74</v>
      </c>
      <c r="BU69" s="54">
        <v>82</v>
      </c>
      <c r="BV69" s="54">
        <v>91</v>
      </c>
      <c r="BW69" s="54">
        <v>98</v>
      </c>
      <c r="BX69" s="54">
        <v>145</v>
      </c>
      <c r="BY69" s="54">
        <v>146</v>
      </c>
      <c r="BZ69" s="54">
        <v>121</v>
      </c>
      <c r="CA69" s="54">
        <f>1167-CA70-CA68-CA67-CA65</f>
        <v>194</v>
      </c>
      <c r="CB69" s="54">
        <f>1223-CB70-CB68-CB67-CB65</f>
        <v>87</v>
      </c>
      <c r="CC69" s="54">
        <f>3098-CC68-CC67-CC66-CC65-CC70</f>
        <v>24</v>
      </c>
      <c r="CD69" s="78">
        <f>1986-CD70-CD68-CD67-CD66-CD65</f>
        <v>20</v>
      </c>
      <c r="CE69" s="54"/>
      <c r="CF69" s="54">
        <f>1142-CF70-CF67-CF66-CF65</f>
        <v>1</v>
      </c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</row>
    <row r="70" spans="2:107" x14ac:dyDescent="0.15">
      <c r="B70" s="19" t="s">
        <v>553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78"/>
      <c r="BL70" s="78"/>
      <c r="BM70" s="78"/>
      <c r="BN70" s="78"/>
      <c r="BO70" s="78">
        <v>63</v>
      </c>
      <c r="BP70" s="78">
        <v>116</v>
      </c>
      <c r="BQ70" s="78">
        <v>1065</v>
      </c>
      <c r="BR70" s="78">
        <v>1228</v>
      </c>
      <c r="BS70" s="54">
        <v>77</v>
      </c>
      <c r="BT70" s="54">
        <v>119</v>
      </c>
      <c r="BU70" s="54">
        <v>1339</v>
      </c>
      <c r="BV70" s="54">
        <v>1093</v>
      </c>
      <c r="BW70" s="54">
        <v>66</v>
      </c>
      <c r="BX70" s="54">
        <v>115</v>
      </c>
      <c r="BY70" s="54">
        <v>1994</v>
      </c>
      <c r="BZ70" s="54">
        <v>802</v>
      </c>
      <c r="CA70" s="54">
        <v>63</v>
      </c>
      <c r="CB70" s="54">
        <v>99</v>
      </c>
      <c r="CC70" s="54">
        <v>1766</v>
      </c>
      <c r="CD70" s="78">
        <v>741</v>
      </c>
      <c r="CE70" s="54">
        <v>73</v>
      </c>
      <c r="CF70" s="54">
        <v>115</v>
      </c>
      <c r="CG70" s="54"/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</row>
    <row r="71" spans="2:107" x14ac:dyDescent="0.15">
      <c r="B71" s="19" t="s">
        <v>554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78"/>
      <c r="BL71" s="78"/>
      <c r="BM71" s="78"/>
      <c r="BN71" s="78"/>
      <c r="BO71" s="78">
        <f>909-BO70-BO69-BO68-BO67-BO65</f>
        <v>17</v>
      </c>
      <c r="BP71" s="78">
        <f>927-BP70-BP69-BP68-BP67-BP65</f>
        <v>14</v>
      </c>
      <c r="BQ71" s="78">
        <f>2077-BQ70-BQ69-BQ68-BQ67-BQ65</f>
        <v>23</v>
      </c>
      <c r="BR71" s="78">
        <f>2060-BR70-BR69-BR68-BR67-BR65</f>
        <v>14</v>
      </c>
      <c r="BS71" s="54">
        <f>915-BS65-BS67-BS68-BS69-BS70</f>
        <v>18</v>
      </c>
      <c r="BT71" s="54">
        <f>1022-SUM(BT65:BT70)</f>
        <v>17</v>
      </c>
      <c r="BU71" s="54">
        <f>2422-SUM(BU65:BU70)</f>
        <v>27</v>
      </c>
      <c r="BV71" s="54">
        <v>22</v>
      </c>
      <c r="BW71" s="54">
        <v>22</v>
      </c>
      <c r="BX71" s="54">
        <f>1178-SUM(BX65:BX70)</f>
        <v>24</v>
      </c>
      <c r="BY71" s="54">
        <f>3315-BY70-BY69-BY68-BY67-BY65</f>
        <v>29</v>
      </c>
      <c r="BZ71" s="54">
        <v>92</v>
      </c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</row>
    <row r="72" spans="2:107" x14ac:dyDescent="0.15">
      <c r="B72" s="19" t="s">
        <v>322</v>
      </c>
      <c r="AA72" s="20">
        <v>513</v>
      </c>
      <c r="AB72" s="23"/>
      <c r="AC72" s="23"/>
      <c r="AD72" s="23"/>
      <c r="AE72" s="23">
        <v>594</v>
      </c>
      <c r="AF72" s="23">
        <f>+AE72</f>
        <v>594</v>
      </c>
      <c r="AG72" s="23">
        <f t="shared" ref="AG72:AH73" si="56">+AF72</f>
        <v>594</v>
      </c>
      <c r="AH72" s="23">
        <f t="shared" si="56"/>
        <v>594</v>
      </c>
      <c r="AI72" s="23"/>
      <c r="AJ72" s="23"/>
      <c r="AK72" s="23"/>
      <c r="AL72" s="23"/>
      <c r="AM72" s="23"/>
      <c r="AN72" s="23">
        <v>529</v>
      </c>
      <c r="AO72" s="56">
        <v>458</v>
      </c>
      <c r="AP72" s="23"/>
      <c r="AQ72" s="23"/>
      <c r="AR72" s="23">
        <v>537</v>
      </c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78"/>
      <c r="BL72" s="78"/>
      <c r="BM72" s="78"/>
      <c r="BN72" s="78"/>
      <c r="BO72" s="78"/>
      <c r="BP72" s="78"/>
      <c r="BQ72" s="78"/>
      <c r="BR72" s="78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>
        <f>SUM(AE72:AH72)</f>
        <v>2376</v>
      </c>
      <c r="CX72" s="23">
        <f>CW72*1.05</f>
        <v>2494.8000000000002</v>
      </c>
      <c r="CY72" s="23">
        <f t="shared" ref="CY72:DC72" si="57">CX72*1.05</f>
        <v>2619.5400000000004</v>
      </c>
      <c r="CZ72" s="23">
        <f t="shared" si="57"/>
        <v>2750.5170000000007</v>
      </c>
      <c r="DA72" s="23">
        <f t="shared" si="57"/>
        <v>2888.0428500000007</v>
      </c>
      <c r="DB72" s="23">
        <f t="shared" si="57"/>
        <v>3032.4449925000008</v>
      </c>
      <c r="DC72" s="23">
        <f t="shared" si="57"/>
        <v>3184.067242125001</v>
      </c>
    </row>
    <row r="73" spans="2:107" x14ac:dyDescent="0.15">
      <c r="B73" s="1" t="s">
        <v>1</v>
      </c>
      <c r="C73" s="23">
        <f>507-D73</f>
        <v>221</v>
      </c>
      <c r="D73" s="23">
        <v>286</v>
      </c>
      <c r="G73" s="23">
        <f>548-H73</f>
        <v>243</v>
      </c>
      <c r="H73" s="23">
        <v>305</v>
      </c>
      <c r="M73" s="23">
        <v>241</v>
      </c>
      <c r="N73" s="23">
        <v>228</v>
      </c>
      <c r="O73" s="23">
        <v>256</v>
      </c>
      <c r="P73" s="23">
        <v>291</v>
      </c>
      <c r="Q73" s="23">
        <v>298</v>
      </c>
      <c r="R73" s="20">
        <v>310</v>
      </c>
      <c r="S73" s="20">
        <v>284</v>
      </c>
      <c r="T73" s="20">
        <v>286</v>
      </c>
      <c r="U73" s="20">
        <v>312</v>
      </c>
      <c r="V73" s="20">
        <v>367</v>
      </c>
      <c r="W73" s="20">
        <v>344</v>
      </c>
      <c r="X73" s="20">
        <f>703-W73</f>
        <v>359</v>
      </c>
      <c r="Y73" s="20">
        <v>372</v>
      </c>
      <c r="Z73" s="20">
        <v>368</v>
      </c>
      <c r="AA73" s="20">
        <v>390</v>
      </c>
      <c r="AB73" s="23">
        <v>408</v>
      </c>
      <c r="AC73" s="23">
        <v>438</v>
      </c>
      <c r="AD73" s="23">
        <v>415</v>
      </c>
      <c r="AE73" s="23">
        <v>413</v>
      </c>
      <c r="AF73" s="23">
        <f>+AE73</f>
        <v>413</v>
      </c>
      <c r="AG73" s="23">
        <f t="shared" si="56"/>
        <v>413</v>
      </c>
      <c r="AH73" s="23">
        <f t="shared" si="56"/>
        <v>413</v>
      </c>
      <c r="AI73" s="23"/>
      <c r="AJ73" s="23"/>
      <c r="AK73" s="23"/>
      <c r="AL73" s="23"/>
      <c r="AM73" s="23"/>
      <c r="AN73" s="23">
        <v>83</v>
      </c>
      <c r="AO73" s="54">
        <v>86</v>
      </c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78"/>
      <c r="BL73" s="78"/>
      <c r="BM73" s="78"/>
      <c r="BN73" s="78"/>
      <c r="BO73" s="78"/>
      <c r="BP73" s="78"/>
      <c r="BQ73" s="78"/>
      <c r="BR73" s="78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>
        <f>SUM(W73:Z73)</f>
        <v>1443</v>
      </c>
      <c r="CV73" s="23"/>
      <c r="CW73" s="23"/>
      <c r="CX73" s="23"/>
      <c r="CY73" s="23"/>
      <c r="CZ73" s="23"/>
      <c r="DA73" s="23"/>
      <c r="DB73" s="23"/>
      <c r="DC73" s="23"/>
    </row>
    <row r="74" spans="2:107" x14ac:dyDescent="0.15">
      <c r="C74" s="23">
        <f>12196-D74</f>
        <v>5919</v>
      </c>
      <c r="D74" s="23">
        <v>6277</v>
      </c>
      <c r="G74" s="23">
        <f>13104-H74</f>
        <v>6417</v>
      </c>
      <c r="H74" s="23">
        <v>6687</v>
      </c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</row>
    <row r="75" spans="2:107" s="11" customFormat="1" x14ac:dyDescent="0.15">
      <c r="B75" s="11" t="s">
        <v>181</v>
      </c>
      <c r="C75" s="39">
        <f>C73+C74</f>
        <v>6140</v>
      </c>
      <c r="D75" s="39">
        <f>D73+D74</f>
        <v>6563</v>
      </c>
      <c r="E75" s="39"/>
      <c r="F75" s="39"/>
      <c r="G75" s="39">
        <f>G73+G74</f>
        <v>6660</v>
      </c>
      <c r="H75" s="39">
        <f>H73+H74</f>
        <v>6992</v>
      </c>
      <c r="I75" s="39"/>
      <c r="J75" s="39"/>
      <c r="K75" s="39">
        <f t="shared" ref="K75:Z75" si="58">SUM(K4:K64)</f>
        <v>7035</v>
      </c>
      <c r="L75" s="39">
        <f t="shared" si="58"/>
        <v>7081</v>
      </c>
      <c r="M75" s="39">
        <f t="shared" si="58"/>
        <v>6901</v>
      </c>
      <c r="N75" s="39">
        <f t="shared" si="58"/>
        <v>7356</v>
      </c>
      <c r="O75" s="39">
        <f t="shared" si="58"/>
        <v>7177</v>
      </c>
      <c r="P75" s="39">
        <f t="shared" si="58"/>
        <v>6939</v>
      </c>
      <c r="Q75" s="39">
        <f t="shared" si="58"/>
        <v>7025</v>
      </c>
      <c r="R75" s="39">
        <f t="shared" si="58"/>
        <v>6911</v>
      </c>
      <c r="S75" s="39">
        <f t="shared" si="58"/>
        <v>6919</v>
      </c>
      <c r="T75" s="39">
        <f t="shared" si="58"/>
        <v>6689</v>
      </c>
      <c r="U75" s="39">
        <f t="shared" si="58"/>
        <v>6853</v>
      </c>
      <c r="V75" s="39">
        <f t="shared" si="58"/>
        <v>7089</v>
      </c>
      <c r="W75" s="39">
        <f t="shared" si="58"/>
        <v>7107</v>
      </c>
      <c r="X75" s="39">
        <f t="shared" si="58"/>
        <v>7442</v>
      </c>
      <c r="Y75" s="39">
        <f t="shared" si="58"/>
        <v>7400</v>
      </c>
      <c r="Z75" s="39">
        <f t="shared" si="58"/>
        <v>7361</v>
      </c>
      <c r="AA75" s="39">
        <f>SUM(AA4:AA72)</f>
        <v>7898</v>
      </c>
      <c r="AB75" s="39">
        <f>SUM(AB4:AB64)</f>
        <v>7783</v>
      </c>
      <c r="AC75" s="39">
        <f>SUM(AC4:AC64)</f>
        <v>7821</v>
      </c>
      <c r="AD75" s="39">
        <f>SUM(AD4:AD64)</f>
        <v>7395</v>
      </c>
      <c r="AE75" s="39">
        <f t="shared" ref="AE75:AM75" si="59">SUM(AE4:AE72)</f>
        <v>7779</v>
      </c>
      <c r="AF75" s="39">
        <f t="shared" si="59"/>
        <v>7875</v>
      </c>
      <c r="AG75" s="39">
        <f t="shared" si="59"/>
        <v>7853</v>
      </c>
      <c r="AH75" s="39">
        <f t="shared" si="59"/>
        <v>7495.4</v>
      </c>
      <c r="AI75" s="39">
        <f t="shared" si="59"/>
        <v>54</v>
      </c>
      <c r="AJ75" s="39">
        <f t="shared" si="59"/>
        <v>0</v>
      </c>
      <c r="AK75" s="39">
        <f t="shared" si="59"/>
        <v>0</v>
      </c>
      <c r="AL75" s="39">
        <f t="shared" si="59"/>
        <v>0</v>
      </c>
      <c r="AM75" s="39">
        <f t="shared" si="59"/>
        <v>0</v>
      </c>
      <c r="AN75" s="39">
        <f>SUM(AN4:AN73)</f>
        <v>8073</v>
      </c>
      <c r="AO75" s="39">
        <f>SUM(AO4:AO73)</f>
        <v>8502</v>
      </c>
      <c r="AP75" s="39"/>
      <c r="AQ75" s="39"/>
      <c r="AR75" s="39">
        <f>SUM(AR4:AR73)</f>
        <v>8075</v>
      </c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80"/>
      <c r="BL75" s="80"/>
      <c r="BM75" s="80"/>
      <c r="BN75" s="80"/>
      <c r="BO75" s="80">
        <f t="shared" ref="BO75:BX75" si="60">SUM(BO3:BO74)</f>
        <v>8973</v>
      </c>
      <c r="BP75" s="80">
        <f t="shared" si="60"/>
        <v>8207</v>
      </c>
      <c r="BQ75" s="80">
        <f t="shared" si="60"/>
        <v>9479</v>
      </c>
      <c r="BR75" s="80">
        <f t="shared" si="60"/>
        <v>9382</v>
      </c>
      <c r="BS75" s="62">
        <f t="shared" si="60"/>
        <v>8591</v>
      </c>
      <c r="BT75" s="62">
        <f t="shared" si="60"/>
        <v>8744</v>
      </c>
      <c r="BU75" s="62">
        <f t="shared" si="60"/>
        <v>10432</v>
      </c>
      <c r="BV75" s="62">
        <f t="shared" si="60"/>
        <v>9994</v>
      </c>
      <c r="BW75" s="62">
        <f t="shared" si="60"/>
        <v>9673</v>
      </c>
      <c r="BX75" s="62">
        <f t="shared" si="60"/>
        <v>10116</v>
      </c>
      <c r="BY75" s="62">
        <f t="shared" ref="BY75:CL75" si="61">SUM(BY3:BY74)</f>
        <v>12482</v>
      </c>
      <c r="BZ75" s="62">
        <f>SUM(BZ3:BZ74)</f>
        <v>10724</v>
      </c>
      <c r="CA75" s="62">
        <f t="shared" si="61"/>
        <v>10221</v>
      </c>
      <c r="CB75" s="62">
        <f t="shared" si="61"/>
        <v>9965</v>
      </c>
      <c r="CC75" s="62">
        <f t="shared" si="61"/>
        <v>11964</v>
      </c>
      <c r="CD75" s="62">
        <f>SUM(CD3:CD74)</f>
        <v>10919</v>
      </c>
      <c r="CE75" s="62">
        <f>SUM(CE3:CE74)</f>
        <v>10464</v>
      </c>
      <c r="CF75" s="62">
        <f t="shared" si="61"/>
        <v>10745</v>
      </c>
      <c r="CG75" s="62">
        <f t="shared" si="61"/>
        <v>6950.1299999999992</v>
      </c>
      <c r="CH75" s="62">
        <f t="shared" si="61"/>
        <v>7024.32</v>
      </c>
      <c r="CI75" s="62">
        <f t="shared" si="61"/>
        <v>7030.4299999999994</v>
      </c>
      <c r="CJ75" s="62">
        <f t="shared" si="61"/>
        <v>7595.7300000000005</v>
      </c>
      <c r="CK75" s="62">
        <f t="shared" si="61"/>
        <v>8034.5652999999993</v>
      </c>
      <c r="CL75" s="62">
        <f t="shared" si="61"/>
        <v>8195.3742000000002</v>
      </c>
      <c r="CM75" s="62"/>
      <c r="CN75" s="39"/>
      <c r="CO75" s="45"/>
      <c r="CP75" s="45"/>
      <c r="CQ75" s="45"/>
      <c r="CR75" s="39">
        <f>SUM(CR4:CR64)</f>
        <v>28373</v>
      </c>
      <c r="CS75" s="39">
        <f>SUM(CS4:CS64)</f>
        <v>28052</v>
      </c>
      <c r="CT75" s="39">
        <f>SUM(CT4:CT64)</f>
        <v>27550</v>
      </c>
      <c r="CU75" s="39">
        <f>SUM(CU4:CU64)</f>
        <v>29310</v>
      </c>
      <c r="CV75" s="39">
        <f>SUM(CV4:CV64)</f>
        <v>30415</v>
      </c>
      <c r="CW75" s="39">
        <f t="shared" ref="CW75:DC75" si="62">SUM(CW4:CW72)</f>
        <v>30145.23</v>
      </c>
      <c r="CX75" s="39">
        <f t="shared" si="62"/>
        <v>29130.449300000004</v>
      </c>
      <c r="CY75" s="39">
        <f t="shared" si="62"/>
        <v>27509.208572000003</v>
      </c>
      <c r="CZ75" s="39">
        <f t="shared" si="62"/>
        <v>26261.69246577</v>
      </c>
      <c r="DA75" s="39">
        <f t="shared" si="62"/>
        <v>25739.669793202305</v>
      </c>
      <c r="DB75" s="39">
        <f t="shared" si="62"/>
        <v>24572.232721612385</v>
      </c>
      <c r="DC75" s="39">
        <f t="shared" si="62"/>
        <v>22307.744321120292</v>
      </c>
    </row>
    <row r="76" spans="2:107" x14ac:dyDescent="0.15">
      <c r="B76" s="1" t="s">
        <v>2</v>
      </c>
      <c r="C76" s="23">
        <f>3379-D76</f>
        <v>1625</v>
      </c>
      <c r="D76" s="23">
        <v>1754</v>
      </c>
      <c r="G76" s="23">
        <f>3418-H76</f>
        <v>1697</v>
      </c>
      <c r="H76" s="23">
        <v>1721</v>
      </c>
      <c r="M76" s="23">
        <v>1840</v>
      </c>
      <c r="N76" s="23">
        <v>1957</v>
      </c>
      <c r="O76" s="23">
        <v>1864</v>
      </c>
      <c r="P76" s="23">
        <v>1840</v>
      </c>
      <c r="Q76" s="23">
        <v>1903</v>
      </c>
      <c r="R76" s="23">
        <v>1964</v>
      </c>
      <c r="S76" s="23">
        <v>1889</v>
      </c>
      <c r="T76" s="23">
        <v>1726</v>
      </c>
      <c r="U76" s="23">
        <v>1793</v>
      </c>
      <c r="V76" s="23">
        <v>1927</v>
      </c>
      <c r="W76" s="23">
        <v>1767</v>
      </c>
      <c r="X76" s="23">
        <f>3600-W76</f>
        <v>1833</v>
      </c>
      <c r="Y76" s="23">
        <v>2028</v>
      </c>
      <c r="Z76" s="23">
        <v>2225</v>
      </c>
      <c r="AA76" s="23">
        <f>2025</f>
        <v>2025</v>
      </c>
      <c r="AB76" s="23">
        <v>2058</v>
      </c>
      <c r="AC76" s="23">
        <v>2296</v>
      </c>
      <c r="AD76" s="23">
        <v>2310</v>
      </c>
      <c r="AE76" s="23">
        <v>2362</v>
      </c>
      <c r="AF76" s="23">
        <f>+AF75-AF77</f>
        <v>1890</v>
      </c>
      <c r="AG76" s="23">
        <f t="shared" ref="AG76:AH76" si="63">+AG75-AG77</f>
        <v>1884.7200000000003</v>
      </c>
      <c r="AH76" s="23">
        <f t="shared" si="63"/>
        <v>1798.8959999999997</v>
      </c>
      <c r="AI76" s="23"/>
      <c r="AJ76" s="23"/>
      <c r="AK76" s="23"/>
      <c r="AL76" s="23"/>
      <c r="AM76" s="23"/>
      <c r="AN76" s="23">
        <v>2672</v>
      </c>
      <c r="AO76" s="23">
        <v>2873</v>
      </c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78"/>
      <c r="BL76" s="78"/>
      <c r="BM76" s="78"/>
      <c r="BN76" s="78"/>
      <c r="BO76" s="78">
        <f>2847-343</f>
        <v>2504</v>
      </c>
      <c r="BP76" s="78">
        <f>2660-231</f>
        <v>2429</v>
      </c>
      <c r="BQ76" s="78">
        <f>3159-400</f>
        <v>2759</v>
      </c>
      <c r="BR76" s="78">
        <f>3439-354</f>
        <v>3085</v>
      </c>
      <c r="BS76" s="54">
        <f>2684-295</f>
        <v>2389</v>
      </c>
      <c r="BT76" s="54">
        <f>2858-301</f>
        <v>2557</v>
      </c>
      <c r="BU76" s="54">
        <f>3238-397</f>
        <v>2841</v>
      </c>
      <c r="BV76" s="54">
        <f>3471-421</f>
        <v>3050</v>
      </c>
      <c r="BW76" s="54">
        <f>2878-379</f>
        <v>2499</v>
      </c>
      <c r="BX76" s="54">
        <f>3249-626</f>
        <v>2623</v>
      </c>
      <c r="BY76" s="54">
        <f>3831-656</f>
        <v>3175</v>
      </c>
      <c r="BZ76" s="54">
        <f>3734-731</f>
        <v>3003</v>
      </c>
      <c r="CA76" s="54">
        <f>3079-641</f>
        <v>2438</v>
      </c>
      <c r="CB76" s="54">
        <f>3263-717</f>
        <v>2546</v>
      </c>
      <c r="CC76" s="54">
        <f>3840-734</f>
        <v>3106</v>
      </c>
      <c r="CD76" s="54">
        <f>4034-1282</f>
        <v>2752</v>
      </c>
      <c r="CE76" s="54">
        <f>3424-654</f>
        <v>2770</v>
      </c>
      <c r="CF76" s="54">
        <f>3406-635</f>
        <v>2771</v>
      </c>
      <c r="CG76" s="54"/>
      <c r="CH76" s="54"/>
      <c r="CI76" s="54"/>
      <c r="CJ76" s="54"/>
      <c r="CK76" s="54"/>
      <c r="CL76" s="54"/>
      <c r="CM76" s="54"/>
      <c r="CN76" s="23"/>
      <c r="CR76" s="23"/>
      <c r="CS76" s="23"/>
      <c r="CT76" s="23">
        <f t="shared" ref="CT76:DB76" si="64">CT75-CT77</f>
        <v>6086</v>
      </c>
      <c r="CU76" s="23">
        <f>CU75-CU77</f>
        <v>6410</v>
      </c>
      <c r="CV76" s="23">
        <f>CV75-CV77</f>
        <v>6995.4500000000007</v>
      </c>
      <c r="CW76" s="23">
        <f>CW75-CW77</f>
        <v>7234.8551999999981</v>
      </c>
      <c r="CX76" s="23">
        <f t="shared" si="64"/>
        <v>6991.3078320000022</v>
      </c>
      <c r="CY76" s="23">
        <f t="shared" si="64"/>
        <v>6877.3021430000008</v>
      </c>
      <c r="CZ76" s="23">
        <f t="shared" si="64"/>
        <v>6565.4231164425</v>
      </c>
      <c r="DA76" s="23">
        <f t="shared" si="64"/>
        <v>6434.9174483005772</v>
      </c>
      <c r="DB76" s="23">
        <f t="shared" si="64"/>
        <v>6143.0581804030953</v>
      </c>
      <c r="DC76" s="23">
        <f t="shared" ref="DC76" si="65">DC75-DC77</f>
        <v>5576.9360802800729</v>
      </c>
    </row>
    <row r="77" spans="2:107" x14ac:dyDescent="0.15">
      <c r="B77" s="1" t="s">
        <v>168</v>
      </c>
      <c r="C77" s="23">
        <f>C75-C76</f>
        <v>4515</v>
      </c>
      <c r="D77" s="23">
        <f>D75-D76</f>
        <v>4809</v>
      </c>
      <c r="G77" s="23">
        <f>G75-G76</f>
        <v>4963</v>
      </c>
      <c r="H77" s="23">
        <f>H75-H76</f>
        <v>5271</v>
      </c>
      <c r="M77" s="23">
        <f t="shared" ref="M77:AE77" si="66">M75-M76+M73</f>
        <v>5302</v>
      </c>
      <c r="N77" s="23">
        <f t="shared" si="66"/>
        <v>5627</v>
      </c>
      <c r="O77" s="23">
        <f t="shared" si="66"/>
        <v>5569</v>
      </c>
      <c r="P77" s="23">
        <f t="shared" si="66"/>
        <v>5390</v>
      </c>
      <c r="Q77" s="23">
        <f t="shared" si="66"/>
        <v>5420</v>
      </c>
      <c r="R77" s="23">
        <f t="shared" si="66"/>
        <v>5257</v>
      </c>
      <c r="S77" s="23">
        <f t="shared" si="66"/>
        <v>5314</v>
      </c>
      <c r="T77" s="23">
        <f t="shared" si="66"/>
        <v>5249</v>
      </c>
      <c r="U77" s="23">
        <f t="shared" si="66"/>
        <v>5372</v>
      </c>
      <c r="V77" s="23">
        <f t="shared" si="66"/>
        <v>5529</v>
      </c>
      <c r="W77" s="23">
        <f t="shared" si="66"/>
        <v>5684</v>
      </c>
      <c r="X77" s="23">
        <f t="shared" si="66"/>
        <v>5968</v>
      </c>
      <c r="Y77" s="23">
        <f t="shared" si="66"/>
        <v>5744</v>
      </c>
      <c r="Z77" s="23">
        <f t="shared" si="66"/>
        <v>5504</v>
      </c>
      <c r="AA77" s="23">
        <f t="shared" si="66"/>
        <v>6263</v>
      </c>
      <c r="AB77" s="23">
        <f t="shared" si="66"/>
        <v>6133</v>
      </c>
      <c r="AC77" s="23">
        <f t="shared" si="66"/>
        <v>5963</v>
      </c>
      <c r="AD77" s="23">
        <f t="shared" si="66"/>
        <v>5500</v>
      </c>
      <c r="AE77" s="23">
        <f t="shared" si="66"/>
        <v>5830</v>
      </c>
      <c r="AF77" s="23">
        <f>+AF75*AF92</f>
        <v>5985</v>
      </c>
      <c r="AG77" s="23">
        <f t="shared" ref="AG77:AH77" si="67">+AG75*AG92</f>
        <v>5968.28</v>
      </c>
      <c r="AH77" s="23">
        <f t="shared" si="67"/>
        <v>5696.5039999999999</v>
      </c>
      <c r="AI77" s="23"/>
      <c r="AJ77" s="23"/>
      <c r="AK77" s="23"/>
      <c r="AL77" s="23"/>
      <c r="AM77" s="23"/>
      <c r="AN77" s="23">
        <f t="shared" ref="AN77" si="68">+AN75-AN76</f>
        <v>5401</v>
      </c>
      <c r="AO77" s="23">
        <f>+AO75-AO76</f>
        <v>5629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78"/>
      <c r="BL77" s="78"/>
      <c r="BM77" s="78"/>
      <c r="BN77" s="78"/>
      <c r="BO77" s="78">
        <f t="shared" ref="BO77" si="69">BO75-BO76</f>
        <v>6469</v>
      </c>
      <c r="BP77" s="78">
        <f t="shared" ref="BP77" si="70">BP75-BP76</f>
        <v>5778</v>
      </c>
      <c r="BQ77" s="78">
        <f t="shared" ref="BQ77:BR77" si="71">BQ75-BQ76</f>
        <v>6720</v>
      </c>
      <c r="BR77" s="78">
        <f t="shared" si="71"/>
        <v>6297</v>
      </c>
      <c r="BS77" s="54">
        <f t="shared" ref="BS77:BX77" si="72">BS75-BS76</f>
        <v>6202</v>
      </c>
      <c r="BT77" s="54">
        <f t="shared" si="72"/>
        <v>6187</v>
      </c>
      <c r="BU77" s="54">
        <f t="shared" si="72"/>
        <v>7591</v>
      </c>
      <c r="BV77" s="54">
        <f t="shared" si="72"/>
        <v>6944</v>
      </c>
      <c r="BW77" s="54">
        <f t="shared" si="72"/>
        <v>7174</v>
      </c>
      <c r="BX77" s="54">
        <f t="shared" si="72"/>
        <v>7493</v>
      </c>
      <c r="BY77" s="54">
        <f>+BY75-BY76</f>
        <v>9307</v>
      </c>
      <c r="BZ77" s="54">
        <f>+BZ75-BZ76</f>
        <v>7721</v>
      </c>
      <c r="CA77" s="54">
        <f>+CA75-CA76</f>
        <v>7783</v>
      </c>
      <c r="CB77" s="54">
        <f>+CB75-CB76</f>
        <v>7419</v>
      </c>
      <c r="CC77" s="54">
        <f>+CC75-CC76</f>
        <v>8858</v>
      </c>
      <c r="CD77" s="54">
        <f>+CD75-CD76</f>
        <v>8167</v>
      </c>
      <c r="CE77" s="54">
        <f>+CE75-CE76</f>
        <v>7694</v>
      </c>
      <c r="CF77" s="54">
        <f>CF75-CF76</f>
        <v>7974</v>
      </c>
      <c r="CG77" s="54"/>
      <c r="CH77" s="54"/>
      <c r="CI77" s="54"/>
      <c r="CJ77" s="54"/>
      <c r="CK77" s="54"/>
      <c r="CL77" s="54"/>
      <c r="CM77" s="54"/>
      <c r="CN77" s="23"/>
      <c r="CR77" s="23"/>
      <c r="CS77" s="23"/>
      <c r="CT77" s="23">
        <f>SUM(S77:V77)</f>
        <v>21464</v>
      </c>
      <c r="CU77" s="23">
        <f>SUM(W77:Z77)</f>
        <v>22900</v>
      </c>
      <c r="CV77" s="23">
        <f>CV75*CV92</f>
        <v>23419.55</v>
      </c>
      <c r="CW77" s="23">
        <f>CW75*CW92</f>
        <v>22910.374800000001</v>
      </c>
      <c r="CX77" s="23">
        <f t="shared" ref="CX77:CY77" si="73">CX75*CX92</f>
        <v>22139.141468000002</v>
      </c>
      <c r="CY77" s="23">
        <f t="shared" si="73"/>
        <v>20631.906429000002</v>
      </c>
      <c r="CZ77" s="23">
        <f>CZ75*CZ92</f>
        <v>19696.2693493275</v>
      </c>
      <c r="DA77" s="23">
        <f>DA75*DA92</f>
        <v>19304.752344901728</v>
      </c>
      <c r="DB77" s="23">
        <f>DB75*DB92</f>
        <v>18429.17454120929</v>
      </c>
      <c r="DC77" s="23">
        <f>DC75*DC92</f>
        <v>16730.808240840219</v>
      </c>
    </row>
    <row r="78" spans="2:107" x14ac:dyDescent="0.15">
      <c r="B78" s="1" t="s">
        <v>3</v>
      </c>
      <c r="C78" s="23">
        <f>1909-D78</f>
        <v>920</v>
      </c>
      <c r="D78" s="23">
        <v>989</v>
      </c>
      <c r="G78" s="23">
        <f>1902-H78</f>
        <v>923</v>
      </c>
      <c r="H78" s="23">
        <v>979</v>
      </c>
      <c r="M78" s="23">
        <v>1075</v>
      </c>
      <c r="N78" s="23">
        <v>1211</v>
      </c>
      <c r="O78" s="23">
        <v>1081</v>
      </c>
      <c r="P78" s="23">
        <v>1101</v>
      </c>
      <c r="Q78" s="23">
        <v>1084</v>
      </c>
      <c r="R78" s="23">
        <v>1271</v>
      </c>
      <c r="S78" s="23">
        <v>1089</v>
      </c>
      <c r="T78" s="23">
        <v>1091</v>
      </c>
      <c r="U78" s="23">
        <v>1089</v>
      </c>
      <c r="V78" s="23">
        <v>1306</v>
      </c>
      <c r="W78" s="23">
        <v>1152</v>
      </c>
      <c r="X78" s="23">
        <f>2260-W78</f>
        <v>1108</v>
      </c>
      <c r="Y78" s="23">
        <v>1109</v>
      </c>
      <c r="Z78" s="23">
        <v>1214</v>
      </c>
      <c r="AA78" s="23">
        <v>1110</v>
      </c>
      <c r="AB78" s="23">
        <v>1080</v>
      </c>
      <c r="AC78" s="23">
        <v>1085</v>
      </c>
      <c r="AD78" s="23">
        <v>1126</v>
      </c>
      <c r="AE78" s="23">
        <v>1100</v>
      </c>
      <c r="AF78" s="23"/>
      <c r="AG78" s="23"/>
      <c r="AH78" s="23"/>
      <c r="AI78" s="23"/>
      <c r="AJ78" s="23"/>
      <c r="AK78" s="23"/>
      <c r="AL78" s="23"/>
      <c r="AM78" s="23"/>
      <c r="AN78" s="23">
        <v>1186</v>
      </c>
      <c r="AO78" s="23">
        <v>1183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78"/>
      <c r="BL78" s="78"/>
      <c r="BM78" s="78"/>
      <c r="BN78" s="78"/>
      <c r="BO78" s="78">
        <v>1340</v>
      </c>
      <c r="BP78" s="78">
        <v>1352</v>
      </c>
      <c r="BQ78" s="78">
        <v>1321</v>
      </c>
      <c r="BR78" s="78">
        <v>1516</v>
      </c>
      <c r="BS78" s="54">
        <v>1267</v>
      </c>
      <c r="BT78" s="54">
        <v>1396</v>
      </c>
      <c r="BU78" s="54">
        <v>1443</v>
      </c>
      <c r="BV78" s="54">
        <v>1585</v>
      </c>
      <c r="BW78" s="54">
        <v>1489</v>
      </c>
      <c r="BX78" s="54">
        <v>1658</v>
      </c>
      <c r="BY78" s="54">
        <v>1736</v>
      </c>
      <c r="BZ78" s="54">
        <v>1823</v>
      </c>
      <c r="CA78" s="54">
        <v>1563</v>
      </c>
      <c r="CB78" s="54">
        <v>1630</v>
      </c>
      <c r="CC78" s="54">
        <v>1663</v>
      </c>
      <c r="CD78" s="54">
        <v>1872</v>
      </c>
      <c r="CE78" s="54">
        <v>1719</v>
      </c>
      <c r="CF78" s="54">
        <v>1704</v>
      </c>
      <c r="CG78" s="54"/>
      <c r="CH78" s="54"/>
      <c r="CI78" s="54"/>
      <c r="CJ78" s="54"/>
      <c r="CK78" s="54"/>
      <c r="CL78" s="54"/>
      <c r="CM78" s="54"/>
      <c r="CN78" s="23"/>
      <c r="CR78" s="23"/>
      <c r="CS78" s="23">
        <f>SUM(O78:R78)</f>
        <v>4537</v>
      </c>
      <c r="CT78" s="23">
        <f>SUM(S78:V78)</f>
        <v>4575</v>
      </c>
      <c r="CU78" s="23">
        <f>SUM(W78:Z78)</f>
        <v>4583</v>
      </c>
      <c r="CV78" s="23">
        <f>SUM(AA78:AD78)</f>
        <v>4401</v>
      </c>
      <c r="CW78" s="23">
        <f>SUM(AE78:AH78)</f>
        <v>1100</v>
      </c>
      <c r="CX78" s="23"/>
      <c r="CY78" s="23"/>
      <c r="CZ78" s="23"/>
      <c r="DA78" s="23"/>
      <c r="DB78" s="23"/>
      <c r="DC78" s="23"/>
    </row>
    <row r="79" spans="2:107" x14ac:dyDescent="0.15">
      <c r="B79" s="1" t="s">
        <v>4</v>
      </c>
      <c r="C79" s="23">
        <f>3911-D79</f>
        <v>1906</v>
      </c>
      <c r="D79" s="23">
        <v>2005</v>
      </c>
      <c r="G79" s="23">
        <f>3949-H79</f>
        <v>1920</v>
      </c>
      <c r="H79" s="23">
        <v>2029</v>
      </c>
      <c r="M79" s="23">
        <v>1806</v>
      </c>
      <c r="N79" s="23">
        <v>2153</v>
      </c>
      <c r="O79" s="23">
        <v>1873</v>
      </c>
      <c r="P79" s="23">
        <v>1931</v>
      </c>
      <c r="Q79" s="23">
        <v>1754</v>
      </c>
      <c r="R79" s="23">
        <v>1996</v>
      </c>
      <c r="S79" s="23">
        <v>1783</v>
      </c>
      <c r="T79" s="23">
        <v>1789</v>
      </c>
      <c r="U79" s="23">
        <v>1651</v>
      </c>
      <c r="V79" s="23">
        <v>1945</v>
      </c>
      <c r="W79" s="23">
        <v>1732</v>
      </c>
      <c r="X79" s="23">
        <f>3627-W79</f>
        <v>1895</v>
      </c>
      <c r="Y79" s="23">
        <v>1707</v>
      </c>
      <c r="Z79" s="23">
        <v>1991</v>
      </c>
      <c r="AA79" s="23">
        <v>1701</v>
      </c>
      <c r="AB79" s="23">
        <v>1958</v>
      </c>
      <c r="AC79" s="23">
        <v>1851</v>
      </c>
      <c r="AD79" s="23">
        <v>2057</v>
      </c>
      <c r="AE79" s="23">
        <v>1933</v>
      </c>
      <c r="AF79" s="23"/>
      <c r="AG79" s="23"/>
      <c r="AH79" s="23"/>
      <c r="AI79" s="23"/>
      <c r="AJ79" s="23"/>
      <c r="AK79" s="23"/>
      <c r="AL79" s="23"/>
      <c r="AM79" s="23"/>
      <c r="AN79" s="23">
        <v>2309</v>
      </c>
      <c r="AO79" s="23">
        <v>2016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78"/>
      <c r="BL79" s="78"/>
      <c r="BM79" s="78"/>
      <c r="BN79" s="78"/>
      <c r="BO79" s="78">
        <v>2342</v>
      </c>
      <c r="BP79" s="78">
        <v>2265</v>
      </c>
      <c r="BQ79" s="78">
        <v>2182</v>
      </c>
      <c r="BR79" s="78">
        <v>2602</v>
      </c>
      <c r="BS79" s="54">
        <v>2194</v>
      </c>
      <c r="BT79" s="54">
        <v>2337</v>
      </c>
      <c r="BU79" s="54">
        <v>2267</v>
      </c>
      <c r="BV79" s="54">
        <v>2758</v>
      </c>
      <c r="BW79" s="54">
        <v>2379</v>
      </c>
      <c r="BX79" s="54">
        <v>2574</v>
      </c>
      <c r="BY79" s="54">
        <v>2644</v>
      </c>
      <c r="BZ79" s="54">
        <v>2895</v>
      </c>
      <c r="CA79" s="54">
        <v>2607</v>
      </c>
      <c r="CB79" s="54">
        <v>2575</v>
      </c>
      <c r="CC79" s="54">
        <v>2579</v>
      </c>
      <c r="CD79" s="54">
        <v>2931</v>
      </c>
      <c r="CE79" s="54">
        <v>2605</v>
      </c>
      <c r="CF79" s="54">
        <v>2655</v>
      </c>
      <c r="CG79" s="54"/>
      <c r="CH79" s="54"/>
      <c r="CI79" s="54"/>
      <c r="CJ79" s="54"/>
      <c r="CK79" s="54"/>
      <c r="CL79" s="54"/>
      <c r="CM79" s="54"/>
      <c r="CN79" s="23"/>
      <c r="CR79" s="23"/>
      <c r="CS79" s="23">
        <f>SUM(O79:R79)</f>
        <v>7554</v>
      </c>
      <c r="CT79" s="23">
        <f>SUM(S79:V79)</f>
        <v>7168</v>
      </c>
      <c r="CU79" s="23">
        <f>SUM(W79:Z79)</f>
        <v>7325</v>
      </c>
      <c r="CV79" s="23">
        <f>SUM(AA79:AD79)</f>
        <v>7567</v>
      </c>
      <c r="CW79" s="23">
        <f>SUM(AE79:AH79)</f>
        <v>1933</v>
      </c>
      <c r="CX79" s="23">
        <f t="shared" ref="CX79:CY79" si="74">CW79</f>
        <v>1933</v>
      </c>
      <c r="CY79" s="23">
        <f t="shared" si="74"/>
        <v>1933</v>
      </c>
      <c r="CZ79" s="23">
        <f>CY79</f>
        <v>1933</v>
      </c>
      <c r="DA79" s="23">
        <f>CZ79</f>
        <v>1933</v>
      </c>
      <c r="DB79" s="23">
        <f>DA79</f>
        <v>1933</v>
      </c>
      <c r="DC79" s="23">
        <f>DB79</f>
        <v>1933</v>
      </c>
    </row>
    <row r="80" spans="2:107" x14ac:dyDescent="0.15">
      <c r="B80" s="1" t="s">
        <v>164</v>
      </c>
      <c r="C80" s="23">
        <f>(-89+48-194)-D80</f>
        <v>-151</v>
      </c>
      <c r="D80" s="23">
        <f>-48+21-57</f>
        <v>-84</v>
      </c>
      <c r="G80" s="23">
        <f>-76-H80</f>
        <v>-67</v>
      </c>
      <c r="H80" s="23">
        <f>-56+37+10</f>
        <v>-9</v>
      </c>
      <c r="M80" s="23">
        <f t="shared" ref="M80:W80" si="75">M79+M78</f>
        <v>2881</v>
      </c>
      <c r="N80" s="23">
        <f t="shared" si="75"/>
        <v>3364</v>
      </c>
      <c r="O80" s="23">
        <f t="shared" si="75"/>
        <v>2954</v>
      </c>
      <c r="P80" s="23">
        <f t="shared" si="75"/>
        <v>3032</v>
      </c>
      <c r="Q80" s="23">
        <f t="shared" si="75"/>
        <v>2838</v>
      </c>
      <c r="R80" s="23">
        <f t="shared" si="75"/>
        <v>3267</v>
      </c>
      <c r="S80" s="23">
        <f t="shared" si="75"/>
        <v>2872</v>
      </c>
      <c r="T80" s="23">
        <f t="shared" si="75"/>
        <v>2880</v>
      </c>
      <c r="U80" s="23">
        <f>U79+U78</f>
        <v>2740</v>
      </c>
      <c r="V80" s="23">
        <f t="shared" si="75"/>
        <v>3251</v>
      </c>
      <c r="W80" s="23">
        <f t="shared" si="75"/>
        <v>2884</v>
      </c>
      <c r="X80" s="23">
        <f t="shared" ref="X80:Y80" si="76">X79+X78</f>
        <v>3003</v>
      </c>
      <c r="Y80" s="23">
        <f t="shared" si="76"/>
        <v>2816</v>
      </c>
      <c r="Z80" s="23">
        <f t="shared" ref="Z80:AA80" si="77">Z79+Z78</f>
        <v>3205</v>
      </c>
      <c r="AA80" s="23">
        <f t="shared" si="77"/>
        <v>2811</v>
      </c>
      <c r="AB80" s="23">
        <f t="shared" ref="AB80:AC80" si="78">AB79+AB78</f>
        <v>3038</v>
      </c>
      <c r="AC80" s="23">
        <f t="shared" si="78"/>
        <v>2936</v>
      </c>
      <c r="AD80" s="23">
        <f>AD79+AD78</f>
        <v>3183</v>
      </c>
      <c r="AE80" s="23">
        <f t="shared" ref="AE80:AF80" si="79">AE79+AE78</f>
        <v>3033</v>
      </c>
      <c r="AF80" s="23">
        <f t="shared" si="79"/>
        <v>0</v>
      </c>
      <c r="AG80" s="23">
        <f t="shared" ref="AG80:AH80" si="80">AG79+AG78</f>
        <v>0</v>
      </c>
      <c r="AH80" s="23">
        <f t="shared" si="80"/>
        <v>0</v>
      </c>
      <c r="AI80" s="23">
        <f t="shared" ref="AI80:AO80" si="81">AI79+AI78</f>
        <v>0</v>
      </c>
      <c r="AJ80" s="23">
        <f t="shared" si="81"/>
        <v>0</v>
      </c>
      <c r="AK80" s="23">
        <f t="shared" si="81"/>
        <v>0</v>
      </c>
      <c r="AL80" s="23">
        <f t="shared" si="81"/>
        <v>0</v>
      </c>
      <c r="AM80" s="23">
        <f t="shared" si="81"/>
        <v>0</v>
      </c>
      <c r="AN80" s="23">
        <f t="shared" si="81"/>
        <v>3495</v>
      </c>
      <c r="AO80" s="23">
        <f t="shared" si="81"/>
        <v>3199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78"/>
      <c r="BL80" s="78"/>
      <c r="BM80" s="78"/>
      <c r="BN80" s="78"/>
      <c r="BO80" s="78">
        <f t="shared" ref="BO80" si="82">BO78+BO79</f>
        <v>3682</v>
      </c>
      <c r="BP80" s="78">
        <f t="shared" ref="BP80:BQ80" si="83">BP78+BP79</f>
        <v>3617</v>
      </c>
      <c r="BQ80" s="78">
        <f t="shared" si="83"/>
        <v>3503</v>
      </c>
      <c r="BR80" s="78">
        <f t="shared" ref="BR80:BV80" si="84">BR78+BR79</f>
        <v>4118</v>
      </c>
      <c r="BS80" s="54">
        <f t="shared" si="84"/>
        <v>3461</v>
      </c>
      <c r="BT80" s="54">
        <f t="shared" si="84"/>
        <v>3733</v>
      </c>
      <c r="BU80" s="54">
        <f t="shared" si="84"/>
        <v>3710</v>
      </c>
      <c r="BV80" s="54">
        <f t="shared" si="84"/>
        <v>4343</v>
      </c>
      <c r="BW80" s="54">
        <f>BW78+BW79</f>
        <v>3868</v>
      </c>
      <c r="BX80" s="54">
        <f>BX78+BX79</f>
        <v>4232</v>
      </c>
      <c r="BY80" s="54">
        <f t="shared" ref="BY80:CE80" si="85">BY79+BY78</f>
        <v>4380</v>
      </c>
      <c r="BZ80" s="54">
        <f t="shared" si="85"/>
        <v>4718</v>
      </c>
      <c r="CA80" s="54">
        <f t="shared" si="85"/>
        <v>4170</v>
      </c>
      <c r="CB80" s="54">
        <f t="shared" si="85"/>
        <v>4205</v>
      </c>
      <c r="CC80" s="54">
        <f t="shared" si="85"/>
        <v>4242</v>
      </c>
      <c r="CD80" s="54">
        <f t="shared" si="85"/>
        <v>4803</v>
      </c>
      <c r="CE80" s="54">
        <f t="shared" si="85"/>
        <v>4324</v>
      </c>
      <c r="CF80" s="54">
        <f>CF79+CF78</f>
        <v>4359</v>
      </c>
      <c r="CG80" s="54"/>
      <c r="CH80" s="54"/>
      <c r="CI80" s="54"/>
      <c r="CJ80" s="54"/>
      <c r="CK80" s="54"/>
      <c r="CL80" s="54"/>
      <c r="CM80" s="54"/>
      <c r="CN80" s="23"/>
      <c r="CR80" s="23"/>
      <c r="CS80" s="23"/>
      <c r="CT80" s="23">
        <f t="shared" ref="CT80:CY80" si="86">CT78+CT79</f>
        <v>11743</v>
      </c>
      <c r="CU80" s="23">
        <f>CU78+CU79</f>
        <v>11908</v>
      </c>
      <c r="CV80" s="23">
        <f>CV78+CV79</f>
        <v>11968</v>
      </c>
      <c r="CW80" s="23">
        <f>CW78+CW79</f>
        <v>3033</v>
      </c>
      <c r="CX80" s="23">
        <f t="shared" si="86"/>
        <v>1933</v>
      </c>
      <c r="CY80" s="23">
        <f t="shared" si="86"/>
        <v>1933</v>
      </c>
      <c r="CZ80" s="23">
        <f>CZ78+CZ79</f>
        <v>1933</v>
      </c>
      <c r="DA80" s="23">
        <f>DA78+DA79</f>
        <v>1933</v>
      </c>
      <c r="DB80" s="23">
        <f>DB78+DB79</f>
        <v>1933</v>
      </c>
      <c r="DC80" s="23">
        <f>DC78+DC79</f>
        <v>1933</v>
      </c>
    </row>
    <row r="81" spans="2:170" x14ac:dyDescent="0.15">
      <c r="B81" s="1" t="s">
        <v>167</v>
      </c>
      <c r="C81" s="23">
        <f>C77-C78-C79-C80</f>
        <v>1840</v>
      </c>
      <c r="D81" s="23">
        <f>D77-D78-D79-D80</f>
        <v>1899</v>
      </c>
      <c r="G81" s="23">
        <f>G77-G78-G79-G80</f>
        <v>2187</v>
      </c>
      <c r="H81" s="23">
        <f>H77-H78-H79-H80</f>
        <v>2272</v>
      </c>
      <c r="M81" s="23">
        <f t="shared" ref="M81:W81" si="87">M77-M80</f>
        <v>2421</v>
      </c>
      <c r="N81" s="23">
        <f t="shared" si="87"/>
        <v>2263</v>
      </c>
      <c r="O81" s="23">
        <f t="shared" si="87"/>
        <v>2615</v>
      </c>
      <c r="P81" s="23">
        <f t="shared" si="87"/>
        <v>2358</v>
      </c>
      <c r="Q81" s="23">
        <f t="shared" si="87"/>
        <v>2582</v>
      </c>
      <c r="R81" s="23">
        <f t="shared" si="87"/>
        <v>1990</v>
      </c>
      <c r="S81" s="23">
        <f t="shared" si="87"/>
        <v>2442</v>
      </c>
      <c r="T81" s="23">
        <f t="shared" si="87"/>
        <v>2369</v>
      </c>
      <c r="U81" s="23">
        <f>U77-U80</f>
        <v>2632</v>
      </c>
      <c r="V81" s="23">
        <f t="shared" si="87"/>
        <v>2278</v>
      </c>
      <c r="W81" s="23">
        <f t="shared" si="87"/>
        <v>2800</v>
      </c>
      <c r="X81" s="23">
        <f>X77-X80</f>
        <v>2965</v>
      </c>
      <c r="Y81" s="23">
        <f>Y77-Y80</f>
        <v>2928</v>
      </c>
      <c r="Z81" s="23">
        <f>Z77-Z80</f>
        <v>2299</v>
      </c>
      <c r="AA81" s="23">
        <f>AA77-AA80</f>
        <v>3452</v>
      </c>
      <c r="AB81" s="23">
        <f t="shared" ref="AB81:AC81" si="88">AB77-AB80</f>
        <v>3095</v>
      </c>
      <c r="AC81" s="23">
        <f t="shared" si="88"/>
        <v>3027</v>
      </c>
      <c r="AD81" s="23">
        <f>AD77-AD80</f>
        <v>2317</v>
      </c>
      <c r="AE81" s="23">
        <f>AE77-AE80</f>
        <v>2797</v>
      </c>
      <c r="AF81" s="23">
        <f>AF77-AF80</f>
        <v>5985</v>
      </c>
      <c r="AG81" s="23">
        <f>AG77-AG80</f>
        <v>5968.28</v>
      </c>
      <c r="AH81" s="23">
        <f>AH77-AH80</f>
        <v>5696.5039999999999</v>
      </c>
      <c r="AI81" s="23">
        <f t="shared" ref="AI81:AO81" si="89">AI77-AI80</f>
        <v>0</v>
      </c>
      <c r="AJ81" s="23">
        <f t="shared" si="89"/>
        <v>0</v>
      </c>
      <c r="AK81" s="23">
        <f t="shared" si="89"/>
        <v>0</v>
      </c>
      <c r="AL81" s="23">
        <f t="shared" si="89"/>
        <v>0</v>
      </c>
      <c r="AM81" s="23">
        <f t="shared" si="89"/>
        <v>0</v>
      </c>
      <c r="AN81" s="23">
        <f t="shared" si="89"/>
        <v>1906</v>
      </c>
      <c r="AO81" s="23">
        <f t="shared" si="89"/>
        <v>2430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78"/>
      <c r="BL81" s="78"/>
      <c r="BM81" s="78"/>
      <c r="BN81" s="78"/>
      <c r="BO81" s="78">
        <f t="shared" ref="BO81" si="90">BO77-BO80</f>
        <v>2787</v>
      </c>
      <c r="BP81" s="78">
        <f t="shared" ref="BP81:BQ81" si="91">BP77-BP80</f>
        <v>2161</v>
      </c>
      <c r="BQ81" s="78">
        <f t="shared" si="91"/>
        <v>3217</v>
      </c>
      <c r="BR81" s="78">
        <f t="shared" ref="BR81:BV81" si="92">BR77-BR80</f>
        <v>2179</v>
      </c>
      <c r="BS81" s="54">
        <f t="shared" si="92"/>
        <v>2741</v>
      </c>
      <c r="BT81" s="54">
        <f t="shared" si="92"/>
        <v>2454</v>
      </c>
      <c r="BU81" s="54">
        <f t="shared" si="92"/>
        <v>3881</v>
      </c>
      <c r="BV81" s="54">
        <f t="shared" si="92"/>
        <v>2601</v>
      </c>
      <c r="BW81" s="54">
        <f>BW77-BW80</f>
        <v>3306</v>
      </c>
      <c r="BX81" s="54">
        <f>BX77-BX80</f>
        <v>3261</v>
      </c>
      <c r="BY81" s="54">
        <f t="shared" ref="BY81:CE81" si="93">BY77-BY80</f>
        <v>4927</v>
      </c>
      <c r="BZ81" s="54">
        <f t="shared" si="93"/>
        <v>3003</v>
      </c>
      <c r="CA81" s="54">
        <f t="shared" si="93"/>
        <v>3613</v>
      </c>
      <c r="CB81" s="54">
        <f t="shared" si="93"/>
        <v>3214</v>
      </c>
      <c r="CC81" s="54">
        <f t="shared" si="93"/>
        <v>4616</v>
      </c>
      <c r="CD81" s="54">
        <f t="shared" si="93"/>
        <v>3364</v>
      </c>
      <c r="CE81" s="54">
        <f t="shared" si="93"/>
        <v>3370</v>
      </c>
      <c r="CF81" s="54">
        <f>CF77-CF80</f>
        <v>3615</v>
      </c>
      <c r="CG81" s="54"/>
      <c r="CH81" s="54"/>
      <c r="CI81" s="54"/>
      <c r="CJ81" s="54"/>
      <c r="CK81" s="54"/>
      <c r="CL81" s="54"/>
      <c r="CM81" s="54"/>
      <c r="CN81" s="23"/>
      <c r="CR81" s="23"/>
      <c r="CS81" s="23"/>
      <c r="CT81" s="23">
        <f t="shared" ref="CT81:CY81" si="94">CT77-CT80</f>
        <v>9721</v>
      </c>
      <c r="CU81" s="23">
        <f>CU77-CU80</f>
        <v>10992</v>
      </c>
      <c r="CV81" s="23">
        <f>CV77-CV80</f>
        <v>11451.55</v>
      </c>
      <c r="CW81" s="23">
        <f>CW77-CW80</f>
        <v>19877.374800000001</v>
      </c>
      <c r="CX81" s="23">
        <f t="shared" si="94"/>
        <v>20206.141468000002</v>
      </c>
      <c r="CY81" s="23">
        <f t="shared" si="94"/>
        <v>18698.906429000002</v>
      </c>
      <c r="CZ81" s="23">
        <f>CZ77-CZ80</f>
        <v>17763.2693493275</v>
      </c>
      <c r="DA81" s="23">
        <f>DA77-DA80</f>
        <v>17371.752344901728</v>
      </c>
      <c r="DB81" s="23">
        <f>DB77-DB80</f>
        <v>16496.17454120929</v>
      </c>
      <c r="DC81" s="23">
        <f>DC77-DC80</f>
        <v>14797.808240840219</v>
      </c>
    </row>
    <row r="82" spans="2:170" x14ac:dyDescent="0.15">
      <c r="B82" s="1" t="s">
        <v>6</v>
      </c>
      <c r="C82" s="23">
        <f>492-99-D82</f>
        <v>210</v>
      </c>
      <c r="D82" s="23">
        <f>264-81</f>
        <v>183</v>
      </c>
      <c r="G82" s="23">
        <f>305-100</f>
        <v>205</v>
      </c>
      <c r="H82" s="23">
        <f>143-44</f>
        <v>99</v>
      </c>
      <c r="M82" s="23">
        <f>122-26-119+66</f>
        <v>43</v>
      </c>
      <c r="N82" s="23">
        <f>69-30+16-56+122</f>
        <v>121</v>
      </c>
      <c r="O82" s="23">
        <f>191-54-83+51</f>
        <v>105</v>
      </c>
      <c r="P82" s="23">
        <f>5-87+48</f>
        <v>-34</v>
      </c>
      <c r="Q82" s="23">
        <f>110-52-86+46</f>
        <v>18</v>
      </c>
      <c r="R82" s="20">
        <f>15-73+45</f>
        <v>-13</v>
      </c>
      <c r="S82" s="20">
        <f>104-78+61</f>
        <v>87</v>
      </c>
      <c r="T82" s="20">
        <f>74-82+49</f>
        <v>41</v>
      </c>
      <c r="U82" s="20">
        <f>49+29-89</f>
        <v>-11</v>
      </c>
      <c r="V82" s="20">
        <f>-24-86-36</f>
        <v>-146</v>
      </c>
      <c r="W82" s="20">
        <f>148-65+21</f>
        <v>104</v>
      </c>
      <c r="X82" s="20">
        <f>-114-W82</f>
        <v>-218</v>
      </c>
      <c r="Y82" s="20">
        <f>86-74+5</f>
        <v>17</v>
      </c>
      <c r="Z82" s="20">
        <v>19</v>
      </c>
      <c r="AA82" s="20">
        <f>70+243+128-78</f>
        <v>363</v>
      </c>
      <c r="AB82" s="20">
        <f>26+248-70+122</f>
        <v>326</v>
      </c>
      <c r="AC82" s="20">
        <f>39-115-12</f>
        <v>-88</v>
      </c>
      <c r="AD82" s="20">
        <v>-95</v>
      </c>
      <c r="AE82" s="20">
        <v>-78</v>
      </c>
      <c r="AF82" s="20">
        <v>-200</v>
      </c>
      <c r="AG82" s="20">
        <v>-200</v>
      </c>
      <c r="AH82" s="20">
        <v>-200</v>
      </c>
      <c r="AN82" s="20">
        <f>140+3-45-137</f>
        <v>-39</v>
      </c>
      <c r="AO82" s="20">
        <f>28+38-36-123</f>
        <v>-93</v>
      </c>
      <c r="BO82" s="75">
        <f>-247+131-12</f>
        <v>-128</v>
      </c>
      <c r="BP82" s="75">
        <f>-91+7-5-96</f>
        <v>-185</v>
      </c>
      <c r="BQ82" s="75">
        <f>-182+1-9-76</f>
        <v>-266</v>
      </c>
      <c r="BR82" s="75">
        <f>-123+4-8-93</f>
        <v>-220</v>
      </c>
      <c r="BS82" s="53">
        <f>-101+9-12-84</f>
        <v>-188</v>
      </c>
      <c r="BT82" s="53">
        <f>-198+17-8-76</f>
        <v>-265</v>
      </c>
      <c r="BU82" s="53">
        <f>-289-5-29-85</f>
        <v>-408</v>
      </c>
      <c r="BV82" s="53">
        <f>-356+18-7-83</f>
        <v>-428</v>
      </c>
      <c r="BW82" s="53">
        <f>-265+30-7-78</f>
        <v>-320</v>
      </c>
      <c r="BX82" s="53">
        <f>-523+25-10-77</f>
        <v>-585</v>
      </c>
      <c r="BY82" s="53">
        <f>-450+27-6-51</f>
        <v>-480</v>
      </c>
      <c r="BZ82" s="53">
        <f>-276+6-10-28</f>
        <v>-308</v>
      </c>
      <c r="CA82" s="53">
        <f>-304+33-10-7</f>
        <v>-288</v>
      </c>
      <c r="CB82" s="53">
        <f>-501+22-9-42</f>
        <v>-530</v>
      </c>
      <c r="CC82" s="53">
        <f>-598+20-10-83</f>
        <v>-671</v>
      </c>
      <c r="CD82" s="53">
        <f>-821+47-7-49</f>
        <v>-830</v>
      </c>
      <c r="CE82" s="53">
        <f>-562+44-9-43</f>
        <v>-570</v>
      </c>
      <c r="CF82" s="53">
        <f>-831+31-2-86</f>
        <v>-888</v>
      </c>
      <c r="CR82" s="23"/>
      <c r="CS82" s="23"/>
      <c r="CT82" s="23">
        <v>0</v>
      </c>
      <c r="CU82" s="23">
        <f>SUM(W82:Z82)</f>
        <v>-78</v>
      </c>
      <c r="CV82" s="23">
        <f>SUM(AA82:AD82)</f>
        <v>506</v>
      </c>
      <c r="CW82" s="23">
        <f t="shared" ref="CW82:DC82" si="95">CV105*$DF$91</f>
        <v>-663.26133120000009</v>
      </c>
      <c r="CX82" s="23">
        <f t="shared" si="95"/>
        <v>201.37377489600001</v>
      </c>
      <c r="CY82" s="23">
        <f t="shared" si="95"/>
        <v>1119.7119608263201</v>
      </c>
      <c r="CZ82" s="23">
        <f t="shared" si="95"/>
        <v>2011.5497883685046</v>
      </c>
      <c r="DA82" s="23">
        <f t="shared" si="95"/>
        <v>2901.4166495648246</v>
      </c>
      <c r="DB82" s="23">
        <f t="shared" si="95"/>
        <v>3813.7092543158196</v>
      </c>
      <c r="DC82" s="23">
        <f t="shared" si="95"/>
        <v>4727.6540251144497</v>
      </c>
    </row>
    <row r="83" spans="2:170" x14ac:dyDescent="0.15">
      <c r="B83" s="1" t="s">
        <v>7</v>
      </c>
      <c r="C83" s="23">
        <f>C81-C82</f>
        <v>1630</v>
      </c>
      <c r="D83" s="23">
        <f>D81-D82</f>
        <v>1716</v>
      </c>
      <c r="G83" s="23">
        <f>G81-G82</f>
        <v>1982</v>
      </c>
      <c r="H83" s="23">
        <f>H81-H82</f>
        <v>2173</v>
      </c>
      <c r="M83" s="23">
        <f>M82+M81</f>
        <v>2464</v>
      </c>
      <c r="N83" s="23">
        <f>N82+N81</f>
        <v>2384</v>
      </c>
      <c r="O83" s="23">
        <f t="shared" ref="O83:AH83" si="96">O81+O82</f>
        <v>2720</v>
      </c>
      <c r="P83" s="23">
        <f t="shared" si="96"/>
        <v>2324</v>
      </c>
      <c r="Q83" s="23">
        <f t="shared" si="96"/>
        <v>2600</v>
      </c>
      <c r="R83" s="23">
        <f t="shared" si="96"/>
        <v>1977</v>
      </c>
      <c r="S83" s="23">
        <f t="shared" si="96"/>
        <v>2529</v>
      </c>
      <c r="T83" s="23">
        <f t="shared" si="96"/>
        <v>2410</v>
      </c>
      <c r="U83" s="23">
        <f t="shared" si="96"/>
        <v>2621</v>
      </c>
      <c r="V83" s="23">
        <f t="shared" si="96"/>
        <v>2132</v>
      </c>
      <c r="W83" s="23">
        <f t="shared" si="96"/>
        <v>2904</v>
      </c>
      <c r="X83" s="23">
        <f t="shared" si="96"/>
        <v>2747</v>
      </c>
      <c r="Y83" s="23">
        <f t="shared" si="96"/>
        <v>2945</v>
      </c>
      <c r="Z83" s="23">
        <f t="shared" si="96"/>
        <v>2318</v>
      </c>
      <c r="AA83" s="23">
        <f t="shared" si="96"/>
        <v>3815</v>
      </c>
      <c r="AB83" s="23">
        <f>AB81+AB82</f>
        <v>3421</v>
      </c>
      <c r="AC83" s="23">
        <f t="shared" si="96"/>
        <v>2939</v>
      </c>
      <c r="AD83" s="23">
        <f>AD81+AD82</f>
        <v>2222</v>
      </c>
      <c r="AE83" s="23">
        <f t="shared" si="96"/>
        <v>2719</v>
      </c>
      <c r="AF83" s="23">
        <f t="shared" si="96"/>
        <v>5785</v>
      </c>
      <c r="AG83" s="23">
        <f t="shared" si="96"/>
        <v>5768.28</v>
      </c>
      <c r="AH83" s="23">
        <f t="shared" si="96"/>
        <v>5496.5039999999999</v>
      </c>
      <c r="AI83" s="23"/>
      <c r="AJ83" s="23"/>
      <c r="AK83" s="23"/>
      <c r="AL83" s="23"/>
      <c r="AM83" s="23"/>
      <c r="AN83" s="23">
        <f t="shared" ref="AN83:AO83" si="97">AN81+AN82</f>
        <v>1867</v>
      </c>
      <c r="AO83" s="23">
        <f t="shared" si="97"/>
        <v>2337</v>
      </c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78"/>
      <c r="BL83" s="78"/>
      <c r="BM83" s="78"/>
      <c r="BN83" s="78"/>
      <c r="BO83" s="78">
        <f t="shared" ref="BO83" si="98">BO81+BO82</f>
        <v>2659</v>
      </c>
      <c r="BP83" s="78">
        <f>BP81+BP82</f>
        <v>1976</v>
      </c>
      <c r="BQ83" s="78">
        <f t="shared" ref="BQ83" si="99">BQ81+BQ82</f>
        <v>2951</v>
      </c>
      <c r="BR83" s="78">
        <f t="shared" ref="BR83:BV83" si="100">BR81+BR82</f>
        <v>1959</v>
      </c>
      <c r="BS83" s="54">
        <f t="shared" si="100"/>
        <v>2553</v>
      </c>
      <c r="BT83" s="54">
        <f t="shared" si="100"/>
        <v>2189</v>
      </c>
      <c r="BU83" s="54">
        <f t="shared" si="100"/>
        <v>3473</v>
      </c>
      <c r="BV83" s="54">
        <f t="shared" si="100"/>
        <v>2173</v>
      </c>
      <c r="BW83" s="54">
        <f>BW81+BW82</f>
        <v>2986</v>
      </c>
      <c r="BX83" s="54">
        <f>BX81+BX82</f>
        <v>2676</v>
      </c>
      <c r="BY83" s="54">
        <f t="shared" ref="BY83:CE83" si="101">BY81+BY82</f>
        <v>4447</v>
      </c>
      <c r="BZ83" s="54">
        <f t="shared" si="101"/>
        <v>2695</v>
      </c>
      <c r="CA83" s="54">
        <f t="shared" si="101"/>
        <v>3325</v>
      </c>
      <c r="CB83" s="54">
        <f t="shared" si="101"/>
        <v>2684</v>
      </c>
      <c r="CC83" s="54">
        <f t="shared" si="101"/>
        <v>3945</v>
      </c>
      <c r="CD83" s="54">
        <f t="shared" si="101"/>
        <v>2534</v>
      </c>
      <c r="CE83" s="54">
        <f t="shared" si="101"/>
        <v>2800</v>
      </c>
      <c r="CF83" s="54">
        <f>CF81+CF82</f>
        <v>2727</v>
      </c>
      <c r="CG83" s="54"/>
      <c r="CH83" s="54"/>
      <c r="CI83" s="54"/>
      <c r="CJ83" s="54"/>
      <c r="CK83" s="54"/>
      <c r="CL83" s="54"/>
      <c r="CM83" s="54"/>
      <c r="CN83" s="23"/>
      <c r="CR83" s="23"/>
      <c r="CS83" s="23"/>
      <c r="CT83" s="23">
        <f t="shared" ref="CT83" si="102">CT81+CT82</f>
        <v>9721</v>
      </c>
      <c r="CU83" s="23">
        <f t="shared" ref="CU83:DC83" si="103">CU81+CU82</f>
        <v>10914</v>
      </c>
      <c r="CV83" s="23">
        <f t="shared" si="103"/>
        <v>11957.55</v>
      </c>
      <c r="CW83" s="23">
        <f t="shared" si="103"/>
        <v>19214.113468800002</v>
      </c>
      <c r="CX83" s="23">
        <f t="shared" si="103"/>
        <v>20407.515242896003</v>
      </c>
      <c r="CY83" s="23">
        <f t="shared" si="103"/>
        <v>19818.618389826323</v>
      </c>
      <c r="CZ83" s="23">
        <f t="shared" si="103"/>
        <v>19774.819137696006</v>
      </c>
      <c r="DA83" s="23">
        <f t="shared" si="103"/>
        <v>20273.168994466552</v>
      </c>
      <c r="DB83" s="23">
        <f t="shared" si="103"/>
        <v>20309.883795525107</v>
      </c>
      <c r="DC83" s="23">
        <f t="shared" si="103"/>
        <v>19525.462265954669</v>
      </c>
    </row>
    <row r="84" spans="2:170" x14ac:dyDescent="0.15">
      <c r="B84" s="1" t="s">
        <v>5</v>
      </c>
      <c r="C84" s="23">
        <f>947-D84</f>
        <v>472</v>
      </c>
      <c r="D84" s="23">
        <v>475</v>
      </c>
      <c r="G84" s="23">
        <f>1302-H84</f>
        <v>650</v>
      </c>
      <c r="H84" s="23">
        <v>652</v>
      </c>
      <c r="M84" s="23">
        <v>743</v>
      </c>
      <c r="N84" s="23">
        <v>534</v>
      </c>
      <c r="O84" s="23">
        <v>268</v>
      </c>
      <c r="P84" s="23">
        <v>695</v>
      </c>
      <c r="Q84" s="23">
        <v>818</v>
      </c>
      <c r="R84" s="23">
        <v>464</v>
      </c>
      <c r="S84" s="20">
        <v>733</v>
      </c>
      <c r="T84" s="20">
        <v>628</v>
      </c>
      <c r="U84" s="23">
        <v>749</v>
      </c>
      <c r="V84" s="23">
        <v>559</v>
      </c>
      <c r="W84" s="23">
        <v>828</v>
      </c>
      <c r="X84" s="23">
        <f>1718-W84</f>
        <v>890</v>
      </c>
      <c r="Y84" s="23">
        <v>837</v>
      </c>
      <c r="Z84" s="23">
        <v>509</v>
      </c>
      <c r="AA84" s="23">
        <f>45+830</f>
        <v>875</v>
      </c>
      <c r="AB84" s="23">
        <f>95+848</f>
        <v>943</v>
      </c>
      <c r="AC84" s="23">
        <v>364</v>
      </c>
      <c r="AD84" s="23">
        <v>582</v>
      </c>
      <c r="AE84" s="23">
        <v>779</v>
      </c>
      <c r="AF84" s="23">
        <f>+AF83*AF93</f>
        <v>1619.8000000000002</v>
      </c>
      <c r="AG84" s="23">
        <f t="shared" ref="AG84:AH84" si="104">+AG83*AG93</f>
        <v>1615.1184000000001</v>
      </c>
      <c r="AH84" s="23">
        <f t="shared" si="104"/>
        <v>1539.0211200000001</v>
      </c>
      <c r="AI84" s="23"/>
      <c r="AJ84" s="23"/>
      <c r="AK84" s="23"/>
      <c r="AL84" s="23"/>
      <c r="AM84" s="23"/>
      <c r="AN84" s="23">
        <v>405</v>
      </c>
      <c r="AO84" s="23">
        <v>563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78"/>
      <c r="BL84" s="78"/>
      <c r="BM84" s="78"/>
      <c r="BN84" s="78"/>
      <c r="BO84" s="78">
        <v>542</v>
      </c>
      <c r="BP84" s="78">
        <v>436</v>
      </c>
      <c r="BQ84" s="78">
        <v>652</v>
      </c>
      <c r="BR84" s="78">
        <v>432</v>
      </c>
      <c r="BS84" s="54">
        <v>537</v>
      </c>
      <c r="BT84" s="54">
        <v>458</v>
      </c>
      <c r="BU84" s="54">
        <v>737</v>
      </c>
      <c r="BV84" s="54">
        <v>443</v>
      </c>
      <c r="BW84" s="54">
        <v>563</v>
      </c>
      <c r="BX84" s="54">
        <v>506</v>
      </c>
      <c r="BY84" s="54">
        <v>841</v>
      </c>
      <c r="BZ84" s="54">
        <v>555</v>
      </c>
      <c r="CA84" s="54">
        <v>627</v>
      </c>
      <c r="CB84" s="54">
        <v>507</v>
      </c>
      <c r="CC84" s="54">
        <v>749</v>
      </c>
      <c r="CD84" s="54">
        <v>451</v>
      </c>
      <c r="CE84" s="54">
        <v>581</v>
      </c>
      <c r="CF84" s="54">
        <v>566</v>
      </c>
      <c r="CG84" s="54"/>
      <c r="CH84" s="54"/>
      <c r="CI84" s="54"/>
      <c r="CJ84" s="54"/>
      <c r="CK84" s="54"/>
      <c r="CL84" s="54"/>
      <c r="CM84" s="54"/>
      <c r="CN84" s="23"/>
      <c r="CR84" s="23"/>
      <c r="CS84" s="23"/>
      <c r="CT84" s="23">
        <f>SUM(S84:V84)</f>
        <v>2669</v>
      </c>
      <c r="CU84" s="23">
        <f>SUM(W84:Z84)</f>
        <v>3064</v>
      </c>
      <c r="CV84" s="23">
        <f>SUM(AA84:AD84)</f>
        <v>2764</v>
      </c>
      <c r="CW84" s="23">
        <f t="shared" ref="CW84:DC84" si="105">CW83*CW93</f>
        <v>4803.5283672000005</v>
      </c>
      <c r="CX84" s="23">
        <f t="shared" si="105"/>
        <v>5101.8788107240007</v>
      </c>
      <c r="CY84" s="23">
        <f t="shared" si="105"/>
        <v>4954.6545974565806</v>
      </c>
      <c r="CZ84" s="23">
        <f t="shared" si="105"/>
        <v>4943.7047844240014</v>
      </c>
      <c r="DA84" s="23">
        <f t="shared" si="105"/>
        <v>5068.2922486166381</v>
      </c>
      <c r="DB84" s="23">
        <f t="shared" si="105"/>
        <v>5077.4709488812769</v>
      </c>
      <c r="DC84" s="23">
        <f t="shared" si="105"/>
        <v>4881.3655664886674</v>
      </c>
    </row>
    <row r="85" spans="2:170" x14ac:dyDescent="0.15">
      <c r="B85" s="1" t="s">
        <v>8</v>
      </c>
      <c r="C85" s="23">
        <f>233-D85</f>
        <v>93</v>
      </c>
      <c r="D85" s="23">
        <v>140</v>
      </c>
      <c r="G85" s="23">
        <f>269-H85</f>
        <v>107</v>
      </c>
      <c r="H85" s="23">
        <v>162</v>
      </c>
      <c r="M85" s="23">
        <v>116</v>
      </c>
      <c r="N85" s="23">
        <v>50</v>
      </c>
      <c r="O85" s="23">
        <v>138</v>
      </c>
      <c r="P85" s="23">
        <v>210</v>
      </c>
      <c r="Q85" s="23">
        <v>213</v>
      </c>
      <c r="R85" s="23">
        <v>178</v>
      </c>
      <c r="S85" s="23">
        <v>234</v>
      </c>
      <c r="T85" s="23">
        <v>217</v>
      </c>
      <c r="U85" s="23">
        <v>219</v>
      </c>
      <c r="V85" s="23">
        <v>220</v>
      </c>
      <c r="W85" s="23">
        <f>273-121</f>
        <v>152</v>
      </c>
      <c r="X85" s="23">
        <f>539-W85</f>
        <v>387</v>
      </c>
      <c r="Y85" s="23">
        <f>235+59</f>
        <v>294</v>
      </c>
      <c r="Z85" s="23">
        <f>197+52</f>
        <v>249</v>
      </c>
      <c r="AA85" s="23"/>
      <c r="AB85" s="23"/>
      <c r="AC85" s="23">
        <v>285</v>
      </c>
      <c r="AD85" s="23">
        <f>-52+253+52-55</f>
        <v>198</v>
      </c>
      <c r="AE85" s="23">
        <f>16+292-78</f>
        <v>230</v>
      </c>
      <c r="AF85" s="23">
        <f>+AE85</f>
        <v>230</v>
      </c>
      <c r="AG85" s="23">
        <f>+AF85</f>
        <v>230</v>
      </c>
      <c r="AH85" s="23">
        <f>+AG85</f>
        <v>230</v>
      </c>
      <c r="AI85" s="23"/>
      <c r="AJ85" s="23"/>
      <c r="AK85" s="23"/>
      <c r="AL85" s="23"/>
      <c r="AM85" s="23"/>
      <c r="AN85" s="23">
        <v>0</v>
      </c>
      <c r="AO85" s="23">
        <v>0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78"/>
      <c r="BL85" s="78"/>
      <c r="BM85" s="78"/>
      <c r="BN85" s="78"/>
      <c r="BO85" s="78">
        <v>75</v>
      </c>
      <c r="BP85" s="78">
        <v>0</v>
      </c>
      <c r="BQ85" s="78">
        <v>0</v>
      </c>
      <c r="BR85" s="78">
        <v>0</v>
      </c>
      <c r="BS85" s="54">
        <v>0</v>
      </c>
      <c r="BT85" s="54">
        <v>0</v>
      </c>
      <c r="BU85" s="54">
        <v>0</v>
      </c>
      <c r="BV85" s="54">
        <v>0</v>
      </c>
      <c r="BW85" s="54">
        <v>0</v>
      </c>
      <c r="BX85" s="54">
        <v>0</v>
      </c>
      <c r="BY85" s="54">
        <v>0</v>
      </c>
      <c r="BZ85" s="54">
        <v>0</v>
      </c>
      <c r="CA85" s="54">
        <v>0</v>
      </c>
      <c r="CB85" s="54">
        <v>0</v>
      </c>
      <c r="CC85" s="54">
        <v>0</v>
      </c>
      <c r="CD85" s="54">
        <v>0</v>
      </c>
      <c r="CE85" s="54">
        <v>0</v>
      </c>
      <c r="CF85" s="54">
        <v>0</v>
      </c>
      <c r="CG85" s="54"/>
      <c r="CH85" s="54"/>
      <c r="CI85" s="54"/>
      <c r="CJ85" s="54"/>
      <c r="CK85" s="54"/>
      <c r="CL85" s="54"/>
      <c r="CM85" s="54"/>
      <c r="CN85" s="23"/>
      <c r="CR85" s="23"/>
      <c r="CS85" s="23">
        <f>SUM(O85:R85)</f>
        <v>739</v>
      </c>
      <c r="CT85" s="23">
        <f>SUM(S85:V85)</f>
        <v>890</v>
      </c>
      <c r="CU85" s="23">
        <f>SUM(W85:Z85)</f>
        <v>1082</v>
      </c>
      <c r="CV85" s="23"/>
      <c r="CW85" s="23"/>
      <c r="CX85" s="23"/>
      <c r="CY85" s="23"/>
      <c r="CZ85" s="23"/>
      <c r="DA85" s="23"/>
      <c r="DB85" s="23"/>
      <c r="DC85" s="23"/>
    </row>
    <row r="86" spans="2:170" x14ac:dyDescent="0.15">
      <c r="B86" s="1" t="s">
        <v>9</v>
      </c>
      <c r="C86" s="23">
        <f>C83-C84+C85</f>
        <v>1251</v>
      </c>
      <c r="D86" s="23">
        <f>D83-D84+D85</f>
        <v>1381</v>
      </c>
      <c r="G86" s="23">
        <f>G83-G84+G85</f>
        <v>1439</v>
      </c>
      <c r="H86" s="23">
        <f>H83-H84+H85</f>
        <v>1683</v>
      </c>
      <c r="M86" s="23">
        <f t="shared" ref="M86:R86" si="106">M83-M84+M85</f>
        <v>1837</v>
      </c>
      <c r="N86" s="23">
        <f t="shared" si="106"/>
        <v>1900</v>
      </c>
      <c r="O86" s="23">
        <f t="shared" si="106"/>
        <v>2590</v>
      </c>
      <c r="P86" s="23">
        <f t="shared" si="106"/>
        <v>1839</v>
      </c>
      <c r="Q86" s="23">
        <f t="shared" si="106"/>
        <v>1995</v>
      </c>
      <c r="R86" s="23">
        <f t="shared" si="106"/>
        <v>1691</v>
      </c>
      <c r="S86" s="23">
        <f>S83-S84+S85</f>
        <v>2030</v>
      </c>
      <c r="T86" s="23">
        <f>T83-T84+T85</f>
        <v>1999</v>
      </c>
      <c r="U86" s="23">
        <f>U83-U84+U85</f>
        <v>2091</v>
      </c>
      <c r="V86" s="23">
        <f>V83-V84+V85</f>
        <v>1793</v>
      </c>
      <c r="W86" s="23">
        <f t="shared" ref="W86:AC86" si="107">W83-W84+W85</f>
        <v>2228</v>
      </c>
      <c r="X86" s="23">
        <f t="shared" si="107"/>
        <v>2244</v>
      </c>
      <c r="Y86" s="23">
        <f t="shared" si="107"/>
        <v>2402</v>
      </c>
      <c r="Z86" s="23">
        <f t="shared" si="107"/>
        <v>2058</v>
      </c>
      <c r="AA86" s="23">
        <f t="shared" si="107"/>
        <v>2940</v>
      </c>
      <c r="AB86" s="23">
        <f t="shared" si="107"/>
        <v>2478</v>
      </c>
      <c r="AC86" s="23">
        <f t="shared" si="107"/>
        <v>2860</v>
      </c>
      <c r="AD86" s="23">
        <f>AD83-AD84+AD85</f>
        <v>1838</v>
      </c>
      <c r="AE86" s="23">
        <f>AE83-AE84+AE85</f>
        <v>2170</v>
      </c>
      <c r="AF86" s="23">
        <f t="shared" ref="AF86:AH86" si="108">AF83-AF84+AF85</f>
        <v>4395.2</v>
      </c>
      <c r="AG86" s="23">
        <f t="shared" si="108"/>
        <v>4383.1615999999995</v>
      </c>
      <c r="AH86" s="23">
        <f t="shared" si="108"/>
        <v>4187.4828799999996</v>
      </c>
      <c r="AI86" s="23"/>
      <c r="AJ86" s="23"/>
      <c r="AK86" s="23"/>
      <c r="AL86" s="23"/>
      <c r="AM86" s="23"/>
      <c r="AN86" s="23">
        <f t="shared" ref="AN86:AO86" si="109">AN83-AN84+AN85</f>
        <v>1462</v>
      </c>
      <c r="AO86" s="23">
        <f t="shared" si="109"/>
        <v>1774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78"/>
      <c r="BL86" s="78"/>
      <c r="BM86" s="78"/>
      <c r="BN86" s="78"/>
      <c r="BO86" s="78">
        <f t="shared" ref="BO86" si="110">BO83-BO84-BO85</f>
        <v>2042</v>
      </c>
      <c r="BP86" s="78">
        <f t="shared" ref="BP86" si="111">BP83-BP84-BP85</f>
        <v>1540</v>
      </c>
      <c r="BQ86" s="78">
        <f t="shared" ref="BQ86:BR86" si="112">BQ83-BQ84-BQ85</f>
        <v>2299</v>
      </c>
      <c r="BR86" s="78">
        <f t="shared" si="112"/>
        <v>1527</v>
      </c>
      <c r="BS86" s="54">
        <f t="shared" ref="BS86:BV86" si="113">BS83-BS84-BS85</f>
        <v>2016</v>
      </c>
      <c r="BT86" s="54">
        <f t="shared" si="113"/>
        <v>1731</v>
      </c>
      <c r="BU86" s="54">
        <f t="shared" si="113"/>
        <v>2736</v>
      </c>
      <c r="BV86" s="54">
        <f t="shared" si="113"/>
        <v>1730</v>
      </c>
      <c r="BW86" s="54">
        <f>BW83-BW84-BW85</f>
        <v>2423</v>
      </c>
      <c r="BX86" s="54">
        <f>BX83-BX84-BX85</f>
        <v>2170</v>
      </c>
      <c r="BY86" s="54">
        <f t="shared" ref="BY86:CE86" si="114">BY83-BY84-BY85</f>
        <v>3606</v>
      </c>
      <c r="BZ86" s="54">
        <f t="shared" si="114"/>
        <v>2140</v>
      </c>
      <c r="CA86" s="54">
        <f t="shared" si="114"/>
        <v>2698</v>
      </c>
      <c r="CB86" s="54">
        <f t="shared" si="114"/>
        <v>2177</v>
      </c>
      <c r="CC86" s="54">
        <f t="shared" si="114"/>
        <v>3196</v>
      </c>
      <c r="CD86" s="54">
        <f t="shared" si="114"/>
        <v>2083</v>
      </c>
      <c r="CE86" s="54">
        <f t="shared" si="114"/>
        <v>2219</v>
      </c>
      <c r="CF86" s="54">
        <f>CF83-CF84-CF85</f>
        <v>2161</v>
      </c>
      <c r="CG86" s="54"/>
      <c r="CH86" s="54"/>
      <c r="CI86" s="54"/>
      <c r="CJ86" s="54"/>
      <c r="CK86" s="54"/>
      <c r="CL86" s="54"/>
      <c r="CM86" s="54"/>
      <c r="CN86" s="23"/>
      <c r="CR86" s="23"/>
      <c r="CS86" s="23">
        <f t="shared" ref="CS86:CT86" si="115">CS83-CS84+CS85</f>
        <v>739</v>
      </c>
      <c r="CT86" s="23">
        <f t="shared" si="115"/>
        <v>7942</v>
      </c>
      <c r="CU86" s="23">
        <f t="shared" ref="CU86:DC86" si="116">CU83-CU84+CU85</f>
        <v>8932</v>
      </c>
      <c r="CV86" s="23">
        <f t="shared" si="116"/>
        <v>9193.5499999999993</v>
      </c>
      <c r="CW86" s="23">
        <f t="shared" si="116"/>
        <v>14410.585101600002</v>
      </c>
      <c r="CX86" s="23">
        <f t="shared" si="116"/>
        <v>15305.636432172003</v>
      </c>
      <c r="CY86" s="23">
        <f t="shared" si="116"/>
        <v>14863.963792369741</v>
      </c>
      <c r="CZ86" s="23">
        <f t="shared" si="116"/>
        <v>14831.114353272005</v>
      </c>
      <c r="DA86" s="23">
        <f t="shared" si="116"/>
        <v>15204.876745849913</v>
      </c>
      <c r="DB86" s="23">
        <f t="shared" si="116"/>
        <v>15232.412846643831</v>
      </c>
      <c r="DC86" s="23">
        <f t="shared" si="116"/>
        <v>14644.096699466001</v>
      </c>
    </row>
    <row r="87" spans="2:170" x14ac:dyDescent="0.15">
      <c r="B87" s="1" t="s">
        <v>173</v>
      </c>
      <c r="C87" s="23">
        <f>-141-D87</f>
        <v>-67</v>
      </c>
      <c r="D87" s="23">
        <v>-74</v>
      </c>
      <c r="G87" s="23">
        <v>-170</v>
      </c>
      <c r="H87" s="23">
        <v>-87</v>
      </c>
      <c r="M87" s="23">
        <v>-100</v>
      </c>
      <c r="N87" s="23">
        <v>-103</v>
      </c>
      <c r="O87" s="23">
        <v>-112</v>
      </c>
      <c r="P87" s="23">
        <v>-99</v>
      </c>
      <c r="Q87" s="23">
        <v>-111</v>
      </c>
      <c r="R87" s="20">
        <v>-97</v>
      </c>
      <c r="S87" s="20">
        <v>-115</v>
      </c>
      <c r="T87" s="20">
        <v>-105</v>
      </c>
      <c r="U87" s="23">
        <v>-111</v>
      </c>
      <c r="V87" s="23">
        <v>-110</v>
      </c>
      <c r="W87" s="23">
        <v>-121</v>
      </c>
      <c r="X87" s="23">
        <f>-232-W87</f>
        <v>-111</v>
      </c>
      <c r="Y87" s="23">
        <v>-114</v>
      </c>
      <c r="Z87" s="23">
        <v>-81</v>
      </c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78"/>
      <c r="BL87" s="78"/>
      <c r="BM87" s="78"/>
      <c r="BN87" s="78"/>
      <c r="BO87" s="78">
        <v>0</v>
      </c>
      <c r="BP87" s="78">
        <v>0</v>
      </c>
      <c r="BQ87" s="78">
        <v>0</v>
      </c>
      <c r="BR87" s="78">
        <v>0</v>
      </c>
      <c r="BS87" s="54">
        <v>0</v>
      </c>
      <c r="BT87" s="54">
        <v>0</v>
      </c>
      <c r="BU87" s="54">
        <v>0</v>
      </c>
      <c r="BV87" s="54">
        <v>0</v>
      </c>
      <c r="BW87" s="54">
        <v>0</v>
      </c>
      <c r="BX87" s="54">
        <v>0</v>
      </c>
      <c r="BY87" s="54">
        <v>0</v>
      </c>
      <c r="BZ87" s="54">
        <v>0</v>
      </c>
      <c r="CA87" s="54">
        <v>0</v>
      </c>
      <c r="CB87" s="54">
        <v>0</v>
      </c>
      <c r="CC87" s="54">
        <v>0</v>
      </c>
      <c r="CD87" s="54">
        <v>0</v>
      </c>
      <c r="CE87" s="54">
        <v>0</v>
      </c>
      <c r="CF87" s="54">
        <v>0</v>
      </c>
      <c r="CG87" s="54"/>
      <c r="CH87" s="54"/>
      <c r="CI87" s="54"/>
      <c r="CJ87" s="54"/>
      <c r="CK87" s="54"/>
      <c r="CL87" s="54"/>
      <c r="CM87" s="54"/>
      <c r="CN87" s="23"/>
      <c r="CR87" s="23"/>
      <c r="CS87" s="23"/>
      <c r="CT87" s="23">
        <f>SUM(O87:R87)</f>
        <v>-419</v>
      </c>
      <c r="CU87" s="23">
        <f>CT87</f>
        <v>-419</v>
      </c>
      <c r="CV87" s="23"/>
      <c r="CW87" s="23"/>
      <c r="CX87" s="23"/>
      <c r="CY87" s="23"/>
      <c r="CZ87" s="23"/>
      <c r="DA87" s="23"/>
      <c r="DB87" s="23"/>
      <c r="DC87" s="23"/>
    </row>
    <row r="88" spans="2:170" x14ac:dyDescent="0.15">
      <c r="B88" s="1" t="s">
        <v>172</v>
      </c>
      <c r="C88" s="23">
        <f>C86+C87</f>
        <v>1184</v>
      </c>
      <c r="D88" s="23">
        <f>D86+D87</f>
        <v>1307</v>
      </c>
      <c r="G88" s="23">
        <f>G86+G87</f>
        <v>1269</v>
      </c>
      <c r="H88" s="23">
        <f>H86+H87</f>
        <v>1596</v>
      </c>
      <c r="M88" s="23">
        <f t="shared" ref="M88:W88" si="117">M86+M87</f>
        <v>1737</v>
      </c>
      <c r="N88" s="23">
        <f t="shared" si="117"/>
        <v>1797</v>
      </c>
      <c r="O88" s="23">
        <f t="shared" si="117"/>
        <v>2478</v>
      </c>
      <c r="P88" s="23">
        <f t="shared" si="117"/>
        <v>1740</v>
      </c>
      <c r="Q88" s="23">
        <f t="shared" si="117"/>
        <v>1884</v>
      </c>
      <c r="R88" s="23">
        <f t="shared" si="117"/>
        <v>1594</v>
      </c>
      <c r="S88" s="23">
        <f t="shared" si="117"/>
        <v>1915</v>
      </c>
      <c r="T88" s="23">
        <f t="shared" si="117"/>
        <v>1894</v>
      </c>
      <c r="U88" s="23">
        <f>U86+U87</f>
        <v>1980</v>
      </c>
      <c r="V88" s="23">
        <f t="shared" si="117"/>
        <v>1683</v>
      </c>
      <c r="W88" s="23">
        <f t="shared" si="117"/>
        <v>2107</v>
      </c>
      <c r="X88" s="23">
        <f t="shared" ref="X88:AC88" si="118">X86+X87</f>
        <v>2133</v>
      </c>
      <c r="Y88" s="23">
        <f t="shared" si="118"/>
        <v>2288</v>
      </c>
      <c r="Z88" s="23">
        <f t="shared" si="118"/>
        <v>1977</v>
      </c>
      <c r="AA88" s="23">
        <f t="shared" si="118"/>
        <v>2940</v>
      </c>
      <c r="AB88" s="23">
        <f t="shared" si="118"/>
        <v>2478</v>
      </c>
      <c r="AC88" s="23">
        <f t="shared" si="118"/>
        <v>2860</v>
      </c>
      <c r="AD88" s="23">
        <f>AD86+AD87</f>
        <v>1838</v>
      </c>
      <c r="AE88" s="23">
        <f>AE86+AE87</f>
        <v>2170</v>
      </c>
      <c r="AF88" s="23">
        <f t="shared" ref="AF88:AH88" si="119">AF86+AF87</f>
        <v>4395.2</v>
      </c>
      <c r="AG88" s="23">
        <f t="shared" si="119"/>
        <v>4383.1615999999995</v>
      </c>
      <c r="AH88" s="23">
        <f t="shared" si="119"/>
        <v>4187.4828799999996</v>
      </c>
      <c r="AI88" s="23"/>
      <c r="AJ88" s="23"/>
      <c r="AK88" s="23"/>
      <c r="AL88" s="23"/>
      <c r="AM88" s="23"/>
      <c r="AN88" s="23">
        <f t="shared" ref="AN88:AO88" si="120">AN86+AN87</f>
        <v>1462</v>
      </c>
      <c r="AO88" s="23">
        <f t="shared" si="120"/>
        <v>1774</v>
      </c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78"/>
      <c r="BL88" s="78"/>
      <c r="BM88" s="78"/>
      <c r="BN88" s="78"/>
      <c r="BO88" s="78">
        <f t="shared" ref="BO88" si="121">BO86-BO87</f>
        <v>2042</v>
      </c>
      <c r="BP88" s="78">
        <f t="shared" ref="BP88:BQ88" si="122">BP86-BP87</f>
        <v>1540</v>
      </c>
      <c r="BQ88" s="78">
        <f t="shared" si="122"/>
        <v>2299</v>
      </c>
      <c r="BR88" s="78">
        <f t="shared" ref="BR88:BX88" si="123">BR86-BR87</f>
        <v>1527</v>
      </c>
      <c r="BS88" s="54">
        <f t="shared" si="123"/>
        <v>2016</v>
      </c>
      <c r="BT88" s="54">
        <f t="shared" si="123"/>
        <v>1731</v>
      </c>
      <c r="BU88" s="54">
        <f t="shared" si="123"/>
        <v>2736</v>
      </c>
      <c r="BV88" s="54">
        <f t="shared" si="123"/>
        <v>1730</v>
      </c>
      <c r="BW88" s="54">
        <f t="shared" si="123"/>
        <v>2423</v>
      </c>
      <c r="BX88" s="54">
        <f t="shared" si="123"/>
        <v>2170</v>
      </c>
      <c r="BY88" s="54">
        <f t="shared" ref="BY88:CB88" si="124">BY86-BY87</f>
        <v>3606</v>
      </c>
      <c r="BZ88" s="54">
        <f t="shared" si="124"/>
        <v>2140</v>
      </c>
      <c r="CA88" s="54">
        <f t="shared" si="124"/>
        <v>2698</v>
      </c>
      <c r="CB88" s="54">
        <f t="shared" si="124"/>
        <v>2177</v>
      </c>
      <c r="CC88" s="54">
        <f t="shared" ref="CC88:CD88" si="125">CC86-CC87</f>
        <v>3196</v>
      </c>
      <c r="CD88" s="54">
        <f t="shared" si="125"/>
        <v>2083</v>
      </c>
      <c r="CE88" s="54">
        <f t="shared" ref="CE88:CF88" si="126">CE86-CE87</f>
        <v>2219</v>
      </c>
      <c r="CF88" s="54">
        <f t="shared" si="126"/>
        <v>2161</v>
      </c>
      <c r="CG88" s="54"/>
      <c r="CH88" s="54"/>
      <c r="CI88" s="54"/>
      <c r="CJ88" s="54"/>
      <c r="CK88" s="54"/>
      <c r="CL88" s="54"/>
      <c r="CM88" s="54"/>
      <c r="CN88" s="23"/>
      <c r="CR88" s="23"/>
      <c r="CS88" s="23"/>
      <c r="CT88" s="23">
        <f t="shared" ref="CT88" si="127">CT86+CT87</f>
        <v>7523</v>
      </c>
      <c r="CU88" s="23">
        <f t="shared" ref="CU88:DC88" si="128">CU86+CU87</f>
        <v>8513</v>
      </c>
      <c r="CV88" s="23">
        <f t="shared" si="128"/>
        <v>9193.5499999999993</v>
      </c>
      <c r="CW88" s="23">
        <f t="shared" si="128"/>
        <v>14410.585101600002</v>
      </c>
      <c r="CX88" s="23">
        <f t="shared" si="128"/>
        <v>15305.636432172003</v>
      </c>
      <c r="CY88" s="23">
        <f t="shared" si="128"/>
        <v>14863.963792369741</v>
      </c>
      <c r="CZ88" s="23">
        <f t="shared" si="128"/>
        <v>14831.114353272005</v>
      </c>
      <c r="DA88" s="23">
        <f t="shared" si="128"/>
        <v>15204.876745849913</v>
      </c>
      <c r="DB88" s="23">
        <f t="shared" si="128"/>
        <v>15232.412846643831</v>
      </c>
      <c r="DC88" s="23">
        <f t="shared" si="128"/>
        <v>14644.096699466001</v>
      </c>
      <c r="DD88" s="14">
        <f t="shared" ref="DD88:EI88" si="129">DC88*(1+$DF$92)</f>
        <v>14497.655732471341</v>
      </c>
      <c r="DE88" s="14">
        <f t="shared" si="129"/>
        <v>14352.679175146628</v>
      </c>
      <c r="DF88" s="14">
        <f t="shared" si="129"/>
        <v>14209.152383395161</v>
      </c>
      <c r="DG88" s="14">
        <f t="shared" si="129"/>
        <v>14067.06085956121</v>
      </c>
      <c r="DH88" s="14">
        <f t="shared" si="129"/>
        <v>13926.390250965598</v>
      </c>
      <c r="DI88" s="14">
        <f t="shared" si="129"/>
        <v>13787.126348455942</v>
      </c>
      <c r="DJ88" s="14">
        <f t="shared" si="129"/>
        <v>13649.255084971383</v>
      </c>
      <c r="DK88" s="14">
        <f t="shared" si="129"/>
        <v>13512.762534121668</v>
      </c>
      <c r="DL88" s="14">
        <f t="shared" si="129"/>
        <v>13377.634908780452</v>
      </c>
      <c r="DM88" s="14">
        <f t="shared" si="129"/>
        <v>13243.858559692648</v>
      </c>
      <c r="DN88" s="14">
        <f t="shared" si="129"/>
        <v>13111.419974095721</v>
      </c>
      <c r="DO88" s="14">
        <f t="shared" si="129"/>
        <v>12980.305774354763</v>
      </c>
      <c r="DP88" s="14">
        <f t="shared" si="129"/>
        <v>12850.502716611216</v>
      </c>
      <c r="DQ88" s="14">
        <f t="shared" si="129"/>
        <v>12721.997689445103</v>
      </c>
      <c r="DR88" s="14">
        <f t="shared" si="129"/>
        <v>12594.777712550651</v>
      </c>
      <c r="DS88" s="14">
        <f t="shared" si="129"/>
        <v>12468.829935425145</v>
      </c>
      <c r="DT88" s="14">
        <f t="shared" si="129"/>
        <v>12344.141636070894</v>
      </c>
      <c r="DU88" s="14">
        <f t="shared" si="129"/>
        <v>12220.700219710185</v>
      </c>
      <c r="DV88" s="14">
        <f t="shared" si="129"/>
        <v>12098.493217513083</v>
      </c>
      <c r="DW88" s="14">
        <f t="shared" si="129"/>
        <v>11977.508285337952</v>
      </c>
      <c r="DX88" s="14">
        <f t="shared" si="129"/>
        <v>11857.733202484573</v>
      </c>
      <c r="DY88" s="14">
        <f t="shared" si="129"/>
        <v>11739.155870459726</v>
      </c>
      <c r="DZ88" s="14">
        <f t="shared" si="129"/>
        <v>11621.764311755129</v>
      </c>
      <c r="EA88" s="14">
        <f t="shared" si="129"/>
        <v>11505.546668637577</v>
      </c>
      <c r="EB88" s="14">
        <f t="shared" si="129"/>
        <v>11390.491201951201</v>
      </c>
      <c r="EC88" s="14">
        <f t="shared" si="129"/>
        <v>11276.586289931689</v>
      </c>
      <c r="ED88" s="14">
        <f t="shared" si="129"/>
        <v>11163.820427032371</v>
      </c>
      <c r="EE88" s="14">
        <f t="shared" si="129"/>
        <v>11052.182222762047</v>
      </c>
      <c r="EF88" s="14">
        <f t="shared" si="129"/>
        <v>10941.660400534427</v>
      </c>
      <c r="EG88" s="14">
        <f t="shared" si="129"/>
        <v>10832.243796529083</v>
      </c>
      <c r="EH88" s="14">
        <f t="shared" si="129"/>
        <v>10723.921358563792</v>
      </c>
      <c r="EI88" s="14">
        <f t="shared" si="129"/>
        <v>10616.682144978155</v>
      </c>
      <c r="EJ88" s="14">
        <f t="shared" ref="EJ88:FN88" si="130">EI88*(1+$DF$92)</f>
        <v>10510.515323528372</v>
      </c>
      <c r="EK88" s="14">
        <f t="shared" si="130"/>
        <v>10405.410170293089</v>
      </c>
      <c r="EL88" s="14">
        <f t="shared" si="130"/>
        <v>10301.356068590158</v>
      </c>
      <c r="EM88" s="14">
        <f t="shared" si="130"/>
        <v>10198.342507904255</v>
      </c>
      <c r="EN88" s="14">
        <f t="shared" si="130"/>
        <v>10096.359082825213</v>
      </c>
      <c r="EO88" s="14">
        <f t="shared" si="130"/>
        <v>9995.3954919969601</v>
      </c>
      <c r="EP88" s="14">
        <f t="shared" si="130"/>
        <v>9895.4415370769912</v>
      </c>
      <c r="EQ88" s="14">
        <f t="shared" si="130"/>
        <v>9796.4871217062209</v>
      </c>
      <c r="ER88" s="14">
        <f t="shared" si="130"/>
        <v>9698.522250489159</v>
      </c>
      <c r="ES88" s="14">
        <f t="shared" si="130"/>
        <v>9601.5370279842682</v>
      </c>
      <c r="ET88" s="14">
        <f t="shared" si="130"/>
        <v>9505.5216577044248</v>
      </c>
      <c r="EU88" s="14">
        <f t="shared" si="130"/>
        <v>9410.4664411273807</v>
      </c>
      <c r="EV88" s="14">
        <f t="shared" si="130"/>
        <v>9316.3617767161068</v>
      </c>
      <c r="EW88" s="14">
        <f t="shared" si="130"/>
        <v>9223.198158948946</v>
      </c>
      <c r="EX88" s="14">
        <f t="shared" si="130"/>
        <v>9130.9661773594562</v>
      </c>
      <c r="EY88" s="14">
        <f t="shared" si="130"/>
        <v>9039.6565155858607</v>
      </c>
      <c r="EZ88" s="14">
        <f t="shared" si="130"/>
        <v>8949.2599504300015</v>
      </c>
      <c r="FA88" s="14">
        <f t="shared" si="130"/>
        <v>8859.767350925702</v>
      </c>
      <c r="FB88" s="14">
        <f t="shared" si="130"/>
        <v>8771.1696774164448</v>
      </c>
      <c r="FC88" s="14">
        <f t="shared" si="130"/>
        <v>8683.4579806422807</v>
      </c>
      <c r="FD88" s="14">
        <f t="shared" si="130"/>
        <v>8596.623400835857</v>
      </c>
      <c r="FE88" s="14">
        <f t="shared" si="130"/>
        <v>8510.6571668274992</v>
      </c>
      <c r="FF88" s="14">
        <f t="shared" si="130"/>
        <v>8425.550595159224</v>
      </c>
      <c r="FG88" s="14">
        <f t="shared" si="130"/>
        <v>8341.2950892076315</v>
      </c>
      <c r="FH88" s="14">
        <f t="shared" si="130"/>
        <v>8257.8821383155555</v>
      </c>
      <c r="FI88" s="14">
        <f t="shared" si="130"/>
        <v>8175.3033169323999</v>
      </c>
      <c r="FJ88" s="14">
        <f t="shared" si="130"/>
        <v>8093.5502837630756</v>
      </c>
      <c r="FK88" s="14">
        <f t="shared" si="130"/>
        <v>8012.6147809254444</v>
      </c>
      <c r="FL88" s="14">
        <f t="shared" si="130"/>
        <v>7932.4886331161897</v>
      </c>
      <c r="FM88" s="14">
        <f t="shared" si="130"/>
        <v>7853.1637467850278</v>
      </c>
      <c r="FN88" s="14">
        <f t="shared" si="130"/>
        <v>7774.6321093171773</v>
      </c>
    </row>
    <row r="89" spans="2:170" s="15" customFormat="1" x14ac:dyDescent="0.15">
      <c r="B89" s="15" t="s">
        <v>10</v>
      </c>
      <c r="C89" s="40">
        <f>C88/C90</f>
        <v>0.89327480514322943</v>
      </c>
      <c r="D89" s="40">
        <f>D88/D90</f>
        <v>0.9857784830591656</v>
      </c>
      <c r="E89" s="40"/>
      <c r="F89" s="40"/>
      <c r="G89" s="40">
        <f>G88/G90</f>
        <v>0.95046141194076128</v>
      </c>
      <c r="H89" s="40">
        <f>H88/H90</f>
        <v>1.1948209730300241</v>
      </c>
      <c r="I89" s="40"/>
      <c r="J89" s="40"/>
      <c r="K89" s="40"/>
      <c r="L89" s="40"/>
      <c r="M89" s="40">
        <f t="shared" ref="M89:W89" si="131">M88/M90</f>
        <v>1.2885756676557865</v>
      </c>
      <c r="N89" s="40">
        <f t="shared" si="131"/>
        <v>1.3322953736654806</v>
      </c>
      <c r="O89" s="40">
        <f t="shared" si="131"/>
        <v>1.8340611353711791</v>
      </c>
      <c r="P89" s="40">
        <f t="shared" si="131"/>
        <v>1.2870774465566979</v>
      </c>
      <c r="Q89" s="40">
        <f t="shared" si="131"/>
        <v>1.3962795523604832</v>
      </c>
      <c r="R89" s="40">
        <f t="shared" si="131"/>
        <v>1.1937392346289224</v>
      </c>
      <c r="S89" s="40">
        <f t="shared" si="131"/>
        <v>1.4498788612961842</v>
      </c>
      <c r="T89" s="40">
        <f t="shared" si="131"/>
        <v>1.4502297090352221</v>
      </c>
      <c r="U89" s="40">
        <f t="shared" si="131"/>
        <v>1.5174739423666463</v>
      </c>
      <c r="V89" s="40">
        <f t="shared" si="131"/>
        <v>1.289556355834802</v>
      </c>
      <c r="W89" s="40">
        <f t="shared" si="131"/>
        <v>1.613941018766756</v>
      </c>
      <c r="X89" s="40">
        <f t="shared" ref="X89:Y89" si="132">X88/X90</f>
        <v>1.6338567598621219</v>
      </c>
      <c r="Y89" s="40">
        <f t="shared" si="132"/>
        <v>1.7523167649536646</v>
      </c>
      <c r="Z89" s="40">
        <f t="shared" ref="Z89:AH89" si="133">Z88/Z90</f>
        <v>1.5126243305279266</v>
      </c>
      <c r="AA89" s="40">
        <f t="shared" si="133"/>
        <v>2.2489099671077795</v>
      </c>
      <c r="AB89" s="40">
        <f t="shared" si="133"/>
        <v>1.8998696618876025</v>
      </c>
      <c r="AC89" s="40">
        <f t="shared" si="133"/>
        <v>2.1919068056407114</v>
      </c>
      <c r="AD89" s="40"/>
      <c r="AE89" s="40">
        <f t="shared" si="133"/>
        <v>1.6625804474410051</v>
      </c>
      <c r="AF89" s="40">
        <f t="shared" si="133"/>
        <v>3.3674532638676062</v>
      </c>
      <c r="AG89" s="40">
        <f t="shared" si="133"/>
        <v>3.3582298498314431</v>
      </c>
      <c r="AH89" s="40">
        <f t="shared" si="133"/>
        <v>3.2083074471345383</v>
      </c>
      <c r="AI89" s="40"/>
      <c r="AJ89" s="40"/>
      <c r="AK89" s="40"/>
      <c r="AL89" s="40"/>
      <c r="AM89" s="40"/>
      <c r="AN89" s="40">
        <f t="shared" ref="AN89:AO89" si="134">AN88/AN90</f>
        <v>1.1028136079052575</v>
      </c>
      <c r="AO89" s="40">
        <f t="shared" si="134"/>
        <v>1.3403853418964866</v>
      </c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81"/>
      <c r="BL89" s="81"/>
      <c r="BM89" s="81"/>
      <c r="BN89" s="81"/>
      <c r="BO89" s="81">
        <f t="shared" ref="BO89" si="135">BO88/BO90</f>
        <v>1.6319028210660913</v>
      </c>
      <c r="BP89" s="81">
        <f t="shared" ref="BP89:BQ89" si="136">BP88/BP90</f>
        <v>1.2298354895384123</v>
      </c>
      <c r="BQ89" s="81">
        <f t="shared" si="136"/>
        <v>1.8308513179899657</v>
      </c>
      <c r="BR89" s="81">
        <f t="shared" ref="BR89:BX89" si="137">BR88/BR90</f>
        <v>1.2166361246115849</v>
      </c>
      <c r="BS89" s="63">
        <f t="shared" si="137"/>
        <v>1.6137036740574722</v>
      </c>
      <c r="BT89" s="63">
        <f t="shared" si="137"/>
        <v>1.3833613042435866</v>
      </c>
      <c r="BU89" s="63">
        <f t="shared" si="137"/>
        <v>2.1809485850936627</v>
      </c>
      <c r="BV89" s="63">
        <f t="shared" si="137"/>
        <v>1.3785959040561</v>
      </c>
      <c r="BW89" s="63">
        <f t="shared" si="137"/>
        <v>1.9396413704771054</v>
      </c>
      <c r="BX89" s="63">
        <f t="shared" si="137"/>
        <v>1.7348896706108092</v>
      </c>
      <c r="BY89" s="63">
        <f t="shared" ref="BY89:CE89" si="138">BY88/BY90</f>
        <v>2.8767451136816913</v>
      </c>
      <c r="BZ89" s="63">
        <f t="shared" si="138"/>
        <v>1.7065390749601277</v>
      </c>
      <c r="CA89" s="63">
        <f t="shared" si="138"/>
        <v>2.1596093812535022</v>
      </c>
      <c r="CB89" s="63">
        <f t="shared" si="138"/>
        <v>1.7407644330721255</v>
      </c>
      <c r="CC89" s="63">
        <f t="shared" si="138"/>
        <v>2.5502713054580273</v>
      </c>
      <c r="CD89" s="63">
        <f t="shared" si="138"/>
        <v>1.6616145500957245</v>
      </c>
      <c r="CE89" s="63">
        <f t="shared" si="138"/>
        <v>1.7769058295964126</v>
      </c>
      <c r="CF89" s="63">
        <f>CF88/CF90</f>
        <v>1.7286617070634351</v>
      </c>
      <c r="CG89" s="63"/>
      <c r="CH89" s="63"/>
      <c r="CI89" s="63"/>
      <c r="CJ89" s="63"/>
      <c r="CK89" s="63"/>
      <c r="CL89" s="63"/>
      <c r="CM89" s="63"/>
      <c r="CN89" s="40"/>
      <c r="CO89" s="46"/>
      <c r="CP89" s="46"/>
      <c r="CQ89" s="46"/>
      <c r="CR89" s="46"/>
      <c r="CS89" s="46">
        <f>SUM(O89:R89)</f>
        <v>5.7111573689172825</v>
      </c>
      <c r="CT89" s="46">
        <f t="shared" ref="CT89:CY89" si="139">CT88/CT90</f>
        <v>5.7463669868428582</v>
      </c>
      <c r="CU89" s="46">
        <f>CU88/CU90</f>
        <v>6.5187510768229417</v>
      </c>
      <c r="CV89" s="46">
        <f>CV88/CV90</f>
        <v>7.0423475640894706</v>
      </c>
      <c r="CW89" s="46">
        <f t="shared" si="139"/>
        <v>11.038646538862222</v>
      </c>
      <c r="CX89" s="46">
        <f t="shared" si="139"/>
        <v>11.724264451158211</v>
      </c>
      <c r="CY89" s="46">
        <f t="shared" si="139"/>
        <v>11.385938968723631</v>
      </c>
      <c r="CZ89" s="46">
        <f>CZ88/CZ90</f>
        <v>11.360775982998678</v>
      </c>
      <c r="DA89" s="46">
        <f>DA88/DA90</f>
        <v>11.647081564076638</v>
      </c>
      <c r="DB89" s="46">
        <f>DB88/DB90</f>
        <v>11.668174481649347</v>
      </c>
      <c r="DC89" s="46">
        <f>DC88/DC90</f>
        <v>11.217518664691555</v>
      </c>
    </row>
    <row r="90" spans="2:170" x14ac:dyDescent="0.15">
      <c r="B90" s="1" t="s">
        <v>11</v>
      </c>
      <c r="C90" s="23">
        <v>1325.4599740000001</v>
      </c>
      <c r="D90" s="23">
        <v>1325.855679</v>
      </c>
      <c r="G90" s="23">
        <v>1335.1410000000001</v>
      </c>
      <c r="H90" s="23">
        <v>1335.7649690000001</v>
      </c>
      <c r="M90" s="23">
        <v>1348</v>
      </c>
      <c r="N90" s="23">
        <v>1348.8</v>
      </c>
      <c r="O90" s="23">
        <v>1351.1</v>
      </c>
      <c r="P90" s="23">
        <v>1351.9</v>
      </c>
      <c r="Q90" s="23">
        <v>1349.3</v>
      </c>
      <c r="R90" s="23">
        <v>1335.3</v>
      </c>
      <c r="S90" s="23">
        <v>1320.8</v>
      </c>
      <c r="T90" s="23">
        <v>1306</v>
      </c>
      <c r="U90" s="23">
        <v>1304.8</v>
      </c>
      <c r="V90" s="23">
        <v>1305.0999999999999</v>
      </c>
      <c r="W90" s="23">
        <v>1305.5</v>
      </c>
      <c r="X90" s="23">
        <v>1305.5</v>
      </c>
      <c r="Y90" s="23">
        <v>1305.7</v>
      </c>
      <c r="Z90" s="23">
        <v>1307</v>
      </c>
      <c r="AA90" s="23">
        <v>1307.3</v>
      </c>
      <c r="AB90" s="23">
        <v>1304.3</v>
      </c>
      <c r="AC90" s="23">
        <v>1304.8</v>
      </c>
      <c r="AD90" s="23"/>
      <c r="AE90" s="23">
        <v>1305.2</v>
      </c>
      <c r="AF90" s="23">
        <f>+AE90</f>
        <v>1305.2</v>
      </c>
      <c r="AG90" s="23">
        <f>+AF90</f>
        <v>1305.2</v>
      </c>
      <c r="AH90" s="23">
        <f>+AG90</f>
        <v>1305.2</v>
      </c>
      <c r="AI90" s="23"/>
      <c r="AJ90" s="23"/>
      <c r="AK90" s="23"/>
      <c r="AL90" s="23"/>
      <c r="AM90" s="23"/>
      <c r="AN90" s="23">
        <v>1325.7</v>
      </c>
      <c r="AO90" s="23">
        <v>1323.5</v>
      </c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78"/>
      <c r="BL90" s="78"/>
      <c r="BM90" s="78"/>
      <c r="BN90" s="78"/>
      <c r="BO90" s="78">
        <v>1251.3</v>
      </c>
      <c r="BP90" s="78">
        <v>1252.2</v>
      </c>
      <c r="BQ90" s="78">
        <v>1255.7</v>
      </c>
      <c r="BR90" s="78">
        <v>1255.0999999999999</v>
      </c>
      <c r="BS90" s="54">
        <v>1249.3</v>
      </c>
      <c r="BT90" s="54">
        <v>1251.3</v>
      </c>
      <c r="BU90" s="54">
        <v>1254.5</v>
      </c>
      <c r="BV90" s="54">
        <v>1254.9000000000001</v>
      </c>
      <c r="BW90" s="54">
        <v>1249.2</v>
      </c>
      <c r="BX90" s="54">
        <v>1250.8</v>
      </c>
      <c r="BY90" s="54">
        <v>1253.5</v>
      </c>
      <c r="BZ90" s="54">
        <v>1254</v>
      </c>
      <c r="CA90" s="54">
        <v>1249.3</v>
      </c>
      <c r="CB90" s="54">
        <v>1250.5999999999999</v>
      </c>
      <c r="CC90" s="54">
        <v>1253.2</v>
      </c>
      <c r="CD90" s="54">
        <v>1253.5999999999999</v>
      </c>
      <c r="CE90" s="54">
        <v>1248.8</v>
      </c>
      <c r="CF90" s="54">
        <v>1250.0999999999999</v>
      </c>
      <c r="CG90" s="54"/>
      <c r="CH90" s="54"/>
      <c r="CI90" s="54"/>
      <c r="CJ90" s="54"/>
      <c r="CK90" s="54"/>
      <c r="CL90" s="54"/>
      <c r="CM90" s="54"/>
      <c r="CN90" s="23"/>
      <c r="CS90" s="23">
        <f>AVERAGE(O90:R90)</f>
        <v>1346.9</v>
      </c>
      <c r="CT90" s="23">
        <f>AVERAGE(S90:V90)</f>
        <v>1309.1750000000002</v>
      </c>
      <c r="CU90" s="23">
        <f>AVERAGE(W90:Z90)</f>
        <v>1305.925</v>
      </c>
      <c r="CV90" s="23">
        <f>AVERAGE(AA90:AD90)</f>
        <v>1305.4666666666665</v>
      </c>
      <c r="CW90" s="23">
        <f t="shared" ref="CW90:DA90" si="140">CV90</f>
        <v>1305.4666666666665</v>
      </c>
      <c r="CX90" s="23">
        <f t="shared" si="140"/>
        <v>1305.4666666666665</v>
      </c>
      <c r="CY90" s="23">
        <f t="shared" si="140"/>
        <v>1305.4666666666665</v>
      </c>
      <c r="CZ90" s="23">
        <f t="shared" si="140"/>
        <v>1305.4666666666665</v>
      </c>
      <c r="DA90" s="23">
        <f t="shared" si="140"/>
        <v>1305.4666666666665</v>
      </c>
      <c r="DB90" s="23">
        <f>DA90</f>
        <v>1305.4666666666665</v>
      </c>
      <c r="DC90" s="23">
        <f>DB90</f>
        <v>1305.4666666666665</v>
      </c>
    </row>
    <row r="91" spans="2:170" x14ac:dyDescent="0.15">
      <c r="DE91" s="19" t="s">
        <v>297</v>
      </c>
      <c r="DF91" s="25">
        <v>0.06</v>
      </c>
    </row>
    <row r="92" spans="2:170" x14ac:dyDescent="0.15">
      <c r="B92" s="1" t="s">
        <v>169</v>
      </c>
      <c r="M92" s="41">
        <f t="shared" ref="M92:W92" si="141">M77/M75</f>
        <v>0.76829445007969854</v>
      </c>
      <c r="N92" s="41">
        <f t="shared" si="141"/>
        <v>0.76495377922784125</v>
      </c>
      <c r="O92" s="41">
        <f t="shared" si="141"/>
        <v>0.77595095443778739</v>
      </c>
      <c r="P92" s="41">
        <f t="shared" si="141"/>
        <v>0.77676898688571838</v>
      </c>
      <c r="Q92" s="41">
        <f t="shared" si="141"/>
        <v>0.77153024911032031</v>
      </c>
      <c r="R92" s="41">
        <f t="shared" si="141"/>
        <v>0.76067139343076251</v>
      </c>
      <c r="S92" s="41">
        <f t="shared" si="141"/>
        <v>0.76803006214770919</v>
      </c>
      <c r="T92" s="41">
        <f t="shared" si="141"/>
        <v>0.78472118403348778</v>
      </c>
      <c r="U92" s="41">
        <f t="shared" si="141"/>
        <v>0.78389026703633446</v>
      </c>
      <c r="V92" s="41">
        <f t="shared" si="141"/>
        <v>0.77994075327972912</v>
      </c>
      <c r="W92" s="41">
        <f t="shared" si="141"/>
        <v>0.79977486984663004</v>
      </c>
      <c r="X92" s="41">
        <f t="shared" ref="X92:Y92" si="142">X77/X75</f>
        <v>0.80193496371943029</v>
      </c>
      <c r="Y92" s="41">
        <f t="shared" si="142"/>
        <v>0.77621621621621617</v>
      </c>
      <c r="Z92" s="41">
        <f t="shared" ref="Z92:AE92" si="143">Z77/Z75</f>
        <v>0.7477244939546257</v>
      </c>
      <c r="AA92" s="41">
        <f t="shared" si="143"/>
        <v>0.7929855659660674</v>
      </c>
      <c r="AB92" s="41">
        <f t="shared" si="143"/>
        <v>0.7879994860593601</v>
      </c>
      <c r="AC92" s="41">
        <f t="shared" si="143"/>
        <v>0.76243447129523079</v>
      </c>
      <c r="AD92" s="41">
        <f t="shared" si="143"/>
        <v>0.74374577417173771</v>
      </c>
      <c r="AE92" s="41">
        <f t="shared" si="143"/>
        <v>0.74945365728242708</v>
      </c>
      <c r="AF92" s="41">
        <v>0.76</v>
      </c>
      <c r="AG92" s="41">
        <v>0.76</v>
      </c>
      <c r="AH92" s="41">
        <v>0.76</v>
      </c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82"/>
      <c r="BL92" s="82"/>
      <c r="BM92" s="82"/>
      <c r="BN92" s="82"/>
      <c r="BO92" s="82">
        <f t="shared" ref="BO92" si="144">+BO77/BO75</f>
        <v>0.72094059957650725</v>
      </c>
      <c r="BP92" s="82">
        <f t="shared" ref="BP92" si="145">+BP77/BP75</f>
        <v>0.70403314243938098</v>
      </c>
      <c r="BQ92" s="82">
        <f t="shared" ref="BQ92:BR92" si="146">+BQ77/BQ75</f>
        <v>0.70893554172381057</v>
      </c>
      <c r="BR92" s="82">
        <f t="shared" si="146"/>
        <v>0.67117885312300152</v>
      </c>
      <c r="BS92" s="64">
        <f t="shared" ref="BS92" si="147">+BS77/BS75</f>
        <v>0.72191828657897805</v>
      </c>
      <c r="BT92" s="64">
        <f t="shared" ref="BT92:BU92" si="148">+BT77/BT75</f>
        <v>0.70757090576395243</v>
      </c>
      <c r="BU92" s="64">
        <f t="shared" si="148"/>
        <v>0.72766487730061347</v>
      </c>
      <c r="BV92" s="64">
        <f t="shared" ref="BV92:BW92" si="149">+BV77/BV75</f>
        <v>0.69481689013408043</v>
      </c>
      <c r="BW92" s="64">
        <f t="shared" si="149"/>
        <v>0.74165202108963091</v>
      </c>
      <c r="BX92" s="64">
        <f>+BX77/BX75</f>
        <v>0.74070778964017403</v>
      </c>
      <c r="BY92" s="64">
        <f>+BY77/BY75</f>
        <v>0.74563371254606636</v>
      </c>
      <c r="BZ92" s="64">
        <f>+BZ77/BZ75</f>
        <v>0.7199738903394256</v>
      </c>
      <c r="CA92" s="64">
        <f>+CA77/CA75</f>
        <v>0.76147148028568634</v>
      </c>
      <c r="CB92" s="64">
        <f>+CB77/CB75</f>
        <v>0.74450577019568487</v>
      </c>
      <c r="CC92" s="64">
        <f>+CC77/CC75</f>
        <v>0.74038783015713805</v>
      </c>
      <c r="CD92" s="64">
        <f>+CD77/CD75</f>
        <v>0.74796226760692375</v>
      </c>
      <c r="CE92" s="64">
        <f>+CE77/CE75</f>
        <v>0.735282874617737</v>
      </c>
      <c r="CF92" s="64">
        <f>+CF77/CF75</f>
        <v>0.74211261051651933</v>
      </c>
      <c r="CG92" s="64"/>
      <c r="CH92" s="64"/>
      <c r="CI92" s="64"/>
      <c r="CJ92" s="64"/>
      <c r="CK92" s="64"/>
      <c r="CL92" s="64"/>
      <c r="CM92" s="64"/>
      <c r="CN92" s="41"/>
      <c r="CS92" s="41">
        <f t="shared" ref="CS92:CU92" si="150">CS77/CS75</f>
        <v>0</v>
      </c>
      <c r="CT92" s="41">
        <f t="shared" si="150"/>
        <v>0.77909255898366603</v>
      </c>
      <c r="CU92" s="41">
        <f t="shared" si="150"/>
        <v>0.78130330945069937</v>
      </c>
      <c r="CV92" s="41">
        <v>0.77</v>
      </c>
      <c r="CW92" s="41">
        <v>0.76</v>
      </c>
      <c r="CX92" s="41">
        <v>0.76</v>
      </c>
      <c r="CY92" s="41">
        <v>0.75</v>
      </c>
      <c r="CZ92" s="41">
        <v>0.75</v>
      </c>
      <c r="DA92" s="41">
        <v>0.75</v>
      </c>
      <c r="DB92" s="41">
        <v>0.75</v>
      </c>
      <c r="DC92" s="41">
        <v>0.75</v>
      </c>
      <c r="DE92" s="1" t="s">
        <v>205</v>
      </c>
      <c r="DF92" s="25">
        <v>-0.01</v>
      </c>
    </row>
    <row r="93" spans="2:170" x14ac:dyDescent="0.15">
      <c r="B93" s="1" t="s">
        <v>171</v>
      </c>
      <c r="M93" s="41">
        <f t="shared" ref="M93:W93" si="151">M84/M83</f>
        <v>0.30154220779220781</v>
      </c>
      <c r="N93" s="41">
        <f t="shared" si="151"/>
        <v>0.22399328859060402</v>
      </c>
      <c r="O93" s="41">
        <f t="shared" si="151"/>
        <v>9.8529411764705879E-2</v>
      </c>
      <c r="P93" s="41">
        <f t="shared" si="151"/>
        <v>0.29905335628227192</v>
      </c>
      <c r="Q93" s="41">
        <f t="shared" si="151"/>
        <v>0.31461538461538463</v>
      </c>
      <c r="R93" s="41">
        <f t="shared" si="151"/>
        <v>0.23469903894790087</v>
      </c>
      <c r="S93" s="41">
        <f t="shared" si="151"/>
        <v>0.28983788058521154</v>
      </c>
      <c r="T93" s="41">
        <f t="shared" si="151"/>
        <v>0.26058091286307056</v>
      </c>
      <c r="U93" s="41">
        <f t="shared" si="151"/>
        <v>0.28576879053796261</v>
      </c>
      <c r="V93" s="41">
        <f t="shared" si="151"/>
        <v>0.26219512195121952</v>
      </c>
      <c r="W93" s="41">
        <f t="shared" si="151"/>
        <v>0.28512396694214875</v>
      </c>
      <c r="X93" s="41">
        <f t="shared" ref="X93:Z93" si="152">X84/X83</f>
        <v>0.32398980706224972</v>
      </c>
      <c r="Y93" s="41">
        <f>Y84/Y83</f>
        <v>0.28421052631578947</v>
      </c>
      <c r="Z93" s="41">
        <f t="shared" si="152"/>
        <v>0.21958584987057808</v>
      </c>
      <c r="AA93" s="41">
        <f t="shared" ref="AA93:AC93" si="153">AA84/AA83</f>
        <v>0.22935779816513763</v>
      </c>
      <c r="AB93" s="41">
        <f t="shared" si="153"/>
        <v>0.27565039462145574</v>
      </c>
      <c r="AC93" s="41">
        <f t="shared" si="153"/>
        <v>0.12385165022116366</v>
      </c>
      <c r="AD93" s="41">
        <f>AD84/AD83</f>
        <v>0.26192619261926192</v>
      </c>
      <c r="AE93" s="41">
        <f>AE84/AE83</f>
        <v>0.28650239058477384</v>
      </c>
      <c r="AF93" s="41">
        <v>0.28000000000000003</v>
      </c>
      <c r="AG93" s="41">
        <v>0.28000000000000003</v>
      </c>
      <c r="AH93" s="41">
        <v>0.28000000000000003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82"/>
      <c r="BL93" s="82"/>
      <c r="BM93" s="82"/>
      <c r="BN93" s="82"/>
      <c r="BO93" s="82">
        <f t="shared" ref="BO93" si="154">+BO84/BO83</f>
        <v>0.20383602858217376</v>
      </c>
      <c r="BP93" s="82">
        <f t="shared" ref="BP93" si="155">+BP84/BP83</f>
        <v>0.22064777327935223</v>
      </c>
      <c r="BQ93" s="82">
        <f t="shared" ref="BQ93:BR93" si="156">+BQ84/BQ83</f>
        <v>0.2209420535411725</v>
      </c>
      <c r="BR93" s="82">
        <f t="shared" si="156"/>
        <v>0.22052067381316998</v>
      </c>
      <c r="BS93" s="64">
        <f t="shared" ref="BS93" si="157">+BS84/BS83</f>
        <v>0.21034077555816685</v>
      </c>
      <c r="BT93" s="64">
        <f t="shared" ref="BT93:BU93" si="158">+BT84/BT83</f>
        <v>0.20922795797167656</v>
      </c>
      <c r="BU93" s="64">
        <f t="shared" si="158"/>
        <v>0.21220846530377196</v>
      </c>
      <c r="BV93" s="64">
        <f t="shared" ref="BV93:BW93" si="159">+BV84/BV83</f>
        <v>0.203865623561896</v>
      </c>
      <c r="BW93" s="64">
        <f t="shared" si="159"/>
        <v>0.18854655056932351</v>
      </c>
      <c r="BX93" s="64">
        <f>+BX84/BX83</f>
        <v>0.1890881913303438</v>
      </c>
      <c r="BY93" s="64">
        <f>+BY84/BY83</f>
        <v>0.18911625815156285</v>
      </c>
      <c r="BZ93" s="64">
        <f>+BZ84/BZ83</f>
        <v>0.20593692022263452</v>
      </c>
      <c r="CA93" s="64">
        <f>+CA84/CA83</f>
        <v>0.18857142857142858</v>
      </c>
      <c r="CB93" s="64">
        <f>+CB84/CB83</f>
        <v>0.18889716840536513</v>
      </c>
      <c r="CC93" s="64">
        <f>+CC84/CC83</f>
        <v>0.18986058301647654</v>
      </c>
      <c r="CD93" s="64">
        <f>+CD84/CD83</f>
        <v>0.17797947908445147</v>
      </c>
      <c r="CE93" s="64">
        <f>+CE84/CE83</f>
        <v>0.20749999999999999</v>
      </c>
      <c r="CF93" s="64">
        <f>+CF84/CF83</f>
        <v>0.20755408874220754</v>
      </c>
      <c r="CG93" s="64"/>
      <c r="CH93" s="64"/>
      <c r="CI93" s="64"/>
      <c r="CJ93" s="64"/>
      <c r="CK93" s="64"/>
      <c r="CL93" s="64"/>
      <c r="CM93" s="64"/>
      <c r="CN93" s="41"/>
      <c r="CT93" s="41">
        <f>CT84/CT83</f>
        <v>0.27456023042896821</v>
      </c>
      <c r="CU93" s="41">
        <f>CU84/CU83</f>
        <v>0.28074033351658423</v>
      </c>
      <c r="CV93" s="41">
        <v>0.25</v>
      </c>
      <c r="CW93" s="41">
        <v>0.25</v>
      </c>
      <c r="CX93" s="41">
        <v>0.25</v>
      </c>
      <c r="CY93" s="41">
        <v>0.25</v>
      </c>
      <c r="CZ93" s="41">
        <v>0.25</v>
      </c>
      <c r="DA93" s="41">
        <v>0.25</v>
      </c>
      <c r="DB93" s="41">
        <v>0.25</v>
      </c>
      <c r="DC93" s="41">
        <v>0.25</v>
      </c>
      <c r="DE93" s="1" t="s">
        <v>206</v>
      </c>
      <c r="DF93" s="47">
        <v>0.12</v>
      </c>
      <c r="DG93" s="1" t="s">
        <v>316</v>
      </c>
    </row>
    <row r="94" spans="2:170" x14ac:dyDescent="0.15"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82"/>
      <c r="BL94" s="82"/>
      <c r="BM94" s="82"/>
      <c r="BN94" s="82"/>
      <c r="BO94" s="82"/>
      <c r="BP94" s="82"/>
      <c r="BQ94" s="82"/>
      <c r="BR94" s="82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E94" s="1" t="s">
        <v>207</v>
      </c>
      <c r="DF94" s="27">
        <f>NPV($DF$93,CX88:FP88)+Main!K5-Main!K6+CW88</f>
        <v>117571.62986976348</v>
      </c>
      <c r="DG94" s="1" t="s">
        <v>208</v>
      </c>
    </row>
    <row r="95" spans="2:170" s="11" customFormat="1" x14ac:dyDescent="0.15">
      <c r="B95" s="11" t="s">
        <v>170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42">
        <f t="shared" ref="O95:V95" si="160">O75/K75-1</f>
        <v>2.0184790334043967E-2</v>
      </c>
      <c r="P95" s="42">
        <f t="shared" si="160"/>
        <v>-2.005366473661907E-2</v>
      </c>
      <c r="Q95" s="42">
        <f t="shared" si="160"/>
        <v>1.7968410375307942E-2</v>
      </c>
      <c r="R95" s="42">
        <f t="shared" si="160"/>
        <v>-6.0494834148994037E-2</v>
      </c>
      <c r="S95" s="42">
        <f t="shared" si="160"/>
        <v>-3.5948167758116156E-2</v>
      </c>
      <c r="T95" s="42">
        <f t="shared" si="160"/>
        <v>-3.6028246144977683E-2</v>
      </c>
      <c r="U95" s="42">
        <f>U75/Q75-1</f>
        <v>-2.4483985765124561E-2</v>
      </c>
      <c r="V95" s="42">
        <f t="shared" si="160"/>
        <v>2.5756041093908166E-2</v>
      </c>
      <c r="W95" s="42">
        <f t="shared" ref="W95:X95" si="161">W75/S75-1</f>
        <v>2.7171556583321266E-2</v>
      </c>
      <c r="X95" s="42">
        <f t="shared" si="161"/>
        <v>0.11257288084915529</v>
      </c>
      <c r="Y95" s="42">
        <f t="shared" ref="Y95:AE95" si="162">Y75/U75-1</f>
        <v>7.9819057347147337E-2</v>
      </c>
      <c r="Z95" s="42">
        <f t="shared" si="162"/>
        <v>3.83693045563549E-2</v>
      </c>
      <c r="AA95" s="42">
        <f t="shared" si="162"/>
        <v>0.11129871957225279</v>
      </c>
      <c r="AB95" s="42">
        <f t="shared" si="162"/>
        <v>4.5821015855952663E-2</v>
      </c>
      <c r="AC95" s="42">
        <f t="shared" si="162"/>
        <v>5.6891891891891921E-2</v>
      </c>
      <c r="AD95" s="42">
        <f t="shared" si="162"/>
        <v>4.6189376443417363E-3</v>
      </c>
      <c r="AE95" s="42">
        <f t="shared" si="162"/>
        <v>-1.5067105596353492E-2</v>
      </c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83"/>
      <c r="BL95" s="83"/>
      <c r="BM95" s="83"/>
      <c r="BN95" s="83"/>
      <c r="BO95" s="83"/>
      <c r="BP95" s="83"/>
      <c r="BQ95" s="83"/>
      <c r="BR95" s="83"/>
      <c r="BS95" s="65">
        <f>+BS75/BO75-1</f>
        <v>-4.2572160927226155E-2</v>
      </c>
      <c r="BT95" s="65">
        <f>+BT75/BP75-1</f>
        <v>6.5431948336785561E-2</v>
      </c>
      <c r="BU95" s="65">
        <f>+BU75/BQ75-1</f>
        <v>0.1005380314379154</v>
      </c>
      <c r="BV95" s="65">
        <f>+BV75/BR75-1</f>
        <v>6.5231293967171089E-2</v>
      </c>
      <c r="BW95" s="65">
        <f t="shared" ref="BW95" si="163">+BW75/BS75-1</f>
        <v>0.12594575718775469</v>
      </c>
      <c r="BX95" s="65">
        <f>+BX75/BT75-1</f>
        <v>0.15690759377859109</v>
      </c>
      <c r="BY95" s="65">
        <f t="shared" ref="BY95:CF95" si="164">+BY75/BU75-1</f>
        <v>0.19651073619631898</v>
      </c>
      <c r="BZ95" s="65">
        <f t="shared" si="164"/>
        <v>7.3043826295777547E-2</v>
      </c>
      <c r="CA95" s="65">
        <f t="shared" si="164"/>
        <v>5.6652537992349927E-2</v>
      </c>
      <c r="CB95" s="65">
        <f t="shared" si="164"/>
        <v>-1.4926848556741756E-2</v>
      </c>
      <c r="CC95" s="65">
        <f t="shared" si="164"/>
        <v>-4.1499759653901624E-2</v>
      </c>
      <c r="CD95" s="65">
        <f t="shared" si="164"/>
        <v>1.818351361432291E-2</v>
      </c>
      <c r="CE95" s="65">
        <f>+CE75/CA75-1</f>
        <v>2.3774581743469358E-2</v>
      </c>
      <c r="CF95" s="65">
        <f t="shared" si="164"/>
        <v>7.8273958855995973E-2</v>
      </c>
      <c r="CG95" s="65"/>
      <c r="CH95" s="65"/>
      <c r="CI95" s="65"/>
      <c r="CJ95" s="65"/>
      <c r="CK95" s="65"/>
      <c r="CL95" s="65"/>
      <c r="CM95" s="65"/>
      <c r="CN95" s="42"/>
      <c r="CO95" s="45"/>
      <c r="CP95" s="45"/>
      <c r="CQ95" s="45"/>
      <c r="CR95" s="45"/>
      <c r="CS95" s="42">
        <f>CS75/CR75-1</f>
        <v>-1.1313572762837953E-2</v>
      </c>
      <c r="CT95" s="42">
        <f t="shared" ref="CT95:CY95" si="165">CT75/CS75-1</f>
        <v>-1.7895337230857011E-2</v>
      </c>
      <c r="CU95" s="42">
        <f t="shared" si="165"/>
        <v>6.3883847549909278E-2</v>
      </c>
      <c r="CV95" s="42">
        <f t="shared" si="165"/>
        <v>3.7700443534629757E-2</v>
      </c>
      <c r="CW95" s="42">
        <f t="shared" si="165"/>
        <v>-8.8696366924214676E-3</v>
      </c>
      <c r="CX95" s="42">
        <f t="shared" si="165"/>
        <v>-3.3663060457657656E-2</v>
      </c>
      <c r="CY95" s="42">
        <f t="shared" si="165"/>
        <v>-5.5654504717852049E-2</v>
      </c>
      <c r="CZ95" s="42">
        <f>CZ75/CY75-1</f>
        <v>-4.5349036594959591E-2</v>
      </c>
      <c r="DA95" s="42">
        <f>DA75/CZ75-1</f>
        <v>-1.9877723922329449E-2</v>
      </c>
      <c r="DB95" s="42">
        <f>DB75/DA75-1</f>
        <v>-4.5355557432140592E-2</v>
      </c>
      <c r="DC95" s="42">
        <f>DC75/DB75-1</f>
        <v>-9.2156395641669664E-2</v>
      </c>
      <c r="DE95" s="19" t="s">
        <v>341</v>
      </c>
      <c r="DF95" s="21">
        <f>DF94/Main!K3</f>
        <v>93.982118201249776</v>
      </c>
      <c r="DG95" s="1"/>
    </row>
    <row r="96" spans="2:170" s="11" customFormat="1" x14ac:dyDescent="0.15">
      <c r="B96" s="11" t="s">
        <v>311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>
        <v>-1.2E-2</v>
      </c>
      <c r="AC96" s="42"/>
      <c r="AD96" s="42"/>
      <c r="AE96" s="42">
        <v>-5.1999999999999998E-2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>
        <v>6.0000000000000001E-3</v>
      </c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83"/>
      <c r="BL96" s="83"/>
      <c r="BM96" s="83"/>
      <c r="BN96" s="83"/>
      <c r="BO96" s="83"/>
      <c r="BP96" s="83"/>
      <c r="BQ96" s="83"/>
      <c r="BR96" s="83"/>
      <c r="BS96" s="65"/>
      <c r="BT96" s="65"/>
      <c r="BU96" s="65"/>
      <c r="BV96" s="65"/>
      <c r="BW96" s="65"/>
      <c r="BX96" s="65">
        <v>8.1000000000000003E-2</v>
      </c>
      <c r="BY96" s="65">
        <v>0.09</v>
      </c>
      <c r="BZ96" s="65">
        <v>2.5999999999999999E-2</v>
      </c>
      <c r="CA96" s="65">
        <v>5.5E-2</v>
      </c>
      <c r="CB96" s="65">
        <v>4.3999999999999997E-2</v>
      </c>
      <c r="CC96" s="65">
        <v>3.2000000000000001E-2</v>
      </c>
      <c r="CD96" s="65">
        <v>9.2999999999999999E-2</v>
      </c>
      <c r="CE96" s="65">
        <v>6.7000000000000004E-2</v>
      </c>
      <c r="CF96" s="65">
        <v>0.10199999999999999</v>
      </c>
      <c r="CG96" s="65"/>
      <c r="CH96" s="65"/>
      <c r="CI96" s="65"/>
      <c r="CJ96" s="65"/>
      <c r="CK96" s="65"/>
      <c r="CL96" s="65"/>
      <c r="CM96" s="65"/>
      <c r="CN96" s="42"/>
      <c r="CO96" s="45"/>
      <c r="CP96" s="45"/>
      <c r="CQ96" s="45"/>
      <c r="CR96" s="45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E96" s="19" t="s">
        <v>342</v>
      </c>
      <c r="DF96" s="25">
        <f>DF95/Main!K2-1</f>
        <v>0.91800241227040358</v>
      </c>
      <c r="DG96" s="1"/>
    </row>
    <row r="97" spans="2:111" s="19" customFormat="1" x14ac:dyDescent="0.15">
      <c r="B97" s="19" t="s">
        <v>568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84"/>
      <c r="BL97" s="84"/>
      <c r="BM97" s="84"/>
      <c r="BN97" s="84"/>
      <c r="BO97" s="84"/>
      <c r="BP97" s="84"/>
      <c r="BQ97" s="84"/>
      <c r="BR97" s="84"/>
      <c r="BS97" s="66">
        <f t="shared" ref="BS97:BW98" si="166">+BS3/BO3-1</f>
        <v>0.34922680412371143</v>
      </c>
      <c r="BT97" s="66">
        <f t="shared" si="166"/>
        <v>0.44871794871794868</v>
      </c>
      <c r="BU97" s="66">
        <f t="shared" si="166"/>
        <v>0.53594771241830075</v>
      </c>
      <c r="BV97" s="66">
        <f t="shared" si="166"/>
        <v>0.57739307535641538</v>
      </c>
      <c r="BW97" s="66">
        <f t="shared" si="166"/>
        <v>0.54154727793696278</v>
      </c>
      <c r="BX97" s="66">
        <f>+BX3/BT3-1</f>
        <v>0.57924376508447306</v>
      </c>
      <c r="BY97" s="66">
        <f>+BY3/BU3-1</f>
        <v>0.64113475177304968</v>
      </c>
      <c r="BZ97" s="66">
        <f>+BZ3/BV3-1</f>
        <v>0.55067785668173008</v>
      </c>
      <c r="CA97" s="66">
        <f>+CA3/BW3-1</f>
        <v>0.43494423791821557</v>
      </c>
      <c r="CB97" s="66">
        <f t="shared" ref="CB97:CF97" si="167">+CB3/BX3-1</f>
        <v>0.30514518593988793</v>
      </c>
      <c r="CC97" s="66">
        <f t="shared" si="167"/>
        <v>0.2303370786516854</v>
      </c>
      <c r="CD97" s="66">
        <f t="shared" si="167"/>
        <v>0.24479600333055784</v>
      </c>
      <c r="CE97" s="66">
        <f t="shared" si="167"/>
        <v>0.22409326424870457</v>
      </c>
      <c r="CF97" s="66">
        <f t="shared" si="167"/>
        <v>0.28922716627634659</v>
      </c>
      <c r="CG97" s="66"/>
      <c r="CH97" s="66"/>
      <c r="CI97" s="66"/>
      <c r="CJ97" s="66"/>
      <c r="CK97" s="66"/>
      <c r="CL97" s="66"/>
      <c r="CM97" s="66"/>
      <c r="CN97" s="43"/>
      <c r="CO97" s="33"/>
      <c r="CP97" s="33"/>
      <c r="CQ97" s="33"/>
      <c r="CR97" s="3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F97" s="74"/>
    </row>
    <row r="98" spans="2:111" s="19" customFormat="1" x14ac:dyDescent="0.15">
      <c r="B98" s="19" t="s">
        <v>284</v>
      </c>
      <c r="C98" s="32"/>
      <c r="D98" s="32"/>
      <c r="E98" s="32"/>
      <c r="F98" s="32"/>
      <c r="G98" s="32"/>
      <c r="H98" s="32"/>
      <c r="I98" s="32"/>
      <c r="J98" s="32"/>
      <c r="K98" s="32"/>
      <c r="L98" s="43"/>
      <c r="M98" s="43"/>
      <c r="N98" s="43"/>
      <c r="O98" s="43">
        <f t="shared" ref="O98:AE98" si="168">O4/K4-1</f>
        <v>0.19895287958115193</v>
      </c>
      <c r="P98" s="43">
        <f t="shared" si="168"/>
        <v>0.19477434679334915</v>
      </c>
      <c r="Q98" s="43">
        <f t="shared" si="168"/>
        <v>0.25728155339805836</v>
      </c>
      <c r="R98" s="43">
        <f t="shared" si="168"/>
        <v>0.22394678492239461</v>
      </c>
      <c r="S98" s="43">
        <f t="shared" si="168"/>
        <v>0.21615720524017457</v>
      </c>
      <c r="T98" s="43">
        <f t="shared" si="168"/>
        <v>0.14512922465208744</v>
      </c>
      <c r="U98" s="43">
        <f t="shared" si="168"/>
        <v>0.18146718146718155</v>
      </c>
      <c r="V98" s="43">
        <f t="shared" si="168"/>
        <v>0.27717391304347827</v>
      </c>
      <c r="W98" s="43">
        <f t="shared" si="168"/>
        <v>0.34111310592459598</v>
      </c>
      <c r="X98" s="43">
        <f t="shared" si="168"/>
        <v>0.375</v>
      </c>
      <c r="Y98" s="43">
        <f t="shared" si="168"/>
        <v>0.2712418300653594</v>
      </c>
      <c r="Z98" s="43">
        <f t="shared" si="168"/>
        <v>8.2269503546099187E-2</v>
      </c>
      <c r="AA98" s="43">
        <f t="shared" si="168"/>
        <v>5.7563587684069661E-2</v>
      </c>
      <c r="AB98" s="43">
        <f t="shared" si="168"/>
        <v>0.16919191919191912</v>
      </c>
      <c r="AC98" s="43">
        <f t="shared" si="168"/>
        <v>0.15681233933161964</v>
      </c>
      <c r="AD98" s="43">
        <f t="shared" si="168"/>
        <v>0.17169069462647446</v>
      </c>
      <c r="AE98" s="43">
        <f t="shared" si="168"/>
        <v>0.17088607594936711</v>
      </c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84"/>
      <c r="BL98" s="84"/>
      <c r="BM98" s="84"/>
      <c r="BN98" s="84"/>
      <c r="BO98" s="84"/>
      <c r="BP98" s="84"/>
      <c r="BQ98" s="84"/>
      <c r="BR98" s="84"/>
      <c r="BS98" s="66">
        <f t="shared" si="166"/>
        <v>-9.9447513812154664E-2</v>
      </c>
      <c r="BT98" s="66">
        <f t="shared" ref="BT98:CD98" si="169">+BT4/BP4-1</f>
        <v>-8.0808080808080773E-2</v>
      </c>
      <c r="BU98" s="66">
        <f t="shared" si="169"/>
        <v>-5.3272450532724558E-2</v>
      </c>
      <c r="BV98" s="66">
        <f t="shared" si="169"/>
        <v>-6.8143100511073307E-3</v>
      </c>
      <c r="BW98" s="66">
        <f t="shared" si="169"/>
        <v>2.914110429447847E-2</v>
      </c>
      <c r="BX98" s="66">
        <f t="shared" si="169"/>
        <v>-5.8084772370486704E-2</v>
      </c>
      <c r="BY98" s="66">
        <f t="shared" si="169"/>
        <v>-0.1012861736334405</v>
      </c>
      <c r="BZ98" s="66">
        <f t="shared" si="169"/>
        <v>-0.26415094339622647</v>
      </c>
      <c r="CA98" s="66">
        <f t="shared" si="169"/>
        <v>-0.33383010432190763</v>
      </c>
      <c r="CB98" s="66">
        <f t="shared" si="169"/>
        <v>-0.41166666666666663</v>
      </c>
      <c r="CC98" s="66">
        <f t="shared" si="169"/>
        <v>-0.38640429338103754</v>
      </c>
      <c r="CD98" s="66">
        <f t="shared" si="169"/>
        <v>-0.35431235431235431</v>
      </c>
      <c r="CE98" s="66">
        <f>+CE4/CA4-1</f>
        <v>-0.19463087248322153</v>
      </c>
      <c r="CF98" s="66">
        <f>+CF4/CB4-1</f>
        <v>0.12747875354107641</v>
      </c>
      <c r="CG98" s="66"/>
      <c r="CH98" s="66"/>
      <c r="CI98" s="66"/>
      <c r="CJ98" s="66"/>
      <c r="CK98" s="66"/>
      <c r="CL98" s="66"/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F98" s="74"/>
    </row>
    <row r="99" spans="2:111" s="19" customFormat="1" x14ac:dyDescent="0.15">
      <c r="B99" s="19" t="s">
        <v>298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>
        <f t="shared" ref="V99:AE99" si="170">V6/R6-1</f>
        <v>0.11127596439169141</v>
      </c>
      <c r="W99" s="43">
        <f t="shared" si="170"/>
        <v>6.2761506276150625E-2</v>
      </c>
      <c r="X99" s="43">
        <f t="shared" si="170"/>
        <v>0.22448979591836737</v>
      </c>
      <c r="Y99" s="43">
        <f t="shared" si="170"/>
        <v>0.17637795275590551</v>
      </c>
      <c r="Z99" s="43">
        <f t="shared" si="170"/>
        <v>6.6755674232310547E-3</v>
      </c>
      <c r="AA99" s="43">
        <f t="shared" si="170"/>
        <v>9.1863517060366551E-3</v>
      </c>
      <c r="AB99" s="43">
        <f t="shared" si="170"/>
        <v>0.11025641025641031</v>
      </c>
      <c r="AC99" s="43">
        <f t="shared" si="170"/>
        <v>-0.21151271753681389</v>
      </c>
      <c r="AD99" s="43">
        <f t="shared" si="170"/>
        <v>-0.22811671087533159</v>
      </c>
      <c r="AE99" s="43">
        <f t="shared" si="170"/>
        <v>-0.24187256176853056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84"/>
      <c r="BL99" s="84"/>
      <c r="BM99" s="84"/>
      <c r="BN99" s="84"/>
      <c r="BO99" s="84"/>
      <c r="BP99" s="84"/>
      <c r="BQ99" s="84"/>
      <c r="BR99" s="84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</row>
    <row r="100" spans="2:111" s="19" customFormat="1" x14ac:dyDescent="0.15">
      <c r="B100" s="19" t="s">
        <v>176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43"/>
      <c r="P100" s="43"/>
      <c r="Q100" s="43">
        <f t="shared" ref="Q100:V100" si="171">Q89/M89-1</f>
        <v>8.3583671031624229E-2</v>
      </c>
      <c r="R100" s="43">
        <f t="shared" si="171"/>
        <v>-0.10399806362410113</v>
      </c>
      <c r="S100" s="43">
        <f t="shared" si="171"/>
        <v>-0.20947081134089007</v>
      </c>
      <c r="T100" s="43">
        <f t="shared" si="171"/>
        <v>0.12676180669236614</v>
      </c>
      <c r="U100" s="43">
        <f t="shared" si="171"/>
        <v>8.6798084095178307E-2</v>
      </c>
      <c r="V100" s="43">
        <f t="shared" si="171"/>
        <v>8.0266375123093425E-2</v>
      </c>
      <c r="W100" s="43">
        <f t="shared" ref="W100:X100" si="172">W89/S89-1</f>
        <v>0.11315576897500335</v>
      </c>
      <c r="X100" s="43">
        <f t="shared" si="172"/>
        <v>0.1266192863674398</v>
      </c>
      <c r="Y100" s="43">
        <f>Y89/U89-1</f>
        <v>0.15475904793512196</v>
      </c>
      <c r="Z100" s="43">
        <f>Z89/V89-1</f>
        <v>0.17298040033986739</v>
      </c>
      <c r="AA100" s="43">
        <f>AA89/W89-1</f>
        <v>0.39342760420465406</v>
      </c>
      <c r="AB100" s="43">
        <f>AB89/X89-1</f>
        <v>0.16281286619515467</v>
      </c>
      <c r="AC100" s="43">
        <f>AC89/Y89-1</f>
        <v>0.25086220110361768</v>
      </c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84"/>
      <c r="BL100" s="84"/>
      <c r="BM100" s="84"/>
      <c r="BN100" s="84"/>
      <c r="BO100" s="84"/>
      <c r="BP100" s="84"/>
      <c r="BQ100" s="84"/>
      <c r="BR100" s="84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>
        <f t="shared" ref="CT100:CY100" si="173">CT89/CS89-1</f>
        <v>6.165058262481482E-3</v>
      </c>
      <c r="CU100" s="43">
        <f t="shared" si="173"/>
        <v>0.13441259351318302</v>
      </c>
      <c r="CV100" s="43">
        <f t="shared" si="173"/>
        <v>8.0321595516685163E-2</v>
      </c>
      <c r="CW100" s="43">
        <f t="shared" si="173"/>
        <v>0.56746687640791649</v>
      </c>
      <c r="CX100" s="43">
        <f t="shared" si="173"/>
        <v>6.211068629493921E-2</v>
      </c>
      <c r="CY100" s="43">
        <f t="shared" si="173"/>
        <v>-2.8856862095187452E-2</v>
      </c>
      <c r="CZ100" s="43">
        <f>CZ89/CY89-1</f>
        <v>-2.2100053227118721E-3</v>
      </c>
      <c r="DA100" s="43">
        <f>DA89/CZ89-1</f>
        <v>2.5201234625734426E-2</v>
      </c>
      <c r="DB100" s="43">
        <f>DB89/DA89-1</f>
        <v>1.8110045384902573E-3</v>
      </c>
      <c r="DC100" s="43">
        <f t="shared" ref="DC100" si="174">DC89/DB89-1</f>
        <v>-3.8622649812662835E-2</v>
      </c>
    </row>
    <row r="101" spans="2:111" s="19" customFormat="1" x14ac:dyDescent="0.15"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84"/>
      <c r="BL101" s="84"/>
      <c r="BM101" s="84"/>
      <c r="BN101" s="84"/>
      <c r="BO101" s="84"/>
      <c r="BP101" s="84"/>
      <c r="BQ101" s="84"/>
      <c r="BR101" s="84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</row>
    <row r="102" spans="2:111" x14ac:dyDescent="0.15">
      <c r="B102" s="1" t="s">
        <v>174</v>
      </c>
      <c r="Q102" s="23">
        <v>-4500</v>
      </c>
      <c r="R102" s="23">
        <f>Q102+R88</f>
        <v>-2906</v>
      </c>
      <c r="S102" s="23">
        <v>-4000</v>
      </c>
      <c r="T102" s="23">
        <v>-5593</v>
      </c>
      <c r="U102" s="23">
        <v>-3700</v>
      </c>
      <c r="V102" s="23">
        <f>U102+V88</f>
        <v>-2017</v>
      </c>
      <c r="W102" s="23">
        <v>-1236</v>
      </c>
      <c r="X102" s="23"/>
      <c r="Y102" s="23">
        <v>-5050</v>
      </c>
      <c r="Z102" s="23">
        <v>-4135</v>
      </c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78"/>
      <c r="BL102" s="78"/>
      <c r="BM102" s="78"/>
      <c r="BN102" s="78"/>
      <c r="BO102" s="78"/>
      <c r="BP102" s="78"/>
      <c r="BQ102" s="78"/>
      <c r="BR102" s="78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23"/>
      <c r="CS102" s="23"/>
      <c r="CT102" s="23"/>
      <c r="CU102" s="23"/>
      <c r="DG102" s="10" t="s">
        <v>309</v>
      </c>
    </row>
    <row r="103" spans="2:111" x14ac:dyDescent="0.15">
      <c r="B103" s="1" t="s">
        <v>175</v>
      </c>
      <c r="CT103" s="23">
        <f t="shared" ref="CT103:CY103" si="175">CT88</f>
        <v>7523</v>
      </c>
      <c r="CU103" s="23">
        <f>CU88</f>
        <v>8513</v>
      </c>
      <c r="CV103" s="23">
        <f t="shared" si="175"/>
        <v>9193.5499999999993</v>
      </c>
      <c r="CW103" s="23">
        <f t="shared" si="175"/>
        <v>14410.585101600002</v>
      </c>
      <c r="CX103" s="23">
        <f t="shared" si="175"/>
        <v>15305.636432172003</v>
      </c>
      <c r="CY103" s="23">
        <f t="shared" si="175"/>
        <v>14863.963792369741</v>
      </c>
      <c r="CZ103" s="23">
        <f>CZ88</f>
        <v>14831.114353272005</v>
      </c>
      <c r="DA103" s="23">
        <f>DA88</f>
        <v>15204.876745849913</v>
      </c>
      <c r="DB103" s="23">
        <f>DB88</f>
        <v>15232.412846643831</v>
      </c>
      <c r="DC103" s="23"/>
      <c r="DG103" s="19" t="s">
        <v>310</v>
      </c>
    </row>
    <row r="105" spans="2:111" s="27" customFormat="1" x14ac:dyDescent="0.15">
      <c r="B105" s="48" t="s">
        <v>340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>
        <f>3221+181+1256</f>
        <v>4658</v>
      </c>
      <c r="AC105" s="23"/>
      <c r="AD105" s="23"/>
      <c r="AE105" s="23">
        <f>19199-19183</f>
        <v>16</v>
      </c>
      <c r="AF105" s="23">
        <f>+AE105-19641</f>
        <v>-19625</v>
      </c>
      <c r="AG105" s="23">
        <f>+AF105+AG88</f>
        <v>-15241.838400000001</v>
      </c>
      <c r="AH105" s="23">
        <f t="shared" ref="AH105" si="176">+AG105+AH88</f>
        <v>-11054.355520000001</v>
      </c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78"/>
      <c r="BL105" s="78"/>
      <c r="BM105" s="78"/>
      <c r="BN105" s="78"/>
      <c r="BO105" s="78"/>
      <c r="BP105" s="78"/>
      <c r="BQ105" s="78"/>
      <c r="BR105" s="78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23"/>
      <c r="CO105" s="23"/>
      <c r="CP105" s="23"/>
      <c r="CQ105" s="23"/>
      <c r="CR105" s="23"/>
      <c r="CS105" s="23"/>
      <c r="CT105" s="23"/>
      <c r="CU105" s="23"/>
      <c r="CV105" s="23">
        <f>+AH105</f>
        <v>-11054.355520000001</v>
      </c>
      <c r="CW105" s="23">
        <f t="shared" ref="CW105:DC105" si="177">CW103+CV105</f>
        <v>3356.2295816000005</v>
      </c>
      <c r="CX105" s="23">
        <f t="shared" si="177"/>
        <v>18661.866013772003</v>
      </c>
      <c r="CY105" s="23">
        <f t="shared" si="177"/>
        <v>33525.829806141744</v>
      </c>
      <c r="CZ105" s="23">
        <f t="shared" si="177"/>
        <v>48356.944159413746</v>
      </c>
      <c r="DA105" s="23">
        <f t="shared" si="177"/>
        <v>63561.820905263659</v>
      </c>
      <c r="DB105" s="23">
        <f t="shared" si="177"/>
        <v>78794.233751907494</v>
      </c>
      <c r="DC105" s="23">
        <f t="shared" si="177"/>
        <v>78794.233751907494</v>
      </c>
    </row>
    <row r="106" spans="2:111" s="27" customFormat="1" x14ac:dyDescent="0.15">
      <c r="B106" s="48" t="s">
        <v>312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78"/>
      <c r="BL106" s="78"/>
      <c r="BM106" s="78"/>
      <c r="BN106" s="78"/>
      <c r="BO106" s="78"/>
      <c r="BP106" s="78"/>
      <c r="BQ106" s="78"/>
      <c r="BR106" s="78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</row>
    <row r="107" spans="2:111" s="27" customFormat="1" x14ac:dyDescent="0.15">
      <c r="B107" s="48" t="s">
        <v>313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78"/>
      <c r="BL107" s="78"/>
      <c r="BM107" s="78"/>
      <c r="BN107" s="78"/>
      <c r="BO107" s="78"/>
      <c r="BP107" s="78"/>
      <c r="BQ107" s="78"/>
      <c r="BR107" s="78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</row>
    <row r="108" spans="2:111" s="27" customFormat="1" x14ac:dyDescent="0.15">
      <c r="B108" s="48" t="s">
        <v>314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78"/>
      <c r="BL108" s="78"/>
      <c r="BM108" s="78"/>
      <c r="BN108" s="78"/>
      <c r="BO108" s="78"/>
      <c r="BP108" s="78"/>
      <c r="BQ108" s="78"/>
      <c r="BR108" s="78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11" s="27" customFormat="1" x14ac:dyDescent="0.15">
      <c r="B109" s="48" t="s">
        <v>315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78"/>
      <c r="BL109" s="78"/>
      <c r="BM109" s="78"/>
      <c r="BN109" s="78"/>
      <c r="BO109" s="78"/>
      <c r="BP109" s="78"/>
      <c r="BQ109" s="78"/>
      <c r="BR109" s="78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</row>
    <row r="110" spans="2:111" s="27" customFormat="1" x14ac:dyDescent="0.15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78"/>
      <c r="BL110" s="78"/>
      <c r="BM110" s="78"/>
      <c r="BN110" s="78"/>
      <c r="BO110" s="78"/>
      <c r="BP110" s="78"/>
      <c r="BQ110" s="78"/>
      <c r="BR110" s="78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11" s="27" customFormat="1" x14ac:dyDescent="0.15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78"/>
      <c r="BL111" s="78"/>
      <c r="BM111" s="78"/>
      <c r="BN111" s="78"/>
      <c r="BO111" s="78"/>
      <c r="BP111" s="78"/>
      <c r="BQ111" s="78"/>
      <c r="BR111" s="78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11" s="27" customFormat="1" x14ac:dyDescent="0.15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78"/>
      <c r="BL112" s="78"/>
      <c r="BM112" s="78"/>
      <c r="BN112" s="78"/>
      <c r="BO112" s="78"/>
      <c r="BP112" s="78"/>
      <c r="BQ112" s="78"/>
      <c r="BR112" s="78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15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78"/>
      <c r="BL113" s="78"/>
      <c r="BM113" s="78"/>
      <c r="BN113" s="78"/>
      <c r="BO113" s="78"/>
      <c r="BP113" s="78"/>
      <c r="BQ113" s="78"/>
      <c r="BR113" s="78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15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78"/>
      <c r="BL114" s="78"/>
      <c r="BM114" s="78"/>
      <c r="BN114" s="78"/>
      <c r="BO114" s="78"/>
      <c r="BP114" s="78"/>
      <c r="BQ114" s="78"/>
      <c r="BR114" s="78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15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78"/>
      <c r="BL115" s="78"/>
      <c r="BM115" s="78"/>
      <c r="BN115" s="78"/>
      <c r="BO115" s="78"/>
      <c r="BP115" s="78"/>
      <c r="BQ115" s="78"/>
      <c r="BR115" s="78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15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78"/>
      <c r="BL116" s="78"/>
      <c r="BM116" s="78"/>
      <c r="BN116" s="78"/>
      <c r="BO116" s="78"/>
      <c r="BP116" s="78"/>
      <c r="BQ116" s="78"/>
      <c r="BR116" s="78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15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78"/>
      <c r="BL117" s="78"/>
      <c r="BM117" s="78"/>
      <c r="BN117" s="78"/>
      <c r="BO117" s="78"/>
      <c r="BP117" s="78"/>
      <c r="BQ117" s="78"/>
      <c r="BR117" s="78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15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78"/>
      <c r="BL118" s="78"/>
      <c r="BM118" s="78"/>
      <c r="BN118" s="78"/>
      <c r="BO118" s="78"/>
      <c r="BP118" s="78"/>
      <c r="BQ118" s="78"/>
      <c r="BR118" s="78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15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78"/>
      <c r="BL119" s="78"/>
      <c r="BM119" s="78"/>
      <c r="BN119" s="78"/>
      <c r="BO119" s="78"/>
      <c r="BP119" s="78"/>
      <c r="BQ119" s="78"/>
      <c r="BR119" s="78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15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78"/>
      <c r="BL120" s="78"/>
      <c r="BM120" s="78"/>
      <c r="BN120" s="78"/>
      <c r="BO120" s="78"/>
      <c r="BP120" s="78"/>
      <c r="BQ120" s="78"/>
      <c r="BR120" s="78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15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78"/>
      <c r="BL121" s="78"/>
      <c r="BM121" s="78"/>
      <c r="BN121" s="78"/>
      <c r="BO121" s="78"/>
      <c r="BP121" s="78"/>
      <c r="BQ121" s="78"/>
      <c r="BR121" s="78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15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78"/>
      <c r="BL122" s="78"/>
      <c r="BM122" s="78"/>
      <c r="BN122" s="78"/>
      <c r="BO122" s="78"/>
      <c r="BP122" s="78"/>
      <c r="BQ122" s="78"/>
      <c r="BR122" s="78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15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78"/>
      <c r="BL123" s="78"/>
      <c r="BM123" s="78"/>
      <c r="BN123" s="78"/>
      <c r="BO123" s="78"/>
      <c r="BP123" s="78"/>
      <c r="BQ123" s="78"/>
      <c r="BR123" s="78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" t="s">
        <v>49</v>
      </c>
    </row>
    <row r="3" spans="1:3" x14ac:dyDescent="0.15">
      <c r="B3" s="1" t="s">
        <v>67</v>
      </c>
      <c r="C3" s="1" t="s">
        <v>68</v>
      </c>
    </row>
    <row r="4" spans="1:3" x14ac:dyDescent="0.15">
      <c r="B4" s="1" t="s">
        <v>16</v>
      </c>
      <c r="C4" s="1" t="s">
        <v>166</v>
      </c>
    </row>
    <row r="5" spans="1:3" x14ac:dyDescent="0.15">
      <c r="B5" s="1" t="s">
        <v>13</v>
      </c>
      <c r="C5" s="1" t="s">
        <v>69</v>
      </c>
    </row>
    <row r="6" spans="1:3" x14ac:dyDescent="0.15">
      <c r="B6" s="1" t="s">
        <v>15</v>
      </c>
      <c r="C6" s="1" t="s">
        <v>187</v>
      </c>
    </row>
    <row r="7" spans="1:3" x14ac:dyDescent="0.15">
      <c r="C7" s="19" t="s">
        <v>291</v>
      </c>
    </row>
    <row r="8" spans="1:3" x14ac:dyDescent="0.15">
      <c r="B8" s="1" t="s">
        <v>70</v>
      </c>
      <c r="C8" s="1" t="s">
        <v>165</v>
      </c>
    </row>
    <row r="9" spans="1:3" x14ac:dyDescent="0.15">
      <c r="B9" s="1" t="s">
        <v>74</v>
      </c>
    </row>
    <row r="12" spans="1:3" x14ac:dyDescent="0.15">
      <c r="C12" s="10" t="s">
        <v>148</v>
      </c>
    </row>
    <row r="13" spans="1:3" x14ac:dyDescent="0.15">
      <c r="C13" s="1" t="s">
        <v>146</v>
      </c>
    </row>
    <row r="17" spans="3:3" x14ac:dyDescent="0.15">
      <c r="C17" s="10" t="s">
        <v>147</v>
      </c>
    </row>
    <row r="18" spans="3:3" x14ac:dyDescent="0.15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8" t="s">
        <v>65</v>
      </c>
    </row>
    <row r="2" spans="1:3" x14ac:dyDescent="0.15">
      <c r="B2" s="29" t="s">
        <v>66</v>
      </c>
      <c r="C2" s="29" t="s">
        <v>62</v>
      </c>
    </row>
    <row r="3" spans="1:3" x14ac:dyDescent="0.15">
      <c r="B3" s="29" t="s">
        <v>67</v>
      </c>
      <c r="C3" s="29" t="s">
        <v>218</v>
      </c>
    </row>
    <row r="4" spans="1:3" x14ac:dyDescent="0.15">
      <c r="B4" s="29" t="s">
        <v>74</v>
      </c>
    </row>
    <row r="5" spans="1:3" x14ac:dyDescent="0.15">
      <c r="C5" s="30" t="s">
        <v>219</v>
      </c>
    </row>
    <row r="6" spans="1:3" x14ac:dyDescent="0.15">
      <c r="C6" s="29" t="s">
        <v>220</v>
      </c>
    </row>
    <row r="7" spans="1:3" x14ac:dyDescent="0.15">
      <c r="C7" s="29" t="s">
        <v>221</v>
      </c>
    </row>
    <row r="9" spans="1:3" x14ac:dyDescent="0.15">
      <c r="C9" s="30" t="s">
        <v>224</v>
      </c>
    </row>
    <row r="10" spans="1:3" x14ac:dyDescent="0.15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9" t="s">
        <v>353</v>
      </c>
    </row>
    <row r="3" spans="1:3" x14ac:dyDescent="0.15">
      <c r="B3" s="1" t="s">
        <v>67</v>
      </c>
      <c r="C3" s="1" t="s">
        <v>200</v>
      </c>
    </row>
    <row r="4" spans="1:3" x14ac:dyDescent="0.15">
      <c r="B4" s="1" t="s">
        <v>70</v>
      </c>
      <c r="C4" s="1" t="s">
        <v>201</v>
      </c>
    </row>
    <row r="5" spans="1:3" x14ac:dyDescent="0.15">
      <c r="B5" s="19" t="s">
        <v>15</v>
      </c>
      <c r="C5" s="19" t="s">
        <v>571</v>
      </c>
    </row>
    <row r="6" spans="1:3" x14ac:dyDescent="0.15">
      <c r="B6" s="1" t="s">
        <v>74</v>
      </c>
    </row>
    <row r="7" spans="1:3" x14ac:dyDescent="0.15">
      <c r="C7" s="10" t="s">
        <v>202</v>
      </c>
    </row>
    <row r="8" spans="1:3" x14ac:dyDescent="0.15">
      <c r="C8" s="1" t="s">
        <v>203</v>
      </c>
    </row>
    <row r="9" spans="1:3" x14ac:dyDescent="0.15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" t="s">
        <v>39</v>
      </c>
    </row>
    <row r="3" spans="1:3" x14ac:dyDescent="0.15">
      <c r="B3" s="1" t="s">
        <v>67</v>
      </c>
      <c r="C3" s="1" t="s">
        <v>42</v>
      </c>
    </row>
    <row r="4" spans="1:3" x14ac:dyDescent="0.15">
      <c r="B4" s="1" t="s">
        <v>13</v>
      </c>
      <c r="C4" s="1" t="s">
        <v>195</v>
      </c>
    </row>
    <row r="5" spans="1:3" x14ac:dyDescent="0.15">
      <c r="B5" s="1" t="s">
        <v>14</v>
      </c>
      <c r="C5" s="19" t="s">
        <v>280</v>
      </c>
    </row>
    <row r="6" spans="1:3" x14ac:dyDescent="0.15">
      <c r="B6" s="1" t="s">
        <v>15</v>
      </c>
      <c r="C6" s="1" t="s">
        <v>117</v>
      </c>
    </row>
    <row r="7" spans="1:3" x14ac:dyDescent="0.15">
      <c r="C7" s="1" t="s">
        <v>194</v>
      </c>
    </row>
    <row r="8" spans="1:3" x14ac:dyDescent="0.15">
      <c r="C8" s="1" t="s">
        <v>197</v>
      </c>
    </row>
    <row r="9" spans="1:3" x14ac:dyDescent="0.15">
      <c r="C9" s="1" t="s">
        <v>198</v>
      </c>
    </row>
    <row r="10" spans="1:3" x14ac:dyDescent="0.15">
      <c r="B10" s="1" t="s">
        <v>74</v>
      </c>
    </row>
    <row r="11" spans="1:3" x14ac:dyDescent="0.15">
      <c r="C11" s="1" t="s">
        <v>43</v>
      </c>
    </row>
    <row r="14" spans="1:3" x14ac:dyDescent="0.15">
      <c r="C14" s="10" t="s">
        <v>115</v>
      </c>
    </row>
    <row r="15" spans="1:3" x14ac:dyDescent="0.15">
      <c r="C15" s="1" t="s">
        <v>116</v>
      </c>
    </row>
    <row r="18" spans="3:3" x14ac:dyDescent="0.15">
      <c r="C18" s="10" t="s">
        <v>111</v>
      </c>
    </row>
    <row r="22" spans="3:3" x14ac:dyDescent="0.15">
      <c r="C22" s="10" t="s">
        <v>114</v>
      </c>
    </row>
    <row r="25" spans="3:3" x14ac:dyDescent="0.15">
      <c r="C25" s="10" t="s">
        <v>112</v>
      </c>
    </row>
    <row r="26" spans="3:3" x14ac:dyDescent="0.15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1.3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66</v>
      </c>
      <c r="C2" s="1" t="s">
        <v>189</v>
      </c>
    </row>
    <row r="3" spans="1:3" x14ac:dyDescent="0.15">
      <c r="B3" s="1" t="s">
        <v>13</v>
      </c>
      <c r="C3" s="1" t="s">
        <v>152</v>
      </c>
    </row>
    <row r="4" spans="1:3" x14ac:dyDescent="0.15">
      <c r="B4" s="1" t="s">
        <v>57</v>
      </c>
      <c r="C4" s="1" t="s">
        <v>252</v>
      </c>
    </row>
    <row r="5" spans="1:3" x14ac:dyDescent="0.15">
      <c r="B5" s="1" t="s">
        <v>190</v>
      </c>
    </row>
    <row r="6" spans="1:3" x14ac:dyDescent="0.15">
      <c r="C6" s="10" t="s">
        <v>191</v>
      </c>
    </row>
    <row r="7" spans="1:3" x14ac:dyDescent="0.15">
      <c r="C7" s="1" t="s">
        <v>192</v>
      </c>
    </row>
    <row r="8" spans="1:3" x14ac:dyDescent="0.15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9" t="s">
        <v>65</v>
      </c>
    </row>
    <row r="2" spans="1:3" x14ac:dyDescent="0.15">
      <c r="B2" s="1" t="s">
        <v>67</v>
      </c>
      <c r="C2" s="1" t="s">
        <v>87</v>
      </c>
    </row>
    <row r="3" spans="1:3" x14ac:dyDescent="0.15">
      <c r="B3" s="1" t="s">
        <v>70</v>
      </c>
      <c r="C3" s="1" t="s">
        <v>161</v>
      </c>
    </row>
    <row r="4" spans="1:3" x14ac:dyDescent="0.15">
      <c r="B4" s="1" t="s">
        <v>13</v>
      </c>
      <c r="C4" s="1" t="s">
        <v>93</v>
      </c>
    </row>
    <row r="5" spans="1:3" x14ac:dyDescent="0.15">
      <c r="B5" s="1" t="s">
        <v>159</v>
      </c>
      <c r="C5" s="1" t="s">
        <v>160</v>
      </c>
    </row>
    <row r="6" spans="1:3" x14ac:dyDescent="0.15">
      <c r="B6" s="1" t="s">
        <v>74</v>
      </c>
    </row>
    <row r="7" spans="1:3" x14ac:dyDescent="0.15">
      <c r="C7" s="10" t="s">
        <v>162</v>
      </c>
    </row>
    <row r="8" spans="1:3" x14ac:dyDescent="0.15">
      <c r="C8" s="1" t="s">
        <v>90</v>
      </c>
    </row>
    <row r="9" spans="1:3" x14ac:dyDescent="0.15">
      <c r="C9" s="1" t="s">
        <v>163</v>
      </c>
    </row>
    <row r="11" spans="1:3" x14ac:dyDescent="0.15">
      <c r="C11" s="10" t="s">
        <v>88</v>
      </c>
    </row>
    <row r="12" spans="1:3" x14ac:dyDescent="0.15">
      <c r="C12" s="1" t="s">
        <v>91</v>
      </c>
    </row>
    <row r="14" spans="1:3" x14ac:dyDescent="0.15">
      <c r="C14" s="10" t="s">
        <v>89</v>
      </c>
    </row>
    <row r="15" spans="1:3" x14ac:dyDescent="0.15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</vt:lpstr>
      <vt:lpstr>Main</vt:lpstr>
      <vt:lpstr>Model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2024-08-27T04:07:28Z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