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190C01B-2974-41F0-B072-05A1A64BB88A}" xr6:coauthVersionLast="47" xr6:coauthVersionMax="47" xr10:uidLastSave="{00000000-0000-0000-0000-000000000000}"/>
  <bookViews>
    <workbookView xWindow="-50220" yWindow="1860" windowWidth="22875" windowHeight="18315" xr2:uid="{C5D46298-A5E7-4521-8F34-4B6B3EF66A99}"/>
  </bookViews>
  <sheets>
    <sheet name="Main" sheetId="1" r:id="rId1"/>
    <sheet name="Model" sheetId="3" r:id="rId2"/>
    <sheet name="Empaveli" sheetId="2" r:id="rId3"/>
    <sheet name="Syfov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Y8" i="3"/>
  <c r="Y7" i="3"/>
  <c r="R16" i="3"/>
  <c r="Q16" i="3"/>
  <c r="P16" i="3"/>
  <c r="R14" i="3"/>
  <c r="Q14" i="3"/>
  <c r="P14" i="3"/>
  <c r="Q10" i="3"/>
  <c r="R10" i="3" s="1"/>
  <c r="R11" i="3" s="1"/>
  <c r="R12" i="3" s="1"/>
  <c r="P10" i="3"/>
  <c r="Q11" i="3"/>
  <c r="Q12" i="3" s="1"/>
  <c r="P11" i="3"/>
  <c r="P12" i="3" s="1"/>
  <c r="R7" i="3"/>
  <c r="Q7" i="3"/>
  <c r="P7" i="3"/>
  <c r="R8" i="3"/>
  <c r="Q8" i="3"/>
  <c r="Q18" i="3" s="1"/>
  <c r="P8" i="3"/>
  <c r="P18" i="3" s="1"/>
  <c r="R18" i="3"/>
  <c r="O18" i="3"/>
  <c r="Y5" i="3"/>
  <c r="X2" i="3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P4" i="3"/>
  <c r="P3" i="3"/>
  <c r="O6" i="3"/>
  <c r="O34" i="3"/>
  <c r="O33" i="3"/>
  <c r="O38" i="3" s="1"/>
  <c r="O21" i="3"/>
  <c r="O20" i="3" s="1"/>
  <c r="O13" i="3"/>
  <c r="O11" i="3"/>
  <c r="O8" i="3"/>
  <c r="O12" i="3" s="1"/>
  <c r="O14" i="3" s="1"/>
  <c r="O16" i="3" s="1"/>
  <c r="L4" i="1"/>
  <c r="Y4" i="3" l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P6" i="3"/>
  <c r="Q4" i="3"/>
  <c r="R4" i="3" s="1"/>
  <c r="Q3" i="3"/>
  <c r="R3" i="3" s="1"/>
  <c r="R6" i="3" s="1"/>
  <c r="O29" i="3"/>
  <c r="Q6" i="3"/>
  <c r="L7" i="1"/>
  <c r="Y3" i="3" l="1"/>
  <c r="Y6" i="3" l="1"/>
  <c r="Z3" i="3"/>
  <c r="Z6" i="3" l="1"/>
  <c r="AA3" i="3"/>
  <c r="AA6" i="3" l="1"/>
  <c r="AB3" i="3"/>
  <c r="AB6" i="3" l="1"/>
  <c r="AC3" i="3"/>
  <c r="AC6" i="3" l="1"/>
  <c r="AD3" i="3"/>
  <c r="AD6" i="3" l="1"/>
  <c r="AE3" i="3"/>
  <c r="AE6" i="3" l="1"/>
  <c r="AF3" i="3"/>
  <c r="AG3" i="3" l="1"/>
  <c r="AF6" i="3"/>
  <c r="AH3" i="3" l="1"/>
  <c r="AG6" i="3"/>
  <c r="AH6" i="3" l="1"/>
  <c r="AI3" i="3"/>
  <c r="AJ3" i="3" l="1"/>
  <c r="AI6" i="3"/>
  <c r="AK3" i="3" l="1"/>
  <c r="AK6" i="3" s="1"/>
  <c r="AJ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O3" authorId="0" shapeId="0" xr:uid="{4A806E08-7D69-4C6C-B6F3-F795205259D6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6000 vials shipped in March</t>
        </r>
      </text>
    </comment>
  </commentList>
</comments>
</file>

<file path=xl/sharedStrings.xml><?xml version="1.0" encoding="utf-8"?>
<sst xmlns="http://schemas.openxmlformats.org/spreadsheetml/2006/main" count="137" uniqueCount="115">
  <si>
    <t>Price</t>
  </si>
  <si>
    <t>Brand</t>
  </si>
  <si>
    <t>Generic</t>
  </si>
  <si>
    <t>pegcetacoplan</t>
  </si>
  <si>
    <t>Indication</t>
  </si>
  <si>
    <t>Geographic Atrophy</t>
  </si>
  <si>
    <t>MOA</t>
  </si>
  <si>
    <t>Shares</t>
  </si>
  <si>
    <t>Q122</t>
  </si>
  <si>
    <t>MC</t>
  </si>
  <si>
    <t>Cash</t>
  </si>
  <si>
    <t>Debt</t>
  </si>
  <si>
    <t>EV</t>
  </si>
  <si>
    <t>C3</t>
  </si>
  <si>
    <t>Main</t>
  </si>
  <si>
    <t>C3 inhibitor</t>
  </si>
  <si>
    <t>Competition</t>
  </si>
  <si>
    <t>Clinical Trials</t>
  </si>
  <si>
    <t>CDO: Jeff Eisele</t>
  </si>
  <si>
    <t>Phase III "DERBY" n=621 GA-AMD</t>
  </si>
  <si>
    <t>Phase III "OAKS" n=637 GA-AMD</t>
  </si>
  <si>
    <t>Phase II "FILLY" n=246 GA-AMD</t>
  </si>
  <si>
    <t>Administration</t>
  </si>
  <si>
    <t>Admin</t>
  </si>
  <si>
    <t>intravitreal</t>
  </si>
  <si>
    <t>CMO: Federico Grossi</t>
  </si>
  <si>
    <t>Empaveli</t>
  </si>
  <si>
    <t>IP</t>
  </si>
  <si>
    <t>Approval</t>
  </si>
  <si>
    <t>Economics</t>
  </si>
  <si>
    <t>SOBI</t>
  </si>
  <si>
    <t>PNH, Geographic Atrophy</t>
  </si>
  <si>
    <t>Sobi in Europe</t>
  </si>
  <si>
    <t>Phase III "PRINCE" n=53 treatment-naïve PNH - NCT04085601</t>
  </si>
  <si>
    <t>Empaveli, Aspaveli; fka APL-2</t>
  </si>
  <si>
    <t>Phase III "PEGASUS" n=80 PNH - NCT03050549</t>
  </si>
  <si>
    <t>Phase III "VALIANT" IC-MPGN/C3G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</si>
  <si>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</si>
  <si>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</si>
  <si>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</si>
  <si>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</si>
  <si>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</si>
  <si>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</si>
  <si>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</si>
  <si>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</si>
  <si>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</si>
  <si>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</si>
  <si>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</si>
  <si>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APL-2006</t>
  </si>
  <si>
    <t>C3/VEGF</t>
  </si>
  <si>
    <t>APL-1030</t>
  </si>
  <si>
    <t>Reduced extrafoveal GA growth by 33% with monthly and 17% q2m.</t>
  </si>
  <si>
    <t>Reduced extrafoveal GA growth by 17% with monthly and 23% q2m.</t>
  </si>
  <si>
    <t>Q123</t>
  </si>
  <si>
    <t>Q223</t>
  </si>
  <si>
    <t>Q323</t>
  </si>
  <si>
    <t>Q423</t>
  </si>
  <si>
    <t>Revenue</t>
  </si>
  <si>
    <t>Licensing</t>
  </si>
  <si>
    <t>Operating Income</t>
  </si>
  <si>
    <t>Operating Expenses</t>
  </si>
  <si>
    <t>COGS</t>
  </si>
  <si>
    <t>Gross Profit</t>
  </si>
  <si>
    <t>R&amp;D</t>
  </si>
  <si>
    <t>G&amp;A</t>
  </si>
  <si>
    <t>Net Income</t>
  </si>
  <si>
    <t>Taxes</t>
  </si>
  <si>
    <t>Pretax Income</t>
  </si>
  <si>
    <t>Other Income</t>
  </si>
  <si>
    <t>Founded</t>
  </si>
  <si>
    <t>PNH</t>
  </si>
  <si>
    <t>Syfovre</t>
  </si>
  <si>
    <t>AD</t>
  </si>
  <si>
    <t>AR</t>
  </si>
  <si>
    <t>Inventory</t>
  </si>
  <si>
    <t>Prepaids</t>
  </si>
  <si>
    <t>OCA</t>
  </si>
  <si>
    <t>ROU</t>
  </si>
  <si>
    <t>PP&amp;E</t>
  </si>
  <si>
    <t>Other</t>
  </si>
  <si>
    <t>Assets</t>
  </si>
  <si>
    <t>L+SE</t>
  </si>
  <si>
    <t>SE</t>
  </si>
  <si>
    <t>AP</t>
  </si>
  <si>
    <t>AE</t>
  </si>
  <si>
    <t>Development</t>
  </si>
  <si>
    <t>Net Cash</t>
  </si>
  <si>
    <t>CEO: Cedric Francois</t>
  </si>
  <si>
    <t>CCO: Adam Townsend</t>
  </si>
  <si>
    <t>CNS active</t>
  </si>
  <si>
    <t>Phase</t>
  </si>
  <si>
    <t>Preclinical</t>
  </si>
  <si>
    <t>siRNA</t>
  </si>
  <si>
    <t>IND</t>
  </si>
  <si>
    <t>subcutaneous infusion</t>
  </si>
  <si>
    <t>subcutaneous twice weekly 1080mg</t>
  </si>
  <si>
    <t>Administraiton</t>
  </si>
  <si>
    <t>Geographic atrophy</t>
  </si>
  <si>
    <t>Regulatory</t>
  </si>
  <si>
    <t>EU, Canada, Australia, UK, Switzerland decisions expected 1H2024</t>
  </si>
  <si>
    <t>Phase II "MERIDIAN" ALS</t>
  </si>
  <si>
    <t>3/6/23: inducements</t>
  </si>
  <si>
    <t>4/6/23: inducements</t>
  </si>
  <si>
    <t>4/27/23: Q123 call date</t>
  </si>
  <si>
    <t>4/17/23: endorsement for GA awareness</t>
  </si>
  <si>
    <t>CMO: Caroline Baumal</t>
  </si>
  <si>
    <t>4/21/23: Validation of Canadian, Australian, UK, Switzerland GA MAAs</t>
  </si>
  <si>
    <t>intravitreal qm or q2m</t>
  </si>
  <si>
    <t>4/23/23: ARVO presentation of DERBY and OAKS</t>
  </si>
  <si>
    <t>5.6 letters better than sham in extrafoveal lesions</t>
  </si>
  <si>
    <t>4/24/23: MERIDIAN ALS study discontinued</t>
  </si>
  <si>
    <t>5/3/23: investor conference</t>
  </si>
  <si>
    <t>5/4/23: Q123 results</t>
  </si>
  <si>
    <t>Gross Margin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</si>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</sst>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304C19-BC5E-45B0-9B0A-F4944B7AD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27214</xdr:colOff>
      <xdr:row>0</xdr:row>
      <xdr:rowOff>48986</xdr:rowOff>
    </xdr:from>
    <xdr:to>
      <xdr:col>15</xdr:col>
      <xdr:colOff>27214</xdr:colOff>
      <xdr:row>48</xdr:row>
      <xdr:rowOff>70757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88DD12-4EBA-E02A-D303-580D788DAD0A}"/>
            </a:ext>
          </a:extLst>
        </xdr:cNvPr>
        <xdr:cNvCxnSpPr/>
      </xdr:nvCxnSpPr>
      <xdr:spPr>
        <a:xfrm>
          <a:off x="9492343" y="48986"/>
          <a:ext cx="0" cy="7532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0</xdr:row>
      <xdr:rowOff>0</xdr:rowOff>
    </xdr:from>
    <xdr:to>
      <xdr:col>24</xdr:col>
      <xdr:colOff>76200</xdr:colOff>
      <xdr:row>48</xdr:row>
      <xdr:rowOff>21771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AF34C7-A319-41F5-A08D-B8D796272E0B}"/>
            </a:ext>
          </a:extLst>
        </xdr:cNvPr>
        <xdr:cNvCxnSpPr/>
      </xdr:nvCxnSpPr>
      <xdr:spPr>
        <a:xfrm>
          <a:off x="15027729" y="0"/>
          <a:ext cx="0" cy="7859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1C3-C4BE-43F2-B9DB-E2CAB01F5DB4}">
  <dimension ref="B2:M18"/>
  <sheetViews>
    <sheetView tabSelected="1" zoomScale="130" zoomScaleNormal="130" workbookViewId="0">
      <selection activeCell="M9" sqref="M9"/>
    </sheetView>
  </sheetViews>
  <sheetFormatPr defaultRowHeight="12.75" x14ac:dyDescent="0.2"/>
  <cols>
    <col min="1" max="1" width="3" customWidth="1"/>
    <col min="2" max="2" width="15.5703125" bestFit="1" customWidth="1"/>
    <col min="3" max="3" width="13.42578125" customWidth="1"/>
    <col min="4" max="4" width="19.140625" customWidth="1"/>
    <col min="5" max="5" width="10.42578125" customWidth="1"/>
    <col min="6" max="6" width="15.140625" bestFit="1" customWidth="1"/>
    <col min="7" max="7" width="11.28515625" customWidth="1"/>
    <col min="8" max="8" width="10.140625" customWidth="1"/>
    <col min="9" max="9" width="10.5703125" customWidth="1"/>
  </cols>
  <sheetData>
    <row r="2" spans="2:13" x14ac:dyDescent="0.2">
      <c r="B2" s="5" t="s">
        <v>1</v>
      </c>
      <c r="C2" s="6" t="s">
        <v>2</v>
      </c>
      <c r="D2" s="6" t="s">
        <v>4</v>
      </c>
      <c r="E2" s="6" t="s">
        <v>6</v>
      </c>
      <c r="F2" s="12" t="s">
        <v>28</v>
      </c>
      <c r="G2" s="12" t="s">
        <v>29</v>
      </c>
      <c r="H2" s="12" t="s">
        <v>23</v>
      </c>
      <c r="I2" s="13" t="s">
        <v>27</v>
      </c>
      <c r="K2" t="s">
        <v>0</v>
      </c>
      <c r="L2" s="1">
        <v>39.75</v>
      </c>
    </row>
    <row r="3" spans="2:13" x14ac:dyDescent="0.2">
      <c r="B3" s="11" t="s">
        <v>26</v>
      </c>
      <c r="C3" t="s">
        <v>3</v>
      </c>
      <c r="D3" t="s">
        <v>70</v>
      </c>
      <c r="E3" t="s">
        <v>13</v>
      </c>
      <c r="F3" s="14">
        <v>44330</v>
      </c>
      <c r="G3" s="15"/>
      <c r="H3" s="15" t="s">
        <v>94</v>
      </c>
      <c r="I3" s="16"/>
      <c r="K3" t="s">
        <v>7</v>
      </c>
      <c r="L3" s="7">
        <v>121.766328</v>
      </c>
      <c r="M3" s="8" t="s">
        <v>114</v>
      </c>
    </row>
    <row r="4" spans="2:13" x14ac:dyDescent="0.2">
      <c r="B4" s="11" t="s">
        <v>71</v>
      </c>
      <c r="C4" t="s">
        <v>3</v>
      </c>
      <c r="D4" t="s">
        <v>5</v>
      </c>
      <c r="E4" t="s">
        <v>13</v>
      </c>
      <c r="F4" s="14">
        <v>44958</v>
      </c>
      <c r="G4" s="14" t="s">
        <v>30</v>
      </c>
      <c r="H4" s="15" t="s">
        <v>24</v>
      </c>
      <c r="I4" s="16"/>
      <c r="K4" t="s">
        <v>9</v>
      </c>
      <c r="L4" s="7">
        <f>L2*L3</f>
        <v>4840.2115380000005</v>
      </c>
    </row>
    <row r="5" spans="2:13" x14ac:dyDescent="0.2">
      <c r="B5" s="5"/>
      <c r="C5" s="6"/>
      <c r="D5" s="6"/>
      <c r="E5" s="6"/>
      <c r="F5" s="12" t="s">
        <v>90</v>
      </c>
      <c r="G5" s="12"/>
      <c r="H5" s="12"/>
      <c r="I5" s="13"/>
      <c r="K5" t="s">
        <v>10</v>
      </c>
      <c r="L5" s="7">
        <v>360.08699999999999</v>
      </c>
      <c r="M5" s="8" t="s">
        <v>114</v>
      </c>
    </row>
    <row r="6" spans="2:13" x14ac:dyDescent="0.2">
      <c r="B6" s="2" t="s">
        <v>48</v>
      </c>
      <c r="E6" t="s">
        <v>49</v>
      </c>
      <c r="F6" s="15"/>
      <c r="G6" s="15"/>
      <c r="H6" s="15"/>
      <c r="I6" s="16"/>
      <c r="K6" t="s">
        <v>11</v>
      </c>
      <c r="L6" s="7">
        <f>92.809+364.025</f>
        <v>456.83399999999995</v>
      </c>
      <c r="M6" s="8" t="s">
        <v>114</v>
      </c>
    </row>
    <row r="7" spans="2:13" x14ac:dyDescent="0.2">
      <c r="B7" s="2" t="s">
        <v>50</v>
      </c>
      <c r="E7" t="s">
        <v>89</v>
      </c>
      <c r="F7" s="15" t="s">
        <v>91</v>
      </c>
      <c r="G7" s="15"/>
      <c r="H7" s="15"/>
      <c r="I7" s="16"/>
      <c r="K7" t="s">
        <v>12</v>
      </c>
      <c r="L7" s="7">
        <f>+L4-L5+L6</f>
        <v>4936.9585379999999</v>
      </c>
    </row>
    <row r="8" spans="2:13" x14ac:dyDescent="0.2">
      <c r="B8" s="3"/>
      <c r="C8" s="4"/>
      <c r="D8" s="4"/>
      <c r="E8" s="4" t="s">
        <v>92</v>
      </c>
      <c r="F8" s="17" t="s">
        <v>93</v>
      </c>
      <c r="G8" s="17"/>
      <c r="H8" s="17"/>
      <c r="I8" s="18"/>
      <c r="K8" t="s">
        <v>72</v>
      </c>
      <c r="L8" s="7">
        <v>2941.5680000000002</v>
      </c>
      <c r="M8" s="8" t="s">
        <v>114</v>
      </c>
    </row>
    <row r="9" spans="2:13" x14ac:dyDescent="0.2">
      <c r="F9" s="15"/>
      <c r="G9" s="15"/>
      <c r="H9" s="15"/>
      <c r="I9" s="15"/>
      <c r="L9" s="7"/>
      <c r="M9" s="8"/>
    </row>
    <row r="10" spans="2:13" x14ac:dyDescent="0.2">
      <c r="G10" t="s">
        <v>112</v>
      </c>
      <c r="K10" t="s">
        <v>69</v>
      </c>
      <c r="L10">
        <v>2009</v>
      </c>
    </row>
    <row r="11" spans="2:13" x14ac:dyDescent="0.2">
      <c r="G11" s="22" t="s">
        <v>111</v>
      </c>
    </row>
    <row r="12" spans="2:13" x14ac:dyDescent="0.2">
      <c r="G12" s="22" t="s">
        <v>103</v>
      </c>
      <c r="K12" t="s">
        <v>87</v>
      </c>
    </row>
    <row r="13" spans="2:13" x14ac:dyDescent="0.2">
      <c r="G13" s="22" t="s">
        <v>110</v>
      </c>
      <c r="K13" t="s">
        <v>18</v>
      </c>
    </row>
    <row r="14" spans="2:13" x14ac:dyDescent="0.2">
      <c r="G14" s="22" t="s">
        <v>108</v>
      </c>
      <c r="K14" t="s">
        <v>25</v>
      </c>
    </row>
    <row r="15" spans="2:13" x14ac:dyDescent="0.2">
      <c r="G15" s="22" t="s">
        <v>106</v>
      </c>
      <c r="K15" t="s">
        <v>88</v>
      </c>
    </row>
    <row r="16" spans="2:13" x14ac:dyDescent="0.2">
      <c r="G16" s="22" t="s">
        <v>104</v>
      </c>
      <c r="K16" t="s">
        <v>105</v>
      </c>
    </row>
    <row r="17" spans="7:7" x14ac:dyDescent="0.2">
      <c r="G17" s="22" t="s">
        <v>102</v>
      </c>
    </row>
    <row r="18" spans="7:7" x14ac:dyDescent="0.2">
      <c r="G18" s="22" t="s">
        <v>101</v>
      </c>
    </row>
  </sheetData>
  <hyperlinks>
    <hyperlink ref="B4" location="Syfovre!A1" display="Syfovre" xr:uid="{F9D78289-C296-42AB-B102-2402619FF201}"/>
    <hyperlink ref="B3" location="Empaveli!A1" display="Empaveli" xr:uid="{E8576F7F-35CA-4147-9797-8325B39595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9619-7317-48A8-BEE2-EDC89FDCB0B3}">
  <dimension ref="A1:AK39"/>
  <sheetViews>
    <sheetView zoomScale="175" zoomScaleNormal="175" workbookViewId="0">
      <pane xSplit="2" ySplit="2" topLeftCell="O3" activePane="bottomRight" state="frozen"/>
      <selection pane="topRight" activeCell="C1" sqref="C1"/>
      <selection pane="bottomLeft" activeCell="A5" sqref="A5"/>
      <selection pane="bottomRight" activeCell="Z9" sqref="Z9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8"/>
  </cols>
  <sheetData>
    <row r="1" spans="1:37" x14ac:dyDescent="0.2">
      <c r="A1" s="9" t="s">
        <v>14</v>
      </c>
    </row>
    <row r="2" spans="1:37" x14ac:dyDescent="0.2">
      <c r="C2" s="8" t="s">
        <v>37</v>
      </c>
      <c r="D2" s="8" t="s">
        <v>38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8" t="s">
        <v>8</v>
      </c>
      <c r="L2" s="8" t="s">
        <v>45</v>
      </c>
      <c r="M2" s="8" t="s">
        <v>46</v>
      </c>
      <c r="N2" s="8" t="s">
        <v>47</v>
      </c>
      <c r="O2" s="8" t="s">
        <v>53</v>
      </c>
      <c r="P2" s="8" t="s">
        <v>54</v>
      </c>
      <c r="Q2" s="8" t="s">
        <v>55</v>
      </c>
      <c r="R2" s="8" t="s">
        <v>56</v>
      </c>
      <c r="W2">
        <v>2021</v>
      </c>
      <c r="X2">
        <f>W2+1</f>
        <v>2022</v>
      </c>
      <c r="Y2">
        <f t="shared" ref="Y2:AK2" si="0">X2+1</f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</row>
    <row r="3" spans="1:37" x14ac:dyDescent="0.2">
      <c r="B3" t="s">
        <v>71</v>
      </c>
      <c r="O3" s="19">
        <v>18.399999999999999</v>
      </c>
      <c r="P3" s="19">
        <f>O3*4</f>
        <v>73.599999999999994</v>
      </c>
      <c r="Q3" s="19">
        <f>P3*1.4</f>
        <v>103.03999999999999</v>
      </c>
      <c r="R3" s="19">
        <f>Q3*1.4</f>
        <v>144.25599999999997</v>
      </c>
      <c r="Y3" s="7">
        <f>SUM(O3:R3)</f>
        <v>339.29599999999994</v>
      </c>
      <c r="Z3" s="7">
        <f>Y3*2.1</f>
        <v>712.52159999999992</v>
      </c>
      <c r="AA3" s="7">
        <f>Z3*1.5</f>
        <v>1068.7823999999998</v>
      </c>
      <c r="AB3" s="7">
        <f>AA3*1.1</f>
        <v>1175.6606399999998</v>
      </c>
      <c r="AC3" s="7">
        <f>AB3*1.1</f>
        <v>1293.2267039999999</v>
      </c>
      <c r="AD3" s="7">
        <f>AC3*1.1</f>
        <v>1422.5493744</v>
      </c>
      <c r="AE3" s="7">
        <f>AD3*1.05</f>
        <v>1493.6768431200001</v>
      </c>
      <c r="AF3" s="7">
        <f t="shared" ref="AF3:AH3" si="1">AE3*1.05</f>
        <v>1568.3606852760001</v>
      </c>
      <c r="AG3" s="7">
        <f t="shared" si="1"/>
        <v>1646.7787195398002</v>
      </c>
      <c r="AH3" s="7">
        <f t="shared" si="1"/>
        <v>1729.1176555167904</v>
      </c>
      <c r="AI3" s="7">
        <f>AH3*0.99</f>
        <v>1711.8264789616223</v>
      </c>
      <c r="AJ3" s="7">
        <f t="shared" ref="AJ3:AK3" si="2">AI3*0.99</f>
        <v>1694.7082141720061</v>
      </c>
      <c r="AK3" s="7">
        <f t="shared" si="2"/>
        <v>1677.761132030286</v>
      </c>
    </row>
    <row r="4" spans="1:37" s="7" customFormat="1" x14ac:dyDescent="0.2">
      <c r="B4" s="7" t="s">
        <v>26</v>
      </c>
      <c r="C4" s="19"/>
      <c r="D4" s="19"/>
      <c r="E4" s="19"/>
      <c r="F4" s="19"/>
      <c r="G4" s="19">
        <v>0</v>
      </c>
      <c r="H4" s="19"/>
      <c r="I4" s="19"/>
      <c r="J4" s="19"/>
      <c r="K4" s="19">
        <v>12.1</v>
      </c>
      <c r="L4" s="19"/>
      <c r="M4" s="19"/>
      <c r="N4" s="19"/>
      <c r="O4" s="7">
        <v>20.399999999999999</v>
      </c>
      <c r="P4" s="7">
        <f>O4+2</f>
        <v>22.4</v>
      </c>
      <c r="Q4" s="7">
        <f>P4+2</f>
        <v>24.4</v>
      </c>
      <c r="R4" s="7">
        <f>Q4+2</f>
        <v>26.4</v>
      </c>
      <c r="Y4" s="7">
        <f>SUM(O4:R4)</f>
        <v>93.6</v>
      </c>
      <c r="Z4" s="7">
        <f>Y4*1.01</f>
        <v>94.536000000000001</v>
      </c>
      <c r="AA4" s="7">
        <f t="shared" ref="AA4:AK4" si="3">Z4*1.01</f>
        <v>95.481359999999995</v>
      </c>
      <c r="AB4" s="7">
        <f t="shared" si="3"/>
        <v>96.436173599999989</v>
      </c>
      <c r="AC4" s="7">
        <f t="shared" si="3"/>
        <v>97.40053533599999</v>
      </c>
      <c r="AD4" s="7">
        <f t="shared" si="3"/>
        <v>98.374540689359989</v>
      </c>
      <c r="AE4" s="7">
        <f t="shared" si="3"/>
        <v>99.358286096253593</v>
      </c>
      <c r="AF4" s="7">
        <f t="shared" si="3"/>
        <v>100.35186895721613</v>
      </c>
      <c r="AG4" s="7">
        <f t="shared" si="3"/>
        <v>101.35538764678829</v>
      </c>
      <c r="AH4" s="7">
        <f t="shared" si="3"/>
        <v>102.36894152325617</v>
      </c>
      <c r="AI4" s="7">
        <f t="shared" si="3"/>
        <v>103.39263093848874</v>
      </c>
      <c r="AJ4" s="7">
        <f t="shared" si="3"/>
        <v>104.42655724787362</v>
      </c>
      <c r="AK4" s="7">
        <f t="shared" si="3"/>
        <v>105.47082282035235</v>
      </c>
    </row>
    <row r="5" spans="1:37" s="7" customFormat="1" x14ac:dyDescent="0.2">
      <c r="B5" s="7" t="s">
        <v>58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7">
        <v>6.0460000000000003</v>
      </c>
      <c r="Y5" s="7">
        <f>SUM(O5:R5)</f>
        <v>6.0460000000000003</v>
      </c>
    </row>
    <row r="6" spans="1:37" s="20" customFormat="1" x14ac:dyDescent="0.2">
      <c r="B6" s="20" t="s">
        <v>57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0">
        <f>O4+O5+O3</f>
        <v>44.845999999999997</v>
      </c>
      <c r="P6" s="20">
        <f>P4+P5+P3</f>
        <v>96</v>
      </c>
      <c r="Q6" s="20">
        <f t="shared" ref="Q6:R6" si="4">Q4+Q5+Q3</f>
        <v>127.44</v>
      </c>
      <c r="R6" s="20">
        <f t="shared" si="4"/>
        <v>170.65599999999998</v>
      </c>
      <c r="Y6" s="20">
        <f>SUM(Y3:Y5)</f>
        <v>438.94199999999995</v>
      </c>
      <c r="Z6" s="20">
        <f t="shared" ref="Z6:AK6" si="5">SUM(Z3:Z5)</f>
        <v>807.05759999999987</v>
      </c>
      <c r="AA6" s="20">
        <f t="shared" si="5"/>
        <v>1164.2637599999998</v>
      </c>
      <c r="AB6" s="20">
        <f t="shared" si="5"/>
        <v>1272.0968135999999</v>
      </c>
      <c r="AC6" s="20">
        <f t="shared" si="5"/>
        <v>1390.627239336</v>
      </c>
      <c r="AD6" s="20">
        <f t="shared" si="5"/>
        <v>1520.92391508936</v>
      </c>
      <c r="AE6" s="20">
        <f t="shared" si="5"/>
        <v>1593.0351292162536</v>
      </c>
      <c r="AF6" s="20">
        <f t="shared" si="5"/>
        <v>1668.7125542332162</v>
      </c>
      <c r="AG6" s="20">
        <f t="shared" si="5"/>
        <v>1748.1341071865886</v>
      </c>
      <c r="AH6" s="20">
        <f t="shared" si="5"/>
        <v>1831.4865970400465</v>
      </c>
      <c r="AI6" s="20">
        <f t="shared" si="5"/>
        <v>1815.2191099001111</v>
      </c>
      <c r="AJ6" s="20">
        <f t="shared" si="5"/>
        <v>1799.1347714198798</v>
      </c>
      <c r="AK6" s="20">
        <f t="shared" si="5"/>
        <v>1783.2319548506384</v>
      </c>
    </row>
    <row r="7" spans="1:37" s="7" customFormat="1" x14ac:dyDescent="0.2">
      <c r="B7" s="7" t="s">
        <v>61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7">
        <v>7.8090000000000002</v>
      </c>
      <c r="P7" s="7">
        <f>P6-P8</f>
        <v>14.400000000000006</v>
      </c>
      <c r="Q7" s="7">
        <f t="shared" ref="Q7:R7" si="6">Q6-Q8</f>
        <v>19.116</v>
      </c>
      <c r="R7" s="7">
        <f t="shared" si="6"/>
        <v>25.598399999999998</v>
      </c>
      <c r="Y7" s="7">
        <f>SUM(O7:R7)</f>
        <v>66.923400000000001</v>
      </c>
    </row>
    <row r="8" spans="1:37" s="7" customFormat="1" x14ac:dyDescent="0.2">
      <c r="B8" s="7" t="s">
        <v>62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7">
        <f>O6-O7</f>
        <v>37.036999999999999</v>
      </c>
      <c r="P8" s="7">
        <f>P6*0.85</f>
        <v>81.599999999999994</v>
      </c>
      <c r="Q8" s="7">
        <f t="shared" ref="Q8:R8" si="7">Q6*0.85</f>
        <v>108.324</v>
      </c>
      <c r="R8" s="7">
        <f t="shared" si="7"/>
        <v>145.05759999999998</v>
      </c>
      <c r="Y8" s="7">
        <f>Y6-Y7</f>
        <v>372.01859999999994</v>
      </c>
    </row>
    <row r="9" spans="1:37" s="7" customFormat="1" x14ac:dyDescent="0.2">
      <c r="B9" s="7" t="s">
        <v>63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7">
        <v>110.027</v>
      </c>
    </row>
    <row r="10" spans="1:37" s="7" customFormat="1" x14ac:dyDescent="0.2">
      <c r="B10" s="7" t="s">
        <v>64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7">
        <v>102.093</v>
      </c>
      <c r="P10" s="7">
        <f>O10</f>
        <v>102.093</v>
      </c>
      <c r="Q10" s="7">
        <f t="shared" ref="Q10:R10" si="8">P10</f>
        <v>102.093</v>
      </c>
      <c r="R10" s="7">
        <f t="shared" si="8"/>
        <v>102.093</v>
      </c>
    </row>
    <row r="11" spans="1:37" s="7" customFormat="1" x14ac:dyDescent="0.2">
      <c r="B11" s="7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7">
        <f>O9+O10</f>
        <v>212.12</v>
      </c>
      <c r="P11" s="7">
        <f t="shared" ref="P11:R11" si="9">P9+P10</f>
        <v>102.093</v>
      </c>
      <c r="Q11" s="7">
        <f t="shared" si="9"/>
        <v>102.093</v>
      </c>
      <c r="R11" s="7">
        <f t="shared" si="9"/>
        <v>102.093</v>
      </c>
    </row>
    <row r="12" spans="1:37" s="7" customFormat="1" x14ac:dyDescent="0.2">
      <c r="B12" s="7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7">
        <f>O8-O11</f>
        <v>-175.083</v>
      </c>
      <c r="P12" s="7">
        <f t="shared" ref="P12:R12" si="10">P8-P11</f>
        <v>-20.493000000000009</v>
      </c>
      <c r="Q12" s="7">
        <f t="shared" si="10"/>
        <v>6.2309999999999945</v>
      </c>
      <c r="R12" s="7">
        <f t="shared" si="10"/>
        <v>42.964599999999976</v>
      </c>
    </row>
    <row r="13" spans="1:37" s="7" customFormat="1" x14ac:dyDescent="0.2">
      <c r="B13" s="7" t="s">
        <v>68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7">
        <f>5.393-7.529-0.277</f>
        <v>-2.4130000000000003</v>
      </c>
    </row>
    <row r="14" spans="1:37" s="7" customFormat="1" x14ac:dyDescent="0.2">
      <c r="B14" s="7" t="s">
        <v>67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7">
        <f>O12+O13</f>
        <v>-177.49600000000001</v>
      </c>
      <c r="P14" s="7">
        <f t="shared" ref="P14:R14" si="11">P12+P13</f>
        <v>-20.493000000000009</v>
      </c>
      <c r="Q14" s="7">
        <f t="shared" si="11"/>
        <v>6.2309999999999945</v>
      </c>
      <c r="R14" s="7">
        <f t="shared" si="11"/>
        <v>42.964599999999976</v>
      </c>
    </row>
    <row r="15" spans="1:37" s="7" customFormat="1" x14ac:dyDescent="0.2">
      <c r="B15" s="7" t="s">
        <v>66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7">
        <v>0.28199999999999997</v>
      </c>
    </row>
    <row r="16" spans="1:37" s="7" customFormat="1" x14ac:dyDescent="0.2">
      <c r="B16" s="7" t="s">
        <v>65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7">
        <f>O14-O15</f>
        <v>-177.77800000000002</v>
      </c>
      <c r="P16" s="7">
        <f t="shared" ref="P16:R16" si="12">P14-P15</f>
        <v>-20.493000000000009</v>
      </c>
      <c r="Q16" s="7">
        <f t="shared" si="12"/>
        <v>6.2309999999999945</v>
      </c>
      <c r="R16" s="7">
        <f t="shared" si="12"/>
        <v>42.964599999999976</v>
      </c>
    </row>
    <row r="18" spans="2:18" x14ac:dyDescent="0.2">
      <c r="B18" s="7" t="s">
        <v>113</v>
      </c>
      <c r="O18" s="23">
        <f>O8/O6</f>
        <v>0.82587075770414309</v>
      </c>
      <c r="P18" s="23">
        <f t="shared" ref="P18:R18" si="13">P8/P6</f>
        <v>0.85</v>
      </c>
      <c r="Q18" s="23">
        <f t="shared" si="13"/>
        <v>0.85</v>
      </c>
      <c r="R18" s="23">
        <f t="shared" si="13"/>
        <v>0.85</v>
      </c>
    </row>
    <row r="20" spans="2:18" x14ac:dyDescent="0.2">
      <c r="B20" s="7" t="s">
        <v>86</v>
      </c>
      <c r="O20" s="7">
        <f>O21-O35</f>
        <v>673.54899999999998</v>
      </c>
    </row>
    <row r="21" spans="2:18" x14ac:dyDescent="0.2">
      <c r="B21" t="s">
        <v>10</v>
      </c>
      <c r="O21" s="7">
        <f>765.083+1.275</f>
        <v>766.35799999999995</v>
      </c>
    </row>
    <row r="22" spans="2:18" x14ac:dyDescent="0.2">
      <c r="B22" t="s">
        <v>73</v>
      </c>
      <c r="O22" s="7">
        <v>31.504999999999999</v>
      </c>
    </row>
    <row r="23" spans="2:18" x14ac:dyDescent="0.2">
      <c r="B23" t="s">
        <v>74</v>
      </c>
      <c r="O23" s="7">
        <v>85.483999999999995</v>
      </c>
    </row>
    <row r="24" spans="2:18" x14ac:dyDescent="0.2">
      <c r="B24" t="s">
        <v>75</v>
      </c>
      <c r="O24" s="7">
        <v>36.558999999999997</v>
      </c>
    </row>
    <row r="25" spans="2:18" x14ac:dyDescent="0.2">
      <c r="B25" t="s">
        <v>76</v>
      </c>
      <c r="O25" s="7">
        <v>34.348999999999997</v>
      </c>
    </row>
    <row r="26" spans="2:18" x14ac:dyDescent="0.2">
      <c r="B26" t="s">
        <v>77</v>
      </c>
      <c r="O26" s="7">
        <v>17.853999999999999</v>
      </c>
    </row>
    <row r="27" spans="2:18" x14ac:dyDescent="0.2">
      <c r="B27" t="s">
        <v>78</v>
      </c>
      <c r="O27" s="7">
        <v>5.9669999999999996</v>
      </c>
    </row>
    <row r="28" spans="2:18" x14ac:dyDescent="0.2">
      <c r="B28" t="s">
        <v>79</v>
      </c>
      <c r="O28" s="7">
        <v>0.79300000000000004</v>
      </c>
    </row>
    <row r="29" spans="2:18" x14ac:dyDescent="0.2">
      <c r="B29" t="s">
        <v>80</v>
      </c>
      <c r="O29" s="7">
        <f>SUM(O21:O28)</f>
        <v>978.86900000000003</v>
      </c>
    </row>
    <row r="30" spans="2:18" x14ac:dyDescent="0.2">
      <c r="O30" s="7"/>
    </row>
    <row r="31" spans="2:18" x14ac:dyDescent="0.2">
      <c r="B31" t="s">
        <v>83</v>
      </c>
      <c r="O31" s="7">
        <v>31.494</v>
      </c>
    </row>
    <row r="32" spans="2:18" x14ac:dyDescent="0.2">
      <c r="B32" t="s">
        <v>84</v>
      </c>
      <c r="O32" s="7">
        <v>71.251000000000005</v>
      </c>
    </row>
    <row r="33" spans="2:15" x14ac:dyDescent="0.2">
      <c r="B33" t="s">
        <v>85</v>
      </c>
      <c r="O33" s="7">
        <f>30.071+321.713</f>
        <v>351.78400000000005</v>
      </c>
    </row>
    <row r="34" spans="2:15" x14ac:dyDescent="0.2">
      <c r="B34" t="s">
        <v>77</v>
      </c>
      <c r="O34" s="7">
        <f>5.828+13.233</f>
        <v>19.061</v>
      </c>
    </row>
    <row r="35" spans="2:15" x14ac:dyDescent="0.2">
      <c r="B35" t="s">
        <v>11</v>
      </c>
      <c r="O35" s="7">
        <v>92.808999999999997</v>
      </c>
    </row>
    <row r="36" spans="2:15" x14ac:dyDescent="0.2">
      <c r="B36" t="s">
        <v>79</v>
      </c>
      <c r="O36" s="7">
        <v>0.34699999999999998</v>
      </c>
    </row>
    <row r="37" spans="2:15" x14ac:dyDescent="0.2">
      <c r="B37" t="s">
        <v>82</v>
      </c>
      <c r="O37" s="7">
        <v>412.12299999999999</v>
      </c>
    </row>
    <row r="38" spans="2:15" x14ac:dyDescent="0.2">
      <c r="B38" t="s">
        <v>81</v>
      </c>
      <c r="O38" s="7">
        <f>SUM(O31:O37)</f>
        <v>978.86899999999991</v>
      </c>
    </row>
    <row r="39" spans="2:15" x14ac:dyDescent="0.2">
      <c r="O39" s="7"/>
    </row>
  </sheetData>
  <hyperlinks>
    <hyperlink ref="A1" location="Main!A1" display="Main" xr:uid="{DA17328F-64FB-4DF9-9BE3-2A05593A4F6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44E-3A9A-47B3-8A31-8E621049E97B}">
  <dimension ref="A1:C25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34</v>
      </c>
    </row>
    <row r="3" spans="1:3" x14ac:dyDescent="0.2">
      <c r="B3" t="s">
        <v>2</v>
      </c>
      <c r="C3" t="s">
        <v>3</v>
      </c>
    </row>
    <row r="4" spans="1:3" x14ac:dyDescent="0.2">
      <c r="B4" t="s">
        <v>4</v>
      </c>
      <c r="C4" t="s">
        <v>31</v>
      </c>
    </row>
    <row r="5" spans="1:3" x14ac:dyDescent="0.2">
      <c r="B5" t="s">
        <v>29</v>
      </c>
      <c r="C5" t="s">
        <v>32</v>
      </c>
    </row>
    <row r="6" spans="1:3" x14ac:dyDescent="0.2">
      <c r="B6" t="s">
        <v>6</v>
      </c>
      <c r="C6" t="s">
        <v>15</v>
      </c>
    </row>
    <row r="7" spans="1:3" x14ac:dyDescent="0.2">
      <c r="B7" t="s">
        <v>22</v>
      </c>
      <c r="C7" t="s">
        <v>95</v>
      </c>
    </row>
    <row r="8" spans="1:3" x14ac:dyDescent="0.2">
      <c r="B8" t="s">
        <v>16</v>
      </c>
    </row>
    <row r="9" spans="1:3" x14ac:dyDescent="0.2">
      <c r="B9" t="s">
        <v>17</v>
      </c>
    </row>
    <row r="12" spans="1:3" x14ac:dyDescent="0.2">
      <c r="C12" s="10" t="s">
        <v>33</v>
      </c>
    </row>
    <row r="16" spans="1:3" x14ac:dyDescent="0.2">
      <c r="C16" s="10" t="s">
        <v>35</v>
      </c>
    </row>
    <row r="21" spans="3:3" x14ac:dyDescent="0.2">
      <c r="C21" s="10" t="s">
        <v>36</v>
      </c>
    </row>
    <row r="25" spans="3:3" x14ac:dyDescent="0.2">
      <c r="C25" s="10" t="s">
        <v>100</v>
      </c>
    </row>
  </sheetData>
  <hyperlinks>
    <hyperlink ref="A1" location="Main!A1" display="Main" xr:uid="{CC1467D0-E7D7-4B93-815E-D580539CE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130A-B0D6-4EE5-8C86-27298758E817}">
  <dimension ref="A1:C14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71</v>
      </c>
    </row>
    <row r="3" spans="1:3" x14ac:dyDescent="0.2">
      <c r="B3" t="s">
        <v>4</v>
      </c>
      <c r="C3" t="s">
        <v>97</v>
      </c>
    </row>
    <row r="4" spans="1:3" x14ac:dyDescent="0.2">
      <c r="B4" t="s">
        <v>96</v>
      </c>
      <c r="C4" t="s">
        <v>107</v>
      </c>
    </row>
    <row r="5" spans="1:3" x14ac:dyDescent="0.2">
      <c r="B5" t="s">
        <v>98</v>
      </c>
      <c r="C5" t="s">
        <v>99</v>
      </c>
    </row>
    <row r="7" spans="1:3" x14ac:dyDescent="0.2">
      <c r="C7" s="10" t="s">
        <v>19</v>
      </c>
    </row>
    <row r="8" spans="1:3" x14ac:dyDescent="0.2">
      <c r="C8" t="s">
        <v>52</v>
      </c>
    </row>
    <row r="9" spans="1:3" x14ac:dyDescent="0.2">
      <c r="C9" t="s">
        <v>109</v>
      </c>
    </row>
    <row r="11" spans="1:3" x14ac:dyDescent="0.2">
      <c r="C11" s="10" t="s">
        <v>20</v>
      </c>
    </row>
    <row r="12" spans="1:3" x14ac:dyDescent="0.2">
      <c r="C12" t="s">
        <v>51</v>
      </c>
    </row>
    <row r="14" spans="1:3" x14ac:dyDescent="0.2">
      <c r="C14" s="10" t="s">
        <v>21</v>
      </c>
    </row>
  </sheetData>
  <hyperlinks>
    <hyperlink ref="A1" location="Main!A1" display="Main" xr:uid="{47222131-8AD3-4163-AFE9-A007369BBA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Empaveli</vt:lpstr>
      <vt:lpstr>Syfovre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2022-07-19T13:25:43Z</dcterms:created>
  <dcterms:modified xsi:type="dcterms:W3CDTF">2024-09-06T03:33:01Z</dcterms:modified>
</cp:coreProperties>
</file>