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CB79729-9F3E-4CF2-8001-9ED2ECC75063}" xr6:coauthVersionLast="47" xr6:coauthVersionMax="47" xr10:uidLastSave="{00000000-0000-0000-0000-000000000000}"/>
  <bookViews>
    <workbookView xWindow="-50610" yWindow="690" windowWidth="32715" windowHeight="15345" xr2:uid="{2060C4C8-3805-4E23-AE6B-F728D7027876}"/>
  </bookViews>
  <sheets>
    <sheet name="Main" sheetId="1" r:id="rId1"/>
    <sheet name="Model" sheetId="2" r:id="rId2"/>
    <sheet name="14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2" i="2" l="1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AG37" i="2"/>
  <c r="AF37" i="2"/>
  <c r="AE37" i="2"/>
  <c r="AD37" i="2"/>
  <c r="AC37" i="2"/>
  <c r="AB37" i="2"/>
  <c r="AQ37" i="2"/>
  <c r="AP37" i="2"/>
  <c r="AO37" i="2"/>
  <c r="AN37" i="2"/>
  <c r="AM37" i="2"/>
  <c r="AL37" i="2"/>
  <c r="AK37" i="2"/>
  <c r="AJ37" i="2"/>
  <c r="AI37" i="2"/>
  <c r="AH37" i="2"/>
  <c r="AR37" i="2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AI9" i="2"/>
  <c r="AI10" i="2" s="1"/>
  <c r="AH9" i="2"/>
  <c r="AH10" i="2" s="1"/>
  <c r="AR34" i="2" l="1"/>
  <c r="AS31" i="2"/>
  <c r="AR31" i="2"/>
  <c r="AS29" i="2"/>
  <c r="AR29" i="2"/>
  <c r="AS26" i="2"/>
  <c r="AR26" i="2"/>
  <c r="AT26" i="2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AS25" i="2"/>
  <c r="AT25" i="2" s="1"/>
  <c r="AR25" i="2"/>
  <c r="AR23" i="2"/>
  <c r="U34" i="2"/>
  <c r="V34" i="2" s="1"/>
  <c r="AS34" i="2" s="1"/>
  <c r="AT34" i="2" s="1"/>
  <c r="V27" i="2"/>
  <c r="U27" i="2"/>
  <c r="U24" i="2"/>
  <c r="U36" i="2"/>
  <c r="V22" i="2"/>
  <c r="V36" i="2" s="1"/>
  <c r="AR22" i="2"/>
  <c r="AR12" i="2" s="1"/>
  <c r="P39" i="2"/>
  <c r="Q24" i="2"/>
  <c r="Q39" i="2" s="1"/>
  <c r="R24" i="2"/>
  <c r="R39" i="2" s="1"/>
  <c r="O24" i="2"/>
  <c r="O39" i="2" s="1"/>
  <c r="S36" i="2"/>
  <c r="S27" i="2"/>
  <c r="S24" i="2"/>
  <c r="S39" i="2" s="1"/>
  <c r="T52" i="2"/>
  <c r="T59" i="2" s="1"/>
  <c r="T43" i="2"/>
  <c r="T42" i="2" s="1"/>
  <c r="T48" i="2"/>
  <c r="P24" i="2"/>
  <c r="T36" i="2"/>
  <c r="T27" i="2"/>
  <c r="T24" i="2"/>
  <c r="T39" i="2" s="1"/>
  <c r="AG73" i="2"/>
  <c r="AH36" i="2"/>
  <c r="AG36" i="2"/>
  <c r="AG27" i="2"/>
  <c r="AG24" i="2"/>
  <c r="AG39" i="2" s="1"/>
  <c r="AF73" i="2"/>
  <c r="AF36" i="2"/>
  <c r="AF27" i="2"/>
  <c r="AF24" i="2"/>
  <c r="AF39" i="2" s="1"/>
  <c r="AE73" i="2"/>
  <c r="AE36" i="2"/>
  <c r="AE27" i="2"/>
  <c r="AE24" i="2"/>
  <c r="AE39" i="2" s="1"/>
  <c r="AD73" i="2"/>
  <c r="AD36" i="2"/>
  <c r="AD27" i="2"/>
  <c r="AD24" i="2"/>
  <c r="AD39" i="2" s="1"/>
  <c r="AC73" i="2"/>
  <c r="AC36" i="2"/>
  <c r="AB36" i="2"/>
  <c r="AC27" i="2"/>
  <c r="AC24" i="2"/>
  <c r="AC39" i="2" s="1"/>
  <c r="AB73" i="2"/>
  <c r="AA73" i="2"/>
  <c r="Z73" i="2"/>
  <c r="AB27" i="2"/>
  <c r="AA27" i="2"/>
  <c r="Z27" i="2"/>
  <c r="AB24" i="2"/>
  <c r="AB39" i="2" s="1"/>
  <c r="AH24" i="2"/>
  <c r="AA24" i="2"/>
  <c r="AA39" i="2" s="1"/>
  <c r="Z24" i="2"/>
  <c r="Z39" i="2" s="1"/>
  <c r="AL73" i="2"/>
  <c r="AK73" i="2"/>
  <c r="AK24" i="2"/>
  <c r="AK39" i="2" s="1"/>
  <c r="AK27" i="2"/>
  <c r="AL27" i="2"/>
  <c r="AL24" i="2"/>
  <c r="AL39" i="2" s="1"/>
  <c r="AJ73" i="2"/>
  <c r="AI73" i="2"/>
  <c r="AH73" i="2"/>
  <c r="AI36" i="2"/>
  <c r="AJ36" i="2"/>
  <c r="AK36" i="2"/>
  <c r="AJ27" i="2"/>
  <c r="AI27" i="2"/>
  <c r="AH27" i="2"/>
  <c r="AJ24" i="2"/>
  <c r="AI24" i="2"/>
  <c r="AI39" i="2" s="1"/>
  <c r="AR6" i="2"/>
  <c r="AR5" i="2"/>
  <c r="AQ6" i="2"/>
  <c r="AP3" i="2"/>
  <c r="AP4" i="2" s="1"/>
  <c r="AO3" i="2"/>
  <c r="AO4" i="2" s="1"/>
  <c r="AN3" i="2"/>
  <c r="AN4" i="2" s="1"/>
  <c r="R36" i="2"/>
  <c r="Q36" i="2"/>
  <c r="P36" i="2"/>
  <c r="R27" i="2"/>
  <c r="Q27" i="2"/>
  <c r="P27" i="2"/>
  <c r="O27" i="2"/>
  <c r="O36" i="2"/>
  <c r="M36" i="2"/>
  <c r="L36" i="2"/>
  <c r="K36" i="2"/>
  <c r="N36" i="2"/>
  <c r="G27" i="2"/>
  <c r="G24" i="2"/>
  <c r="G39" i="2" s="1"/>
  <c r="K27" i="2"/>
  <c r="K24" i="2"/>
  <c r="K39" i="2" s="1"/>
  <c r="H27" i="2"/>
  <c r="H24" i="2"/>
  <c r="H39" i="2" s="1"/>
  <c r="L27" i="2"/>
  <c r="L24" i="2"/>
  <c r="L39" i="2" s="1"/>
  <c r="I27" i="2"/>
  <c r="I24" i="2"/>
  <c r="I39" i="2" s="1"/>
  <c r="M27" i="2"/>
  <c r="M24" i="2"/>
  <c r="M39" i="2" s="1"/>
  <c r="J27" i="2"/>
  <c r="J24" i="2"/>
  <c r="J39" i="2" s="1"/>
  <c r="N27" i="2"/>
  <c r="N24" i="2"/>
  <c r="N39" i="2" s="1"/>
  <c r="AM73" i="2"/>
  <c r="AN73" i="2"/>
  <c r="AM27" i="2"/>
  <c r="AM24" i="2"/>
  <c r="AM39" i="2" s="1"/>
  <c r="AN27" i="2"/>
  <c r="AN24" i="2"/>
  <c r="AN39" i="2" s="1"/>
  <c r="AL36" i="2"/>
  <c r="AM36" i="2"/>
  <c r="AN36" i="2"/>
  <c r="AO36" i="2"/>
  <c r="AS2" i="2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AO69" i="2"/>
  <c r="AO70" i="2" s="1"/>
  <c r="AO73" i="2" s="1"/>
  <c r="AP69" i="2"/>
  <c r="AP70" i="2" s="1"/>
  <c r="AP73" i="2" s="1"/>
  <c r="AQ69" i="2"/>
  <c r="AQ70" i="2" s="1"/>
  <c r="AQ73" i="2" s="1"/>
  <c r="AR36" i="2" l="1"/>
  <c r="AQ3" i="2"/>
  <c r="AQ4" i="2" s="1"/>
  <c r="AQ9" i="2"/>
  <c r="AQ10" i="2" s="1"/>
  <c r="AR9" i="2"/>
  <c r="AR10" i="2" s="1"/>
  <c r="V24" i="2"/>
  <c r="V39" i="2" s="1"/>
  <c r="AS22" i="2"/>
  <c r="AR24" i="2"/>
  <c r="U23" i="2"/>
  <c r="U28" i="2"/>
  <c r="U30" i="2" s="1"/>
  <c r="U32" i="2" s="1"/>
  <c r="U33" i="2" s="1"/>
  <c r="R28" i="2"/>
  <c r="R30" i="2" s="1"/>
  <c r="R32" i="2" s="1"/>
  <c r="R33" i="2" s="1"/>
  <c r="S28" i="2"/>
  <c r="S30" i="2" s="1"/>
  <c r="S32" i="2" s="1"/>
  <c r="S33" i="2" s="1"/>
  <c r="U39" i="2"/>
  <c r="Q28" i="2"/>
  <c r="Q30" i="2" s="1"/>
  <c r="Q32" i="2" s="1"/>
  <c r="Q33" i="2" s="1"/>
  <c r="AJ28" i="2"/>
  <c r="AJ30" i="2" s="1"/>
  <c r="AJ32" i="2" s="1"/>
  <c r="AJ61" i="2" s="1"/>
  <c r="AH28" i="2"/>
  <c r="AH30" i="2" s="1"/>
  <c r="AH32" i="2" s="1"/>
  <c r="AH33" i="2" s="1"/>
  <c r="P28" i="2"/>
  <c r="P30" i="2" s="1"/>
  <c r="P32" i="2" s="1"/>
  <c r="P33" i="2" s="1"/>
  <c r="T50" i="2"/>
  <c r="T28" i="2"/>
  <c r="T30" i="2" s="1"/>
  <c r="T32" i="2" s="1"/>
  <c r="T33" i="2" s="1"/>
  <c r="AR39" i="2"/>
  <c r="N28" i="2"/>
  <c r="N30" i="2" s="1"/>
  <c r="N32" i="2" s="1"/>
  <c r="N33" i="2" s="1"/>
  <c r="AR27" i="2"/>
  <c r="AB28" i="2"/>
  <c r="AB30" i="2" s="1"/>
  <c r="AB32" i="2" s="1"/>
  <c r="AA28" i="2"/>
  <c r="AA30" i="2" s="1"/>
  <c r="AA32" i="2" s="1"/>
  <c r="Z28" i="2"/>
  <c r="Z30" i="2" s="1"/>
  <c r="Z32" i="2" s="1"/>
  <c r="AU34" i="2"/>
  <c r="AT27" i="2"/>
  <c r="AU25" i="2"/>
  <c r="AS27" i="2"/>
  <c r="AG28" i="2"/>
  <c r="AG30" i="2" s="1"/>
  <c r="AG32" i="2" s="1"/>
  <c r="AF28" i="2"/>
  <c r="AF30" i="2" s="1"/>
  <c r="AF32" i="2" s="1"/>
  <c r="AE28" i="2"/>
  <c r="AE30" i="2" s="1"/>
  <c r="AE32" i="2" s="1"/>
  <c r="AD28" i="2"/>
  <c r="AD30" i="2" s="1"/>
  <c r="AD32" i="2" s="1"/>
  <c r="AC28" i="2"/>
  <c r="AC30" i="2" s="1"/>
  <c r="AC32" i="2" s="1"/>
  <c r="AL28" i="2"/>
  <c r="AL30" i="2" s="1"/>
  <c r="AL32" i="2" s="1"/>
  <c r="AL33" i="2" s="1"/>
  <c r="AJ39" i="2"/>
  <c r="AI28" i="2"/>
  <c r="AI30" i="2" s="1"/>
  <c r="AI32" i="2" s="1"/>
  <c r="AI33" i="2" s="1"/>
  <c r="AH39" i="2"/>
  <c r="AK28" i="2"/>
  <c r="AK30" i="2" s="1"/>
  <c r="AK32" i="2" s="1"/>
  <c r="H28" i="2"/>
  <c r="H30" i="2" s="1"/>
  <c r="H32" i="2" s="1"/>
  <c r="H33" i="2" s="1"/>
  <c r="J28" i="2"/>
  <c r="J30" i="2" s="1"/>
  <c r="J32" i="2" s="1"/>
  <c r="J33" i="2" s="1"/>
  <c r="AR3" i="2"/>
  <c r="K28" i="2"/>
  <c r="K30" i="2" s="1"/>
  <c r="K32" i="2" s="1"/>
  <c r="K33" i="2" s="1"/>
  <c r="AN28" i="2"/>
  <c r="AN30" i="2" s="1"/>
  <c r="AN32" i="2" s="1"/>
  <c r="AM28" i="2"/>
  <c r="AM30" i="2" s="1"/>
  <c r="AM32" i="2" s="1"/>
  <c r="O28" i="2"/>
  <c r="O30" i="2" s="1"/>
  <c r="O32" i="2" s="1"/>
  <c r="O33" i="2" s="1"/>
  <c r="G28" i="2"/>
  <c r="G30" i="2" s="1"/>
  <c r="G32" i="2" s="1"/>
  <c r="G33" i="2" s="1"/>
  <c r="L28" i="2"/>
  <c r="L30" i="2" s="1"/>
  <c r="L32" i="2" s="1"/>
  <c r="L33" i="2" s="1"/>
  <c r="I28" i="2"/>
  <c r="I30" i="2" s="1"/>
  <c r="I32" i="2" s="1"/>
  <c r="I33" i="2" s="1"/>
  <c r="M28" i="2"/>
  <c r="AH61" i="2" l="1"/>
  <c r="AJ33" i="2"/>
  <c r="V28" i="2"/>
  <c r="V30" i="2" s="1"/>
  <c r="V32" i="2" s="1"/>
  <c r="V33" i="2" s="1"/>
  <c r="V23" i="2"/>
  <c r="AS24" i="2"/>
  <c r="AS23" i="2"/>
  <c r="AI61" i="2"/>
  <c r="AR28" i="2"/>
  <c r="AR30" i="2" s="1"/>
  <c r="AR32" i="2" s="1"/>
  <c r="AG33" i="2"/>
  <c r="AG61" i="2"/>
  <c r="AR4" i="2"/>
  <c r="AS3" i="2"/>
  <c r="Z61" i="2"/>
  <c r="Z33" i="2"/>
  <c r="AA61" i="2"/>
  <c r="AA33" i="2"/>
  <c r="AB61" i="2"/>
  <c r="AB33" i="2"/>
  <c r="AL61" i="2"/>
  <c r="AV34" i="2"/>
  <c r="AV25" i="2"/>
  <c r="AU27" i="2"/>
  <c r="AF33" i="2"/>
  <c r="AF61" i="2"/>
  <c r="AE33" i="2"/>
  <c r="AE61" i="2"/>
  <c r="AD33" i="2"/>
  <c r="AD61" i="2"/>
  <c r="AC33" i="2"/>
  <c r="AC61" i="2"/>
  <c r="AK33" i="2"/>
  <c r="AK61" i="2"/>
  <c r="M30" i="2"/>
  <c r="M32" i="2" s="1"/>
  <c r="M33" i="2" s="1"/>
  <c r="AM33" i="2"/>
  <c r="AM61" i="2"/>
  <c r="AN33" i="2"/>
  <c r="AN61" i="2"/>
  <c r="AR33" i="2" l="1"/>
  <c r="AT3" i="2"/>
  <c r="AW34" i="2"/>
  <c r="AW25" i="2"/>
  <c r="AV27" i="2"/>
  <c r="AS36" i="2" l="1"/>
  <c r="AU3" i="2"/>
  <c r="AT22" i="2"/>
  <c r="AT24" i="2" s="1"/>
  <c r="AX34" i="2"/>
  <c r="AX25" i="2"/>
  <c r="AW27" i="2"/>
  <c r="AT36" i="2" l="1"/>
  <c r="AV3" i="2"/>
  <c r="AU22" i="2"/>
  <c r="AU24" i="2" s="1"/>
  <c r="AS39" i="2"/>
  <c r="AS28" i="2"/>
  <c r="AS30" i="2" s="1"/>
  <c r="AS32" i="2" s="1"/>
  <c r="AY34" i="2"/>
  <c r="AY25" i="2"/>
  <c r="AX27" i="2"/>
  <c r="AS33" i="2" l="1"/>
  <c r="AU36" i="2"/>
  <c r="AW3" i="2"/>
  <c r="AV22" i="2"/>
  <c r="AV24" i="2" s="1"/>
  <c r="AT39" i="2"/>
  <c r="AT28" i="2"/>
  <c r="AT30" i="2" s="1"/>
  <c r="AZ34" i="2"/>
  <c r="AZ25" i="2"/>
  <c r="AY27" i="2"/>
  <c r="AT31" i="2" l="1"/>
  <c r="AT32" i="2" s="1"/>
  <c r="AT33" i="2" s="1"/>
  <c r="AV36" i="2"/>
  <c r="AX3" i="2"/>
  <c r="AW22" i="2"/>
  <c r="AW24" i="2" s="1"/>
  <c r="AU39" i="2"/>
  <c r="AU28" i="2"/>
  <c r="AU30" i="2" s="1"/>
  <c r="BA34" i="2"/>
  <c r="BA25" i="2"/>
  <c r="AZ27" i="2"/>
  <c r="AT42" i="2" l="1"/>
  <c r="AW36" i="2"/>
  <c r="AY3" i="2"/>
  <c r="AX22" i="2"/>
  <c r="AX24" i="2" s="1"/>
  <c r="AV39" i="2"/>
  <c r="AV28" i="2"/>
  <c r="AV30" i="2" s="1"/>
  <c r="AU31" i="2"/>
  <c r="AU32" i="2" s="1"/>
  <c r="AU33" i="2" s="1"/>
  <c r="BB34" i="2"/>
  <c r="BB25" i="2"/>
  <c r="BA27" i="2"/>
  <c r="AU42" i="2" l="1"/>
  <c r="AV31" i="2"/>
  <c r="AV32" i="2" s="1"/>
  <c r="AV33" i="2" s="1"/>
  <c r="AX36" i="2"/>
  <c r="AZ3" i="2"/>
  <c r="AY22" i="2"/>
  <c r="AY24" i="2" s="1"/>
  <c r="AW39" i="2"/>
  <c r="AW28" i="2"/>
  <c r="BC34" i="2"/>
  <c r="BB27" i="2"/>
  <c r="BC25" i="2"/>
  <c r="AV42" i="2" l="1"/>
  <c r="AW29" i="2" s="1"/>
  <c r="AW30" i="2" s="1"/>
  <c r="AW31" i="2" s="1"/>
  <c r="AW32" i="2" s="1"/>
  <c r="AY36" i="2"/>
  <c r="BA3" i="2"/>
  <c r="AZ22" i="2"/>
  <c r="AZ24" i="2" s="1"/>
  <c r="AX39" i="2"/>
  <c r="AX28" i="2"/>
  <c r="BD34" i="2"/>
  <c r="BC27" i="2"/>
  <c r="BD25" i="2"/>
  <c r="BD27" i="2" s="1"/>
  <c r="AW33" i="2" l="1"/>
  <c r="AW42" i="2"/>
  <c r="AZ36" i="2"/>
  <c r="BB3" i="2"/>
  <c r="BA22" i="2"/>
  <c r="BA24" i="2" s="1"/>
  <c r="AY39" i="2"/>
  <c r="AY28" i="2"/>
  <c r="AX29" i="2" l="1"/>
  <c r="AX30" i="2" s="1"/>
  <c r="AX31" i="2" s="1"/>
  <c r="AX32" i="2" s="1"/>
  <c r="BC3" i="2"/>
  <c r="BB22" i="2"/>
  <c r="BB24" i="2" s="1"/>
  <c r="BA36" i="2"/>
  <c r="AZ39" i="2"/>
  <c r="AZ28" i="2"/>
  <c r="AX33" i="2" l="1"/>
  <c r="AX42" i="2"/>
  <c r="BA39" i="2"/>
  <c r="BA28" i="2"/>
  <c r="BB36" i="2"/>
  <c r="BD3" i="2"/>
  <c r="BD22" i="2" s="1"/>
  <c r="BD24" i="2" s="1"/>
  <c r="BC22" i="2"/>
  <c r="BC24" i="2" s="1"/>
  <c r="AY29" i="2" l="1"/>
  <c r="AY30" i="2" s="1"/>
  <c r="AY31" i="2" s="1"/>
  <c r="AY32" i="2" s="1"/>
  <c r="BC36" i="2"/>
  <c r="BD36" i="2"/>
  <c r="BB39" i="2"/>
  <c r="BB28" i="2"/>
  <c r="AQ27" i="2"/>
  <c r="AP27" i="2"/>
  <c r="AO27" i="2"/>
  <c r="AQ24" i="2"/>
  <c r="AQ28" i="2" s="1"/>
  <c r="AQ30" i="2" s="1"/>
  <c r="AQ32" i="2" s="1"/>
  <c r="AP24" i="2"/>
  <c r="AP28" i="2" s="1"/>
  <c r="AP30" i="2" s="1"/>
  <c r="AP32" i="2" s="1"/>
  <c r="AO24" i="2"/>
  <c r="AO28" i="2" s="1"/>
  <c r="AO30" i="2" s="1"/>
  <c r="AO32" i="2" s="1"/>
  <c r="AP36" i="2"/>
  <c r="AQ36" i="2"/>
  <c r="AP2" i="2"/>
  <c r="AQ2" i="2" s="1"/>
  <c r="L4" i="1"/>
  <c r="L7" i="1" s="1"/>
  <c r="AY33" i="2" l="1"/>
  <c r="AY42" i="2"/>
  <c r="BD39" i="2"/>
  <c r="BD28" i="2"/>
  <c r="BC39" i="2"/>
  <c r="BC28" i="2"/>
  <c r="AP33" i="2"/>
  <c r="AP61" i="2"/>
  <c r="AO33" i="2"/>
  <c r="AO61" i="2"/>
  <c r="AQ33" i="2"/>
  <c r="AQ61" i="2"/>
  <c r="AQ39" i="2"/>
  <c r="AP39" i="2"/>
  <c r="AO39" i="2"/>
  <c r="AZ29" i="2" l="1"/>
  <c r="AZ30" i="2" s="1"/>
  <c r="AZ31" i="2" s="1"/>
  <c r="AZ32" i="2" s="1"/>
  <c r="AZ33" i="2" s="1"/>
  <c r="AZ42" i="2" l="1"/>
  <c r="BA29" i="2" l="1"/>
  <c r="BA30" i="2" s="1"/>
  <c r="BA31" i="2" s="1"/>
  <c r="BA32" i="2" s="1"/>
  <c r="BA33" i="2" s="1"/>
  <c r="BA42" i="2" l="1"/>
  <c r="BB29" i="2" l="1"/>
  <c r="BB30" i="2" s="1"/>
  <c r="BB31" i="2" l="1"/>
  <c r="BB32" i="2" s="1"/>
  <c r="BB33" i="2" l="1"/>
  <c r="BB42" i="2"/>
  <c r="BC29" i="2" l="1"/>
  <c r="BC30" i="2" s="1"/>
  <c r="BC31" i="2" l="1"/>
  <c r="BC32" i="2" s="1"/>
  <c r="BC33" i="2" l="1"/>
  <c r="BC42" i="2"/>
  <c r="BD29" i="2" l="1"/>
  <c r="BD30" i="2" s="1"/>
  <c r="BD31" i="2" s="1"/>
  <c r="BD32" i="2" s="1"/>
  <c r="BE32" i="2" l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BH39" i="2" s="1"/>
  <c r="BH41" i="2" s="1"/>
  <c r="BH42" i="2" s="1"/>
  <c r="BD33" i="2"/>
  <c r="BD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tc={4AF041F6-2BD0-46AD-AD03-05C15165F132}</author>
    <author>tc={7EE51CAC-1EE9-40D6-A4B0-06A92694160C}</author>
    <author>tc={BEA6A42C-CEC1-47E1-B002-6B6D239FF53A}</author>
  </authors>
  <commentList>
    <comment ref="O22" authorId="0" shapeId="0" xr:uid="{4AF041F6-2BD0-46AD-AD03-05C15165F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10.5-11.5B guidance for Q123 given Q422</t>
      </text>
    </comment>
    <comment ref="U22" authorId="1" shapeId="0" xr:uid="{7EE51CAC-1EE9-40D6-A4B0-06A92694160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12.5B-13.5B</t>
      </text>
    </comment>
    <comment ref="O24" authorId="2" shapeId="0" xr:uid="{BEA6A42C-CEC1-47E1-B002-6B6D239FF53A}">
      <text>
        <t>[Threaded comment]
Your version of Excel allows you to read this threaded comment; however, any edits to it will get removed if the file is opened in a newer version of Excel. Learn more: https://go.microsoft.com/fwlink/?linkid=870924
Comment:
    39% GM non-gaap given Q422</t>
      </text>
    </comment>
  </commentList>
</comments>
</file>

<file path=xl/sharedStrings.xml><?xml version="1.0" encoding="utf-8"?>
<sst xmlns="http://schemas.openxmlformats.org/spreadsheetml/2006/main" count="157" uniqueCount="146">
  <si>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</si>
  <si>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</si>
  <si>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</si>
  <si>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</si>
  <si>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</si>
  <si>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</si>
  <si>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</si>
  <si>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</si>
  <si>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</si>
  <si>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</si>
  <si>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</si>
  <si>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</si>
  <si>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</si>
  <si>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</si>
  <si>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</si>
  <si>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</si>
  <si>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</si>
  <si>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</si>
  <si>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</si>
  <si>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</si>
  <si>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</si>
  <si>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</si>
  <si>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</si>
  <si>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</si>
  <si>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Revenue y/y</t>
  </si>
  <si>
    <t>Gross Margin</t>
  </si>
  <si>
    <t>COGS</t>
  </si>
  <si>
    <t>R&amp;D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</si>
  <si>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</si>
  <si>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</si>
  <si>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</si>
  <si>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</si>
  <si>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</si>
  <si>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</si>
  <si>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</si>
  <si>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</si>
  <si>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Nvidia</t>
  </si>
  <si>
    <t>Model NI</t>
  </si>
  <si>
    <t>Reported NI</t>
  </si>
  <si>
    <t>CFFO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</si>
  <si>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</si>
  <si>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</si>
  <si>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</si>
  <si>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</si>
  <si>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</si>
  <si>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</si>
  <si>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</si>
  <si>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CapEx</t>
  </si>
  <si>
    <t>FCF</t>
  </si>
  <si>
    <t>12th-gen Intel Core HX</t>
  </si>
  <si>
    <t>Alder Lake</t>
  </si>
  <si>
    <t>Meteor Lake</t>
  </si>
  <si>
    <t>Ponte Vecchio - Intel Data Center GPU Max Series</t>
  </si>
  <si>
    <t>CCG - Notebook</t>
  </si>
  <si>
    <t>CCG - Desktop</t>
  </si>
  <si>
    <t>CCG - Other</t>
  </si>
  <si>
    <t>DCAI</t>
  </si>
  <si>
    <t>NEX</t>
  </si>
  <si>
    <t>Mobileye</t>
  </si>
  <si>
    <t>AXG</t>
  </si>
  <si>
    <t>Foundry</t>
  </si>
  <si>
    <t>CEO: Pat Gelsinger replaced Bob Swan</t>
  </si>
  <si>
    <t>Ice Lake - 10nm 3rd-gen Xeon</t>
  </si>
  <si>
    <t>GDP y/y</t>
  </si>
  <si>
    <t>Intel 7 - 7nm? - in high-volume manufacturing for client/server (Q422)</t>
  </si>
  <si>
    <t>Intel 3 - 3nm continues to progress, 20A, 18A test chips</t>
  </si>
  <si>
    <t>Raptor Lake - 13th-gen client, K processors, Z790 chipset</t>
  </si>
  <si>
    <t xml:space="preserve">  i9-13900K</t>
  </si>
  <si>
    <t xml:space="preserve">  4th-gen Xeon (Sapphire Rapids)</t>
  </si>
  <si>
    <t>Xeon</t>
  </si>
  <si>
    <t>AMD</t>
  </si>
  <si>
    <t>Big Three</t>
  </si>
  <si>
    <t xml:space="preserve">  Intel %</t>
  </si>
  <si>
    <t>Discount</t>
  </si>
  <si>
    <t>ROIC</t>
  </si>
  <si>
    <t>Terminal</t>
  </si>
  <si>
    <t>Net Cash</t>
  </si>
  <si>
    <t>NPV</t>
  </si>
  <si>
    <t>Share</t>
  </si>
  <si>
    <t>CFO: David Zinsner</t>
  </si>
  <si>
    <t>Q124</t>
  </si>
  <si>
    <t>Q224</t>
  </si>
  <si>
    <t>Q324</t>
  </si>
  <si>
    <t>Q424</t>
  </si>
  <si>
    <t>Employees</t>
  </si>
  <si>
    <t>AR</t>
  </si>
  <si>
    <t>Inventories</t>
  </si>
  <si>
    <t>OCA</t>
  </si>
  <si>
    <t>PP&amp;E</t>
  </si>
  <si>
    <t>Goodwill</t>
  </si>
  <si>
    <t>LOTA</t>
  </si>
  <si>
    <t>Assets</t>
  </si>
  <si>
    <t>L+SE</t>
  </si>
  <si>
    <t>SE</t>
  </si>
  <si>
    <t>AP</t>
  </si>
  <si>
    <t>Compensation</t>
  </si>
  <si>
    <t>OL</t>
  </si>
  <si>
    <t>OLTL</t>
  </si>
  <si>
    <t>Broadcom</t>
  </si>
  <si>
    <t>Avago</t>
  </si>
  <si>
    <t>PC Shipments</t>
  </si>
  <si>
    <t>PC revenue</t>
  </si>
  <si>
    <t>Intel Share</t>
  </si>
  <si>
    <t>PC shipments y/y</t>
  </si>
  <si>
    <t>Rev/Shipment</t>
  </si>
  <si>
    <t>NG GM%</t>
  </si>
  <si>
    <t>Intel Core Ultra - 2024, with NPU</t>
  </si>
  <si>
    <t>13th-gen mobile, first 24-core laptop</t>
  </si>
  <si>
    <t>vPro</t>
  </si>
  <si>
    <t>14th-gen desktop - voltage coding error</t>
  </si>
  <si>
    <t>i9</t>
  </si>
  <si>
    <t>Max Turbo</t>
  </si>
  <si>
    <t>i7</t>
  </si>
  <si>
    <t>i5</t>
  </si>
  <si>
    <t>i3</t>
  </si>
  <si>
    <t>Intel Turbo Boost</t>
  </si>
  <si>
    <t>-</t>
  </si>
  <si>
    <t>Performance Core Max Turbo Frequency</t>
  </si>
  <si>
    <t>Efficient-core Max Turbo</t>
  </si>
  <si>
    <t>Cores</t>
  </si>
  <si>
    <t>P Cores</t>
  </si>
  <si>
    <t>Threads</t>
  </si>
  <si>
    <t>L3</t>
  </si>
  <si>
    <t>i9-13900K</t>
  </si>
  <si>
    <t>Raptor Lake</t>
  </si>
  <si>
    <t>Raptor Lake Refresh</t>
  </si>
  <si>
    <t>i9-12900K</t>
  </si>
  <si>
    <t>i9-14900K, i9-14900KF, i9-14900KS</t>
  </si>
  <si>
    <t>Base</t>
  </si>
  <si>
    <t>*k = unlocked</t>
  </si>
  <si>
    <t>*f = no GPU</t>
  </si>
  <si>
    <t>*s = lower power</t>
  </si>
  <si>
    <t xml:space="preserve">  vRAN Boost</t>
  </si>
  <si>
    <t>5th-Gen Xeon Scalable</t>
  </si>
  <si>
    <t>GPUs</t>
  </si>
  <si>
    <t>Intel Arc Pro A60</t>
  </si>
  <si>
    <t>Intel Arc Pro A60M</t>
  </si>
  <si>
    <t>Intel Arc Pro A40</t>
  </si>
  <si>
    <t>US Manufacturing</t>
  </si>
  <si>
    <t>Arizona, New Mexico, Oregon, Ohio</t>
  </si>
  <si>
    <t>EU Manufacturing</t>
  </si>
  <si>
    <t>Ireland, Israel, Germany, Poland</t>
  </si>
  <si>
    <t>Intel 4 - 4nm? - manufacturing ready, Meteor Lake ramp in 2H23, with EUV?</t>
  </si>
  <si>
    <t>C-C bond is 1.54A, 0.15nm</t>
  </si>
  <si>
    <t>MOSFET - metal-oxide smiconductor field-effect transistor</t>
  </si>
  <si>
    <t>Lunar Lake - SOC/laptop (battle 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</si>
</sst>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/>
    <xf numFmtId="9" fontId="0" fillId="0" borderId="0" xfId="0" applyNumberFormat="1" applyAlignment="1">
      <alignment horizontal="right"/>
    </xf>
    <xf numFmtId="4" fontId="3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BC6DE2-7325-4FE8-9C44-3D73230255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36033</xdr:colOff>
      <xdr:row>0</xdr:row>
      <xdr:rowOff>0</xdr:rowOff>
    </xdr:from>
    <xdr:to>
      <xdr:col>44</xdr:col>
      <xdr:colOff>36033</xdr:colOff>
      <xdr:row>77</xdr:row>
      <xdr:rowOff>135669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3E111-9A1E-969E-B046-4678216F947D}"/>
            </a:ext>
          </a:extLst>
        </xdr:cNvPr>
        <xdr:cNvCxnSpPr/>
      </xdr:nvCxnSpPr>
      <xdr:spPr>
        <a:xfrm>
          <a:off x="27081080" y="0"/>
          <a:ext cx="0" cy="12512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20051</xdr:colOff>
      <xdr:row>0</xdr:row>
      <xdr:rowOff>0</xdr:rowOff>
    </xdr:from>
    <xdr:to>
      <xdr:col>20</xdr:col>
      <xdr:colOff>20051</xdr:colOff>
      <xdr:row>79</xdr:row>
      <xdr:rowOff>107156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D1792C-2787-8FDE-6B43-CA52F6045161}"/>
            </a:ext>
          </a:extLst>
        </xdr:cNvPr>
        <xdr:cNvCxnSpPr/>
      </xdr:nvCxnSpPr>
      <xdr:spPr>
        <a:xfrm>
          <a:off x="12491848" y="0"/>
          <a:ext cx="0" cy="115192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85FAFCD-EA21-4344-9B78-0E93CEEF76F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3-02-01T15:27:50.55" personId="{885FAFCD-EA21-4344-9B78-0E93CEEF76F9}" id="{4AF041F6-2BD0-46AD-AD03-05C15165F132}">
    <text>10.5-11.5B guidance for Q123 given Q422</text>
  </threadedComment>
  <threadedComment ref="U22" dT="2024-08-03T18:40:43.02" personId="{885FAFCD-EA21-4344-9B78-0E93CEEF76F9}" id="{7EE51CAC-1EE9-40D6-A4B0-06A92694160C}">
    <text>Q224: 12.5B-13.5B</text>
  </threadedComment>
  <threadedComment ref="O24" dT="2023-02-01T15:28:03.45" personId="{885FAFCD-EA21-4344-9B78-0E93CEEF76F9}" id="{BEA6A42C-CEC1-47E1-B002-6B6D239FF53A}">
    <text>39% GM non-gaap given Q422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E7DF-8440-4CDE-A9CC-8CE68EF0CE24}">
  <dimension ref="B2:M33"/>
  <sheetViews>
    <sheetView tabSelected="1" zoomScale="250" zoomScaleNormal="250" workbookViewId="0">
      <selection activeCell="B2" sqref="B2"/>
    </sheetView>
  </sheetViews>
  <sheetFormatPr defaultRowHeight="12.75" x14ac:dyDescent="0.2"/>
  <sheetData>
    <row r="2" spans="2:13" x14ac:dyDescent="0.2">
      <c r="B2" s="13"/>
      <c r="K2" t="s">
        <v>0</v>
      </c>
      <c r="L2" s="1">
        <v>21.58</v>
      </c>
    </row>
    <row r="3" spans="2:13" x14ac:dyDescent="0.2">
      <c r="B3" t="s">
        <v>106</v>
      </c>
      <c r="K3" t="s">
        <v>1</v>
      </c>
      <c r="L3" s="2">
        <v>4267</v>
      </c>
      <c r="M3" s="3" t="s">
        <v>81</v>
      </c>
    </row>
    <row r="4" spans="2:13" x14ac:dyDescent="0.2">
      <c r="B4" t="s">
        <v>49</v>
      </c>
      <c r="K4" t="s">
        <v>2</v>
      </c>
      <c r="L4" s="2">
        <f>+L2*L3</f>
        <v>92081.859999999986</v>
      </c>
      <c r="M4" s="3"/>
    </row>
    <row r="5" spans="2:13" x14ac:dyDescent="0.2">
      <c r="B5" t="s">
        <v>66</v>
      </c>
      <c r="K5" t="s">
        <v>3</v>
      </c>
      <c r="L5" s="2">
        <v>35097</v>
      </c>
      <c r="M5" s="3" t="s">
        <v>81</v>
      </c>
    </row>
    <row r="6" spans="2:13" x14ac:dyDescent="0.2">
      <c r="B6" t="s">
        <v>67</v>
      </c>
      <c r="K6" t="s">
        <v>4</v>
      </c>
      <c r="L6" s="2">
        <v>53029</v>
      </c>
      <c r="M6" s="3" t="s">
        <v>81</v>
      </c>
    </row>
    <row r="7" spans="2:13" x14ac:dyDescent="0.2">
      <c r="B7" t="s">
        <v>107</v>
      </c>
      <c r="K7" t="s">
        <v>5</v>
      </c>
      <c r="L7" s="2">
        <f>+L4-L5+L6</f>
        <v>110013.85999999999</v>
      </c>
    </row>
    <row r="8" spans="2:13" x14ac:dyDescent="0.2">
      <c r="B8" t="s">
        <v>108</v>
      </c>
      <c r="M8" s="2"/>
    </row>
    <row r="9" spans="2:13" x14ac:dyDescent="0.2">
      <c r="B9" t="s">
        <v>145</v>
      </c>
      <c r="M9" s="2"/>
    </row>
    <row r="10" spans="2:13" x14ac:dyDescent="0.2">
      <c r="L10" s="2"/>
    </row>
    <row r="11" spans="2:13" x14ac:dyDescent="0.2">
      <c r="B11" s="13" t="s">
        <v>69</v>
      </c>
    </row>
    <row r="12" spans="2:13" x14ac:dyDescent="0.2">
      <c r="B12" t="s">
        <v>62</v>
      </c>
    </row>
    <row r="13" spans="2:13" x14ac:dyDescent="0.2">
      <c r="B13" t="s">
        <v>68</v>
      </c>
      <c r="K13" t="s">
        <v>61</v>
      </c>
    </row>
    <row r="14" spans="2:13" x14ac:dyDescent="0.2">
      <c r="B14" t="s">
        <v>132</v>
      </c>
      <c r="K14" t="s">
        <v>79</v>
      </c>
    </row>
    <row r="15" spans="2:13" x14ac:dyDescent="0.2">
      <c r="B15" t="s">
        <v>133</v>
      </c>
    </row>
    <row r="18" spans="2:9" x14ac:dyDescent="0.2">
      <c r="B18" t="s">
        <v>52</v>
      </c>
      <c r="I18" s="13" t="s">
        <v>138</v>
      </c>
    </row>
    <row r="19" spans="2:9" x14ac:dyDescent="0.2">
      <c r="B19" t="s">
        <v>51</v>
      </c>
      <c r="I19" t="s">
        <v>139</v>
      </c>
    </row>
    <row r="21" spans="2:9" x14ac:dyDescent="0.2">
      <c r="B21" s="13" t="s">
        <v>134</v>
      </c>
      <c r="I21" s="13" t="s">
        <v>140</v>
      </c>
    </row>
    <row r="22" spans="2:9" x14ac:dyDescent="0.2">
      <c r="B22" t="s">
        <v>137</v>
      </c>
      <c r="I22" t="s">
        <v>141</v>
      </c>
    </row>
    <row r="23" spans="2:9" x14ac:dyDescent="0.2">
      <c r="B23" t="s">
        <v>135</v>
      </c>
    </row>
    <row r="24" spans="2:9" x14ac:dyDescent="0.2">
      <c r="B24" t="s">
        <v>136</v>
      </c>
    </row>
    <row r="27" spans="2:9" x14ac:dyDescent="0.2">
      <c r="B27" t="s">
        <v>64</v>
      </c>
    </row>
    <row r="28" spans="2:9" x14ac:dyDescent="0.2">
      <c r="B28" s="12" t="s">
        <v>142</v>
      </c>
    </row>
    <row r="29" spans="2:9" x14ac:dyDescent="0.2">
      <c r="B29" t="s">
        <v>65</v>
      </c>
    </row>
    <row r="32" spans="2:9" x14ac:dyDescent="0.2">
      <c r="B32" t="s">
        <v>143</v>
      </c>
    </row>
    <row r="33" spans="2:2" x14ac:dyDescent="0.2">
      <c r="B3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04B-6226-42F4-9686-EE1156E609DE}">
  <dimension ref="A1:ED76"/>
  <sheetViews>
    <sheetView zoomScale="160" zoomScaleNormal="16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R15" sqref="AR15"/>
    </sheetView>
  </sheetViews>
  <sheetFormatPr defaultRowHeight="12.75" x14ac:dyDescent="0.2"/>
  <cols>
    <col min="1" max="1" width="5" bestFit="1" customWidth="1"/>
    <col min="2" max="2" width="18.140625" bestFit="1" customWidth="1"/>
    <col min="3" max="24" width="9.140625" style="3"/>
    <col min="60" max="60" width="10.7109375" customWidth="1"/>
  </cols>
  <sheetData>
    <row r="1" spans="1:61" x14ac:dyDescent="0.2">
      <c r="A1" s="11" t="s">
        <v>7</v>
      </c>
    </row>
    <row r="2" spans="1:6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6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80</v>
      </c>
      <c r="T2" s="3" t="s">
        <v>81</v>
      </c>
      <c r="U2" s="3" t="s">
        <v>82</v>
      </c>
      <c r="V2" s="3" t="s">
        <v>83</v>
      </c>
      <c r="Z2">
        <v>2005</v>
      </c>
      <c r="AA2">
        <v>2006</v>
      </c>
      <c r="AB2">
        <v>2007</v>
      </c>
      <c r="AC2">
        <v>2008</v>
      </c>
      <c r="AD2">
        <v>2009</v>
      </c>
      <c r="AE2">
        <v>2010</v>
      </c>
      <c r="AF2">
        <v>2011</v>
      </c>
      <c r="AG2">
        <v>2012</v>
      </c>
      <c r="AH2">
        <v>2013</v>
      </c>
      <c r="AI2">
        <v>2014</v>
      </c>
      <c r="AJ2">
        <v>2015</v>
      </c>
      <c r="AK2">
        <v>2016</v>
      </c>
      <c r="AL2">
        <v>2017</v>
      </c>
      <c r="AM2">
        <v>2018</v>
      </c>
      <c r="AN2">
        <v>2019</v>
      </c>
      <c r="AO2">
        <v>2020</v>
      </c>
      <c r="AP2">
        <f>+AO2+1</f>
        <v>2021</v>
      </c>
      <c r="AQ2">
        <f>+AP2+1</f>
        <v>2022</v>
      </c>
      <c r="AR2">
        <v>2023</v>
      </c>
      <c r="AS2">
        <f>+AR2+1</f>
        <v>2024</v>
      </c>
      <c r="AT2">
        <f t="shared" ref="AT2:BI2" si="0">+AS2+1</f>
        <v>2025</v>
      </c>
      <c r="AU2">
        <f t="shared" si="0"/>
        <v>2026</v>
      </c>
      <c r="AV2">
        <f t="shared" si="0"/>
        <v>2027</v>
      </c>
      <c r="AW2">
        <f t="shared" si="0"/>
        <v>2028</v>
      </c>
      <c r="AX2">
        <f t="shared" si="0"/>
        <v>2029</v>
      </c>
      <c r="AY2">
        <f t="shared" si="0"/>
        <v>2030</v>
      </c>
      <c r="AZ2">
        <f t="shared" si="0"/>
        <v>2031</v>
      </c>
      <c r="BA2">
        <f t="shared" si="0"/>
        <v>2032</v>
      </c>
      <c r="BB2">
        <f t="shared" si="0"/>
        <v>2033</v>
      </c>
      <c r="BC2">
        <f t="shared" si="0"/>
        <v>2034</v>
      </c>
      <c r="BD2">
        <f t="shared" si="0"/>
        <v>2035</v>
      </c>
      <c r="BE2">
        <f t="shared" si="0"/>
        <v>2036</v>
      </c>
      <c r="BF2">
        <f t="shared" si="0"/>
        <v>2037</v>
      </c>
      <c r="BG2">
        <f t="shared" si="0"/>
        <v>2038</v>
      </c>
      <c r="BH2">
        <f t="shared" si="0"/>
        <v>2039</v>
      </c>
      <c r="BI2">
        <f t="shared" si="0"/>
        <v>2040</v>
      </c>
    </row>
    <row r="3" spans="1:61" x14ac:dyDescent="0.2">
      <c r="B3" t="s">
        <v>71</v>
      </c>
      <c r="AN3" s="2">
        <f>+AN5+AN6+AN22</f>
        <v>89614</v>
      </c>
      <c r="AO3" s="2">
        <f>+AO5+AO6+AO22</f>
        <v>104305</v>
      </c>
      <c r="AP3" s="2">
        <f>+AP5+AP6+AP22</f>
        <v>122372</v>
      </c>
      <c r="AQ3" s="2">
        <f>+AQ5+AQ6+AQ22</f>
        <v>106411</v>
      </c>
      <c r="AR3" s="2">
        <f t="shared" ref="AR3" si="1">+AR5+AR6+AR22</f>
        <v>102351</v>
      </c>
      <c r="AS3" s="2">
        <f>+AR3*1.05</f>
        <v>107468.55</v>
      </c>
      <c r="AT3" s="2">
        <f t="shared" ref="AT3:BD3" si="2">+AS3*1.05</f>
        <v>112841.97750000001</v>
      </c>
      <c r="AU3" s="2">
        <f t="shared" si="2"/>
        <v>118484.07637500002</v>
      </c>
      <c r="AV3" s="2">
        <f t="shared" si="2"/>
        <v>124408.28019375002</v>
      </c>
      <c r="AW3" s="2">
        <f t="shared" si="2"/>
        <v>130628.69420343752</v>
      </c>
      <c r="AX3" s="2">
        <f t="shared" si="2"/>
        <v>137160.1289136094</v>
      </c>
      <c r="AY3" s="2">
        <f t="shared" si="2"/>
        <v>144018.13535928988</v>
      </c>
      <c r="AZ3" s="2">
        <f t="shared" si="2"/>
        <v>151219.04212725439</v>
      </c>
      <c r="BA3" s="2">
        <f t="shared" si="2"/>
        <v>158779.99423361712</v>
      </c>
      <c r="BB3" s="2">
        <f t="shared" si="2"/>
        <v>166718.99394529799</v>
      </c>
      <c r="BC3" s="2">
        <f t="shared" si="2"/>
        <v>175054.9436425629</v>
      </c>
      <c r="BD3" s="2">
        <f t="shared" si="2"/>
        <v>183807.69082469106</v>
      </c>
    </row>
    <row r="4" spans="1:61" x14ac:dyDescent="0.2">
      <c r="B4" t="s">
        <v>72</v>
      </c>
      <c r="AN4" s="18">
        <f>+AN22/AN3</f>
        <v>0.80305532617671349</v>
      </c>
      <c r="AO4" s="18">
        <f>+AO22/AO3</f>
        <v>0.74653180576194811</v>
      </c>
      <c r="AP4" s="18">
        <f>+AP22/AP3</f>
        <v>0.64576863988494104</v>
      </c>
      <c r="AQ4" s="18">
        <f>+AQ22/AQ3</f>
        <v>0.59255152192912386</v>
      </c>
      <c r="AR4" s="18">
        <f>+AR22/AR3</f>
        <v>0.52982384148664885</v>
      </c>
      <c r="AS4" s="4">
        <v>0.51</v>
      </c>
      <c r="AT4" s="4">
        <v>0.52</v>
      </c>
      <c r="AU4" s="4">
        <v>0.53</v>
      </c>
      <c r="AV4" s="4">
        <v>0.53</v>
      </c>
      <c r="AW4" s="4">
        <v>0.54</v>
      </c>
      <c r="AX4" s="4">
        <v>0.54</v>
      </c>
      <c r="AY4" s="4">
        <v>0.54</v>
      </c>
      <c r="AZ4" s="4">
        <v>0.55000000000000004</v>
      </c>
      <c r="BA4" s="4">
        <v>0.56000000000000005</v>
      </c>
      <c r="BB4" s="4">
        <v>0.56000000000000005</v>
      </c>
      <c r="BC4" s="4">
        <v>0.56000000000000005</v>
      </c>
      <c r="BD4" s="4">
        <v>0.56000000000000005</v>
      </c>
    </row>
    <row r="5" spans="1:61" s="8" customFormat="1" x14ac:dyDescent="0.2">
      <c r="B5" s="8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N5" s="10">
        <v>10918</v>
      </c>
      <c r="AO5" s="10">
        <v>16675</v>
      </c>
      <c r="AP5" s="10">
        <v>26914</v>
      </c>
      <c r="AQ5" s="10">
        <v>26923</v>
      </c>
      <c r="AR5" s="10">
        <f>+AQ5</f>
        <v>26923</v>
      </c>
    </row>
    <row r="6" spans="1:61" s="8" customFormat="1" x14ac:dyDescent="0.2">
      <c r="B6" s="8" t="s">
        <v>70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AH6" s="10">
        <v>5299</v>
      </c>
      <c r="AI6" s="10">
        <v>5506</v>
      </c>
      <c r="AJ6" s="10">
        <v>3991</v>
      </c>
      <c r="AK6" s="10">
        <v>4272</v>
      </c>
      <c r="AL6" s="10">
        <v>5329</v>
      </c>
      <c r="AM6" s="10">
        <v>6475</v>
      </c>
      <c r="AN6" s="10">
        <v>6731</v>
      </c>
      <c r="AO6" s="10">
        <v>9763</v>
      </c>
      <c r="AP6" s="10">
        <v>16434</v>
      </c>
      <c r="AQ6" s="10">
        <f>+AP6</f>
        <v>16434</v>
      </c>
      <c r="AR6" s="10">
        <f>5300*4</f>
        <v>21200</v>
      </c>
    </row>
    <row r="7" spans="1:61" s="8" customFormat="1" x14ac:dyDescent="0.2">
      <c r="B7" s="8" t="s">
        <v>98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N7" s="10"/>
      <c r="AO7" s="10"/>
      <c r="AP7" s="10"/>
      <c r="AQ7" s="10"/>
      <c r="AR7" s="10"/>
    </row>
    <row r="8" spans="1:61" s="8" customFormat="1" x14ac:dyDescent="0.2">
      <c r="B8" s="8" t="s">
        <v>99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AN8" s="10"/>
      <c r="AO8" s="10"/>
      <c r="AP8" s="10"/>
      <c r="AQ8" s="10"/>
      <c r="AR8" s="10"/>
    </row>
    <row r="9" spans="1:61" s="8" customFormat="1" x14ac:dyDescent="0.2">
      <c r="B9" s="8" t="s">
        <v>101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AH9" s="10">
        <f>+AH6+AH22</f>
        <v>58007</v>
      </c>
      <c r="AI9" s="10">
        <f t="shared" ref="AI9:AR9" si="3">+AI6+AI22</f>
        <v>61376</v>
      </c>
      <c r="AJ9" s="10">
        <f t="shared" si="3"/>
        <v>59346</v>
      </c>
      <c r="AK9" s="10">
        <f t="shared" si="3"/>
        <v>63659</v>
      </c>
      <c r="AL9" s="10">
        <f t="shared" si="3"/>
        <v>68090</v>
      </c>
      <c r="AM9" s="10">
        <f t="shared" si="3"/>
        <v>77323</v>
      </c>
      <c r="AN9" s="10">
        <f t="shared" si="3"/>
        <v>78696</v>
      </c>
      <c r="AO9" s="10">
        <f t="shared" si="3"/>
        <v>87630</v>
      </c>
      <c r="AP9" s="10">
        <f t="shared" si="3"/>
        <v>95458</v>
      </c>
      <c r="AQ9" s="10">
        <f t="shared" si="3"/>
        <v>79488</v>
      </c>
      <c r="AR9" s="10">
        <f t="shared" si="3"/>
        <v>75428</v>
      </c>
    </row>
    <row r="10" spans="1:61" s="8" customFormat="1" x14ac:dyDescent="0.2">
      <c r="B10" s="8" t="s">
        <v>102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AH10" s="18">
        <f>+AH22/AH9</f>
        <v>0.90864895616046337</v>
      </c>
      <c r="AI10" s="18">
        <f t="shared" ref="AI10:AR10" si="4">+AI22/AI9</f>
        <v>0.91029066736183528</v>
      </c>
      <c r="AJ10" s="18">
        <f t="shared" si="4"/>
        <v>0.93275031173120349</v>
      </c>
      <c r="AK10" s="18">
        <f t="shared" si="4"/>
        <v>0.93289244254543746</v>
      </c>
      <c r="AL10" s="18">
        <f t="shared" si="4"/>
        <v>0.92173593772947571</v>
      </c>
      <c r="AM10" s="18">
        <f t="shared" si="4"/>
        <v>0.91626036237600716</v>
      </c>
      <c r="AN10" s="18">
        <f t="shared" si="4"/>
        <v>0.91446833384161841</v>
      </c>
      <c r="AO10" s="18">
        <f t="shared" si="4"/>
        <v>0.88858838297386744</v>
      </c>
      <c r="AP10" s="18">
        <f t="shared" si="4"/>
        <v>0.82784051624798338</v>
      </c>
      <c r="AQ10" s="18">
        <f t="shared" si="4"/>
        <v>0.79325181159420288</v>
      </c>
      <c r="AR10" s="18">
        <f t="shared" si="4"/>
        <v>0.71893726467624752</v>
      </c>
    </row>
    <row r="11" spans="1:61" s="8" customFormat="1" x14ac:dyDescent="0.2">
      <c r="B11" s="8" t="s">
        <v>100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AA11" s="10">
        <v>239.2</v>
      </c>
      <c r="AB11" s="10">
        <v>272.45</v>
      </c>
      <c r="AC11" s="10">
        <v>290.8</v>
      </c>
      <c r="AD11" s="10">
        <v>308.33999999999997</v>
      </c>
      <c r="AE11" s="10">
        <v>350.9</v>
      </c>
      <c r="AF11" s="10">
        <v>365.36</v>
      </c>
      <c r="AG11" s="10">
        <v>351.06</v>
      </c>
      <c r="AH11" s="10">
        <v>316.39999999999998</v>
      </c>
      <c r="AI11" s="10">
        <v>313.68</v>
      </c>
      <c r="AJ11" s="10">
        <v>287.68</v>
      </c>
      <c r="AK11" s="10">
        <v>269.7</v>
      </c>
      <c r="AL11" s="10">
        <v>262.60000000000002</v>
      </c>
      <c r="AM11" s="10">
        <v>259.7</v>
      </c>
      <c r="AN11" s="10">
        <v>262.55</v>
      </c>
      <c r="AO11" s="10">
        <v>309.08</v>
      </c>
      <c r="AP11" s="10">
        <v>341.73</v>
      </c>
      <c r="AQ11" s="10">
        <v>284.05</v>
      </c>
      <c r="AR11" s="10">
        <v>241.89</v>
      </c>
    </row>
    <row r="12" spans="1:61" s="8" customFormat="1" x14ac:dyDescent="0.2">
      <c r="B12" s="8" t="s">
        <v>104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AA12" s="20">
        <f>+AA22/AA11</f>
        <v>147.91806020066889</v>
      </c>
      <c r="AB12" s="20">
        <f t="shared" ref="AB12:AR12" si="5">+AB22/AB11</f>
        <v>140.7010460634979</v>
      </c>
      <c r="AC12" s="20">
        <f t="shared" si="5"/>
        <v>129.2503438789546</v>
      </c>
      <c r="AD12" s="20">
        <f t="shared" si="5"/>
        <v>113.92294220665499</v>
      </c>
      <c r="AE12" s="20">
        <f t="shared" si="5"/>
        <v>124.31746936449132</v>
      </c>
      <c r="AF12" s="20">
        <f t="shared" si="5"/>
        <v>147.79669367199475</v>
      </c>
      <c r="AG12" s="20">
        <f t="shared" si="5"/>
        <v>151.94268785962512</v>
      </c>
      <c r="AH12" s="20">
        <f t="shared" si="5"/>
        <v>166.5865992414665</v>
      </c>
      <c r="AI12" s="20">
        <f t="shared" si="5"/>
        <v>178.11145116041826</v>
      </c>
      <c r="AJ12" s="20">
        <f t="shared" si="5"/>
        <v>192.41865962180199</v>
      </c>
      <c r="AK12" s="20">
        <f t="shared" si="5"/>
        <v>220.19651464590285</v>
      </c>
      <c r="AL12" s="20">
        <f t="shared" si="5"/>
        <v>238.99847677075397</v>
      </c>
      <c r="AM12" s="20">
        <f t="shared" si="5"/>
        <v>272.80708509819021</v>
      </c>
      <c r="AN12" s="20">
        <f t="shared" si="5"/>
        <v>274.10017139592458</v>
      </c>
      <c r="AO12" s="20">
        <f t="shared" si="5"/>
        <v>251.93153876019156</v>
      </c>
      <c r="AP12" s="20">
        <f t="shared" si="5"/>
        <v>231.24689082023818</v>
      </c>
      <c r="AQ12" s="20">
        <f t="shared" si="5"/>
        <v>221.9820454145397</v>
      </c>
      <c r="AR12" s="20">
        <f t="shared" si="5"/>
        <v>224.18454669477862</v>
      </c>
    </row>
    <row r="13" spans="1:61" s="8" customFormat="1" x14ac:dyDescent="0.2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AO13" s="10"/>
      <c r="AP13" s="10"/>
      <c r="AQ13" s="10"/>
    </row>
    <row r="14" spans="1:61" x14ac:dyDescent="0.2">
      <c r="B14" t="s">
        <v>60</v>
      </c>
      <c r="P14" s="5">
        <v>4172</v>
      </c>
      <c r="T14" s="5">
        <v>4320</v>
      </c>
      <c r="AO14" s="2">
        <v>700</v>
      </c>
      <c r="AP14" s="2">
        <v>800</v>
      </c>
      <c r="AQ14" s="2">
        <v>900</v>
      </c>
    </row>
    <row r="15" spans="1:61" x14ac:dyDescent="0.2">
      <c r="B15" t="s">
        <v>59</v>
      </c>
      <c r="P15" s="3">
        <v>848</v>
      </c>
      <c r="T15" s="3">
        <v>361</v>
      </c>
      <c r="AO15" s="2">
        <v>700</v>
      </c>
      <c r="AP15" s="2">
        <v>800</v>
      </c>
      <c r="AQ15" s="2">
        <v>800</v>
      </c>
    </row>
    <row r="16" spans="1:61" x14ac:dyDescent="0.2">
      <c r="B16" t="s">
        <v>58</v>
      </c>
      <c r="P16" s="5">
        <v>454</v>
      </c>
      <c r="T16" s="5">
        <v>440</v>
      </c>
      <c r="AO16" s="2">
        <v>1000</v>
      </c>
      <c r="AP16" s="2">
        <v>1400</v>
      </c>
      <c r="AQ16" s="2">
        <v>1900</v>
      </c>
    </row>
    <row r="17" spans="2:134" x14ac:dyDescent="0.2">
      <c r="B17" t="s">
        <v>57</v>
      </c>
      <c r="P17" s="5">
        <v>1364</v>
      </c>
      <c r="T17" s="5">
        <v>1344</v>
      </c>
      <c r="AO17" s="2">
        <v>7100</v>
      </c>
      <c r="AP17" s="2">
        <v>8000</v>
      </c>
      <c r="AQ17" s="2">
        <v>8900</v>
      </c>
    </row>
    <row r="18" spans="2:134" x14ac:dyDescent="0.2">
      <c r="B18" t="s">
        <v>56</v>
      </c>
      <c r="P18" s="5">
        <v>3155</v>
      </c>
      <c r="Q18" s="5"/>
      <c r="R18" s="5"/>
      <c r="S18" s="5"/>
      <c r="T18" s="5">
        <v>3045</v>
      </c>
      <c r="AO18" s="2">
        <v>23400</v>
      </c>
      <c r="AP18" s="2">
        <v>22700</v>
      </c>
      <c r="AQ18" s="2">
        <v>19200</v>
      </c>
    </row>
    <row r="19" spans="2:134" x14ac:dyDescent="0.2">
      <c r="B19" t="s">
        <v>55</v>
      </c>
      <c r="P19" s="3">
        <v>514</v>
      </c>
      <c r="T19" s="3">
        <v>403</v>
      </c>
      <c r="AO19" s="2">
        <v>4500</v>
      </c>
      <c r="AP19" s="2">
        <v>3200</v>
      </c>
      <c r="AQ19" s="2">
        <v>2300</v>
      </c>
    </row>
    <row r="20" spans="2:134" s="2" customFormat="1" x14ac:dyDescent="0.2">
      <c r="B20" s="2" t="s">
        <v>54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>
        <v>2370</v>
      </c>
      <c r="Q20" s="5"/>
      <c r="R20" s="5"/>
      <c r="S20" s="5"/>
      <c r="T20" s="5">
        <v>2527</v>
      </c>
      <c r="U20" s="5"/>
      <c r="V20" s="5"/>
      <c r="W20" s="5"/>
      <c r="X20" s="5"/>
      <c r="AO20" s="2">
        <v>11200</v>
      </c>
      <c r="AP20" s="2">
        <v>12400</v>
      </c>
      <c r="AQ20" s="2">
        <v>10700</v>
      </c>
    </row>
    <row r="21" spans="2:134" s="2" customFormat="1" x14ac:dyDescent="0.2">
      <c r="B21" s="2" t="s">
        <v>53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>
        <v>3896</v>
      </c>
      <c r="Q21" s="5"/>
      <c r="R21" s="5"/>
      <c r="S21" s="5"/>
      <c r="T21" s="5">
        <v>4480</v>
      </c>
      <c r="U21" s="5"/>
      <c r="V21" s="5"/>
      <c r="W21" s="5"/>
      <c r="X21" s="5"/>
      <c r="AO21" s="2">
        <v>24900</v>
      </c>
      <c r="AP21" s="2">
        <v>25400</v>
      </c>
      <c r="AQ21" s="2">
        <v>18800</v>
      </c>
    </row>
    <row r="22" spans="2:134" s="6" customFormat="1" x14ac:dyDescent="0.2">
      <c r="B22" s="6" t="s">
        <v>8</v>
      </c>
      <c r="C22" s="7"/>
      <c r="D22" s="7"/>
      <c r="E22" s="7"/>
      <c r="F22" s="7"/>
      <c r="G22" s="7">
        <v>19673</v>
      </c>
      <c r="H22" s="7">
        <v>19631</v>
      </c>
      <c r="I22" s="7">
        <v>19192</v>
      </c>
      <c r="J22" s="7">
        <v>20528</v>
      </c>
      <c r="K22" s="7">
        <v>18353</v>
      </c>
      <c r="L22" s="7">
        <v>15321</v>
      </c>
      <c r="M22" s="7">
        <v>15338</v>
      </c>
      <c r="N22" s="7">
        <v>14042</v>
      </c>
      <c r="O22" s="7">
        <v>11715</v>
      </c>
      <c r="P22" s="7">
        <v>12949</v>
      </c>
      <c r="Q22" s="7">
        <v>14158</v>
      </c>
      <c r="R22" s="7">
        <v>15406</v>
      </c>
      <c r="S22" s="7">
        <v>12724</v>
      </c>
      <c r="T22" s="7">
        <v>12833</v>
      </c>
      <c r="U22" s="7">
        <v>13000</v>
      </c>
      <c r="V22" s="7">
        <f>+R22*0.9</f>
        <v>13865.4</v>
      </c>
      <c r="W22" s="7"/>
      <c r="X22" s="7"/>
      <c r="Z22" s="6">
        <v>38826</v>
      </c>
      <c r="AA22" s="6">
        <v>35382</v>
      </c>
      <c r="AB22" s="6">
        <v>38334</v>
      </c>
      <c r="AC22" s="6">
        <v>37586</v>
      </c>
      <c r="AD22" s="6">
        <v>35127</v>
      </c>
      <c r="AE22" s="6">
        <v>43623</v>
      </c>
      <c r="AF22" s="6">
        <v>53999</v>
      </c>
      <c r="AG22" s="6">
        <v>53341</v>
      </c>
      <c r="AH22" s="6">
        <v>52708</v>
      </c>
      <c r="AI22" s="6">
        <v>55870</v>
      </c>
      <c r="AJ22" s="6">
        <v>55355</v>
      </c>
      <c r="AK22" s="6">
        <v>59387</v>
      </c>
      <c r="AL22" s="6">
        <v>62761</v>
      </c>
      <c r="AM22" s="6">
        <v>70848</v>
      </c>
      <c r="AN22" s="6">
        <v>71965</v>
      </c>
      <c r="AO22" s="6">
        <v>77867</v>
      </c>
      <c r="AP22" s="6">
        <v>79024</v>
      </c>
      <c r="AQ22" s="6">
        <v>63054</v>
      </c>
      <c r="AR22" s="6">
        <f>SUM(O22:R22)</f>
        <v>54228</v>
      </c>
      <c r="AS22" s="6">
        <f>SUM(S22:V22)</f>
        <v>52422.400000000001</v>
      </c>
      <c r="AT22" s="6">
        <f t="shared" ref="AT22:BD22" si="6">+AT4*AT3</f>
        <v>58677.828300000008</v>
      </c>
      <c r="AU22" s="6">
        <f t="shared" si="6"/>
        <v>62796.560478750012</v>
      </c>
      <c r="AV22" s="6">
        <f t="shared" si="6"/>
        <v>65936.388502687507</v>
      </c>
      <c r="AW22" s="6">
        <f t="shared" si="6"/>
        <v>70539.494869856266</v>
      </c>
      <c r="AX22" s="6">
        <f t="shared" si="6"/>
        <v>74066.46961334908</v>
      </c>
      <c r="AY22" s="6">
        <f t="shared" si="6"/>
        <v>77769.793094016539</v>
      </c>
      <c r="AZ22" s="6">
        <f t="shared" si="6"/>
        <v>83170.473169989928</v>
      </c>
      <c r="BA22" s="6">
        <f t="shared" si="6"/>
        <v>88916.796770825604</v>
      </c>
      <c r="BB22" s="6">
        <f t="shared" si="6"/>
        <v>93362.636609366877</v>
      </c>
      <c r="BC22" s="6">
        <f t="shared" si="6"/>
        <v>98030.768439835228</v>
      </c>
      <c r="BD22" s="6">
        <f t="shared" si="6"/>
        <v>102932.306861827</v>
      </c>
    </row>
    <row r="23" spans="2:134" s="2" customFormat="1" x14ac:dyDescent="0.2">
      <c r="B23" s="2" t="s">
        <v>26</v>
      </c>
      <c r="C23" s="5"/>
      <c r="D23" s="5"/>
      <c r="E23" s="5"/>
      <c r="F23" s="5"/>
      <c r="G23" s="5">
        <v>8819</v>
      </c>
      <c r="H23" s="5">
        <v>8425</v>
      </c>
      <c r="I23" s="5">
        <v>8446</v>
      </c>
      <c r="J23" s="5">
        <v>9519</v>
      </c>
      <c r="K23" s="5">
        <v>9109</v>
      </c>
      <c r="L23" s="5">
        <v>9734</v>
      </c>
      <c r="M23" s="5">
        <v>8803</v>
      </c>
      <c r="N23" s="5">
        <v>8542</v>
      </c>
      <c r="O23" s="5">
        <v>7707</v>
      </c>
      <c r="P23" s="5">
        <v>8311</v>
      </c>
      <c r="Q23" s="5">
        <v>8140</v>
      </c>
      <c r="R23" s="5">
        <v>8359</v>
      </c>
      <c r="S23" s="5">
        <v>7507</v>
      </c>
      <c r="T23" s="5">
        <v>8286</v>
      </c>
      <c r="U23" s="5">
        <f>+U22-U24</f>
        <v>7800</v>
      </c>
      <c r="V23" s="5">
        <f>+V22-V24</f>
        <v>8319.24</v>
      </c>
      <c r="W23" s="5"/>
      <c r="X23" s="5"/>
      <c r="Z23" s="2">
        <v>15777</v>
      </c>
      <c r="AA23" s="2">
        <v>17164</v>
      </c>
      <c r="AB23" s="2">
        <v>18430</v>
      </c>
      <c r="AC23" s="2">
        <v>16742</v>
      </c>
      <c r="AD23" s="2">
        <v>15566</v>
      </c>
      <c r="AE23" s="2">
        <v>15132</v>
      </c>
      <c r="AF23" s="2">
        <v>20242</v>
      </c>
      <c r="AG23" s="2">
        <v>20190</v>
      </c>
      <c r="AH23" s="2">
        <v>21187</v>
      </c>
      <c r="AI23" s="2">
        <v>20261</v>
      </c>
      <c r="AJ23" s="2">
        <v>20676</v>
      </c>
      <c r="AK23" s="2">
        <v>23196</v>
      </c>
      <c r="AL23" s="2">
        <v>23692</v>
      </c>
      <c r="AM23" s="2">
        <v>27111</v>
      </c>
      <c r="AN23" s="2">
        <v>29825</v>
      </c>
      <c r="AO23" s="2">
        <v>34255</v>
      </c>
      <c r="AP23" s="2">
        <v>35209</v>
      </c>
      <c r="AQ23" s="2">
        <v>36188</v>
      </c>
      <c r="AR23" s="2">
        <f>SUM(O23:R23)</f>
        <v>32517</v>
      </c>
      <c r="AS23" s="2">
        <f>SUM(S23:V23)</f>
        <v>31912.239999999998</v>
      </c>
    </row>
    <row r="24" spans="2:134" s="2" customFormat="1" x14ac:dyDescent="0.2">
      <c r="B24" s="2" t="s">
        <v>25</v>
      </c>
      <c r="C24" s="5"/>
      <c r="D24" s="5"/>
      <c r="E24" s="5"/>
      <c r="F24" s="5"/>
      <c r="G24" s="5">
        <f t="shared" ref="G24:N24" si="7">+G22-G23</f>
        <v>10854</v>
      </c>
      <c r="H24" s="5">
        <f t="shared" si="7"/>
        <v>11206</v>
      </c>
      <c r="I24" s="5">
        <f t="shared" si="7"/>
        <v>10746</v>
      </c>
      <c r="J24" s="5">
        <f t="shared" si="7"/>
        <v>11009</v>
      </c>
      <c r="K24" s="5">
        <f t="shared" si="7"/>
        <v>9244</v>
      </c>
      <c r="L24" s="5">
        <f t="shared" si="7"/>
        <v>5587</v>
      </c>
      <c r="M24" s="5">
        <f t="shared" si="7"/>
        <v>6535</v>
      </c>
      <c r="N24" s="5">
        <f t="shared" si="7"/>
        <v>5500</v>
      </c>
      <c r="O24" s="5">
        <f t="shared" ref="O24:T24" si="8">+O22-O23</f>
        <v>4008</v>
      </c>
      <c r="P24" s="5">
        <f t="shared" si="8"/>
        <v>4638</v>
      </c>
      <c r="Q24" s="5">
        <f t="shared" si="8"/>
        <v>6018</v>
      </c>
      <c r="R24" s="5">
        <f t="shared" si="8"/>
        <v>7047</v>
      </c>
      <c r="S24" s="5">
        <f t="shared" si="8"/>
        <v>5217</v>
      </c>
      <c r="T24" s="5">
        <f t="shared" si="8"/>
        <v>4547</v>
      </c>
      <c r="U24" s="5">
        <f>+U22*0.4</f>
        <v>5200</v>
      </c>
      <c r="V24" s="5">
        <f>+V22*0.4</f>
        <v>5546.16</v>
      </c>
      <c r="W24" s="5"/>
      <c r="X24" s="5"/>
      <c r="Z24" s="2">
        <f>+Z22-Z23</f>
        <v>23049</v>
      </c>
      <c r="AA24" s="2">
        <f>+AA22-AA23</f>
        <v>18218</v>
      </c>
      <c r="AB24" s="2">
        <f>+AB22-AB23</f>
        <v>19904</v>
      </c>
      <c r="AC24" s="2">
        <f>+AC22-AC23</f>
        <v>20844</v>
      </c>
      <c r="AD24" s="2">
        <f t="shared" ref="AD24" si="9">+AD22-AD23</f>
        <v>19561</v>
      </c>
      <c r="AE24" s="2">
        <f t="shared" ref="AE24" si="10">+AE22-AE23</f>
        <v>28491</v>
      </c>
      <c r="AF24" s="2">
        <f t="shared" ref="AF24" si="11">+AF22-AF23</f>
        <v>33757</v>
      </c>
      <c r="AG24" s="2">
        <f t="shared" ref="AG24" si="12">+AG22-AG23</f>
        <v>33151</v>
      </c>
      <c r="AH24" s="2">
        <f t="shared" ref="AH24:AQ24" si="13">+AH22-AH23</f>
        <v>31521</v>
      </c>
      <c r="AI24" s="2">
        <f t="shared" si="13"/>
        <v>35609</v>
      </c>
      <c r="AJ24" s="2">
        <f t="shared" si="13"/>
        <v>34679</v>
      </c>
      <c r="AK24" s="2">
        <f t="shared" si="13"/>
        <v>36191</v>
      </c>
      <c r="AL24" s="2">
        <f t="shared" si="13"/>
        <v>39069</v>
      </c>
      <c r="AM24" s="2">
        <f t="shared" si="13"/>
        <v>43737</v>
      </c>
      <c r="AN24" s="2">
        <f t="shared" si="13"/>
        <v>42140</v>
      </c>
      <c r="AO24" s="2">
        <f t="shared" si="13"/>
        <v>43612</v>
      </c>
      <c r="AP24" s="2">
        <f t="shared" si="13"/>
        <v>43815</v>
      </c>
      <c r="AQ24" s="2">
        <f t="shared" si="13"/>
        <v>26866</v>
      </c>
      <c r="AR24" s="2">
        <f>+AR22-AR23</f>
        <v>21711</v>
      </c>
      <c r="AS24" s="2">
        <f>SUM(S24:V24)</f>
        <v>20510.16</v>
      </c>
      <c r="AT24" s="2">
        <f>+AT22*0.48</f>
        <v>28165.357584000001</v>
      </c>
      <c r="AU24" s="2">
        <f>+AU22*0.48</f>
        <v>30142.349029800003</v>
      </c>
      <c r="AV24" s="2">
        <f>+AV22*0.49</f>
        <v>32308.830366316877</v>
      </c>
      <c r="AW24" s="2">
        <f>+AW22*0.49</f>
        <v>34564.352486229567</v>
      </c>
      <c r="AX24" s="2">
        <f>+AX22*0.5</f>
        <v>37033.23480667454</v>
      </c>
      <c r="AY24" s="2">
        <f>+AY22*0.5</f>
        <v>38884.896547008269</v>
      </c>
      <c r="AZ24" s="2">
        <f>+AZ22*0.51</f>
        <v>42416.941316694865</v>
      </c>
      <c r="BA24" s="2">
        <f>+BA22*0.51</f>
        <v>45347.566353121059</v>
      </c>
      <c r="BB24" s="2">
        <f>+BB22*0.52</f>
        <v>48548.571036870781</v>
      </c>
      <c r="BC24" s="2">
        <f>+BC22*0.52</f>
        <v>50975.999588714323</v>
      </c>
      <c r="BD24" s="2">
        <f>+BD22*0.53</f>
        <v>54554.122636768312</v>
      </c>
    </row>
    <row r="25" spans="2:134" x14ac:dyDescent="0.2">
      <c r="B25" s="2" t="s">
        <v>27</v>
      </c>
      <c r="G25" s="5">
        <v>3623</v>
      </c>
      <c r="H25" s="5">
        <v>3715</v>
      </c>
      <c r="I25" s="5">
        <v>3803</v>
      </c>
      <c r="J25" s="5">
        <v>4049</v>
      </c>
      <c r="K25" s="5">
        <v>4362</v>
      </c>
      <c r="L25" s="5">
        <v>4400</v>
      </c>
      <c r="M25" s="5">
        <v>4302</v>
      </c>
      <c r="N25" s="5">
        <v>4464</v>
      </c>
      <c r="O25" s="5">
        <v>4109</v>
      </c>
      <c r="P25" s="5">
        <v>4080</v>
      </c>
      <c r="Q25" s="5">
        <v>3870</v>
      </c>
      <c r="R25" s="5">
        <v>3987</v>
      </c>
      <c r="S25" s="5">
        <v>4382</v>
      </c>
      <c r="T25" s="5">
        <v>4239</v>
      </c>
      <c r="U25" s="5">
        <v>4000</v>
      </c>
      <c r="V25" s="5">
        <v>3750</v>
      </c>
      <c r="Z25" s="2">
        <v>5145</v>
      </c>
      <c r="AA25" s="2">
        <v>5873</v>
      </c>
      <c r="AB25" s="2">
        <v>5755</v>
      </c>
      <c r="AC25" s="2">
        <v>5722</v>
      </c>
      <c r="AD25" s="2">
        <v>5653</v>
      </c>
      <c r="AE25" s="2">
        <v>6576</v>
      </c>
      <c r="AF25" s="2">
        <v>8350</v>
      </c>
      <c r="AG25" s="2">
        <v>10148</v>
      </c>
      <c r="AH25" s="2">
        <v>10611</v>
      </c>
      <c r="AI25" s="2">
        <v>11537</v>
      </c>
      <c r="AJ25" s="2">
        <v>12128</v>
      </c>
      <c r="AK25" s="2">
        <v>12740</v>
      </c>
      <c r="AL25" s="2">
        <v>13098</v>
      </c>
      <c r="AM25" s="2">
        <v>13543</v>
      </c>
      <c r="AN25" s="2">
        <v>13362</v>
      </c>
      <c r="AO25" s="2">
        <v>13556</v>
      </c>
      <c r="AP25" s="2">
        <v>15190</v>
      </c>
      <c r="AQ25" s="2">
        <v>17528</v>
      </c>
      <c r="AR25" s="2">
        <f>SUM(O25:R25)</f>
        <v>16046</v>
      </c>
      <c r="AS25" s="2">
        <f>SUM(S25:V25)</f>
        <v>16371</v>
      </c>
      <c r="AT25" s="2">
        <f t="shared" ref="AT25:BD25" si="14">+AS25*1.03</f>
        <v>16862.13</v>
      </c>
      <c r="AU25" s="2">
        <f t="shared" si="14"/>
        <v>17367.993900000001</v>
      </c>
      <c r="AV25" s="2">
        <f t="shared" si="14"/>
        <v>17889.033717000002</v>
      </c>
      <c r="AW25" s="2">
        <f t="shared" si="14"/>
        <v>18425.704728510002</v>
      </c>
      <c r="AX25" s="2">
        <f t="shared" si="14"/>
        <v>18978.475870365302</v>
      </c>
      <c r="AY25" s="2">
        <f t="shared" si="14"/>
        <v>19547.830146476263</v>
      </c>
      <c r="AZ25" s="2">
        <f t="shared" si="14"/>
        <v>20134.265050870552</v>
      </c>
      <c r="BA25" s="2">
        <f t="shared" si="14"/>
        <v>20738.293002396669</v>
      </c>
      <c r="BB25" s="2">
        <f t="shared" si="14"/>
        <v>21360.441792468569</v>
      </c>
      <c r="BC25" s="2">
        <f t="shared" si="14"/>
        <v>22001.255046242626</v>
      </c>
      <c r="BD25" s="2">
        <f t="shared" si="14"/>
        <v>22661.292697629906</v>
      </c>
    </row>
    <row r="26" spans="2:134" x14ac:dyDescent="0.2">
      <c r="B26" s="2" t="s">
        <v>28</v>
      </c>
      <c r="G26" s="5">
        <v>1328</v>
      </c>
      <c r="H26" s="5">
        <v>1599</v>
      </c>
      <c r="I26" s="5">
        <v>1674</v>
      </c>
      <c r="J26" s="5">
        <v>1942</v>
      </c>
      <c r="K26" s="5">
        <v>1752</v>
      </c>
      <c r="L26" s="5">
        <v>1800</v>
      </c>
      <c r="M26" s="5">
        <v>1744</v>
      </c>
      <c r="N26" s="5">
        <v>1706</v>
      </c>
      <c r="O26" s="5">
        <v>1303</v>
      </c>
      <c r="P26" s="5">
        <v>1374</v>
      </c>
      <c r="Q26" s="5">
        <v>1340</v>
      </c>
      <c r="R26" s="5">
        <v>1617</v>
      </c>
      <c r="S26" s="5">
        <v>1556</v>
      </c>
      <c r="T26" s="5">
        <v>1329</v>
      </c>
      <c r="U26" s="5">
        <v>1150</v>
      </c>
      <c r="V26" s="5">
        <v>1000</v>
      </c>
      <c r="Z26" s="2">
        <v>5688</v>
      </c>
      <c r="AA26" s="2">
        <v>6096</v>
      </c>
      <c r="AB26" s="2">
        <v>5401</v>
      </c>
      <c r="AC26" s="2">
        <v>5458</v>
      </c>
      <c r="AD26" s="2">
        <v>7931</v>
      </c>
      <c r="AE26" s="2">
        <v>6309</v>
      </c>
      <c r="AF26" s="2">
        <v>7670</v>
      </c>
      <c r="AG26" s="2">
        <v>8057</v>
      </c>
      <c r="AH26" s="2">
        <v>8088</v>
      </c>
      <c r="AI26" s="2">
        <v>8136</v>
      </c>
      <c r="AJ26" s="2">
        <v>7930</v>
      </c>
      <c r="AK26" s="2">
        <v>8397</v>
      </c>
      <c r="AL26" s="2">
        <v>7474</v>
      </c>
      <c r="AM26" s="2">
        <v>6950</v>
      </c>
      <c r="AN26" s="2">
        <v>6350</v>
      </c>
      <c r="AO26" s="2">
        <v>6180</v>
      </c>
      <c r="AP26" s="2">
        <v>6543</v>
      </c>
      <c r="AQ26" s="2">
        <v>7002</v>
      </c>
      <c r="AR26" s="2">
        <f>SUM(O26:R26)</f>
        <v>5634</v>
      </c>
      <c r="AS26" s="2">
        <f>SUM(S26:V26)</f>
        <v>5035</v>
      </c>
      <c r="AT26" s="2">
        <f t="shared" ref="AT26:BD26" si="15">+AS26*1.03</f>
        <v>5186.05</v>
      </c>
      <c r="AU26" s="2">
        <f t="shared" si="15"/>
        <v>5341.6315000000004</v>
      </c>
      <c r="AV26" s="2">
        <f t="shared" si="15"/>
        <v>5501.8804450000007</v>
      </c>
      <c r="AW26" s="2">
        <f t="shared" si="15"/>
        <v>5666.9368583500009</v>
      </c>
      <c r="AX26" s="2">
        <f t="shared" si="15"/>
        <v>5836.9449641005012</v>
      </c>
      <c r="AY26" s="2">
        <f t="shared" si="15"/>
        <v>6012.0533130235162</v>
      </c>
      <c r="AZ26" s="2">
        <f t="shared" si="15"/>
        <v>6192.4149124142223</v>
      </c>
      <c r="BA26" s="2">
        <f t="shared" si="15"/>
        <v>6378.1873597866488</v>
      </c>
      <c r="BB26" s="2">
        <f t="shared" si="15"/>
        <v>6569.5329805802485</v>
      </c>
      <c r="BC26" s="2">
        <f t="shared" si="15"/>
        <v>6766.6189699976558</v>
      </c>
      <c r="BD26" s="2">
        <f t="shared" si="15"/>
        <v>6969.6175390975859</v>
      </c>
    </row>
    <row r="27" spans="2:134" x14ac:dyDescent="0.2">
      <c r="B27" s="2" t="s">
        <v>29</v>
      </c>
      <c r="G27" s="5">
        <f t="shared" ref="G27:N27" si="16">+G25+G26</f>
        <v>4951</v>
      </c>
      <c r="H27" s="5">
        <f t="shared" si="16"/>
        <v>5314</v>
      </c>
      <c r="I27" s="5">
        <f t="shared" si="16"/>
        <v>5477</v>
      </c>
      <c r="J27" s="5">
        <f t="shared" si="16"/>
        <v>5991</v>
      </c>
      <c r="K27" s="5">
        <f t="shared" si="16"/>
        <v>6114</v>
      </c>
      <c r="L27" s="5">
        <f t="shared" si="16"/>
        <v>6200</v>
      </c>
      <c r="M27" s="5">
        <f t="shared" si="16"/>
        <v>6046</v>
      </c>
      <c r="N27" s="5">
        <f t="shared" si="16"/>
        <v>6170</v>
      </c>
      <c r="O27" s="5">
        <f t="shared" ref="O27" si="17">+O25+O26</f>
        <v>5412</v>
      </c>
      <c r="P27" s="5">
        <f t="shared" ref="P27" si="18">+P25+P26</f>
        <v>5454</v>
      </c>
      <c r="Q27" s="5">
        <f t="shared" ref="Q27" si="19">+Q25+Q26</f>
        <v>5210</v>
      </c>
      <c r="R27" s="5">
        <f t="shared" ref="R27:T27" si="20">+R25+R26</f>
        <v>5604</v>
      </c>
      <c r="S27" s="5">
        <f t="shared" ref="S27" si="21">+S25+S26</f>
        <v>5938</v>
      </c>
      <c r="T27" s="5">
        <f t="shared" si="20"/>
        <v>5568</v>
      </c>
      <c r="U27" s="5">
        <f t="shared" ref="U27:V27" si="22">+U25+U26</f>
        <v>5150</v>
      </c>
      <c r="V27" s="5">
        <f t="shared" si="22"/>
        <v>4750</v>
      </c>
      <c r="W27" s="5"/>
      <c r="X27" s="5"/>
      <c r="Z27" s="2">
        <f>+Z25+Z26</f>
        <v>10833</v>
      </c>
      <c r="AA27" s="2">
        <f>+AA25+AA26</f>
        <v>11969</v>
      </c>
      <c r="AB27" s="2">
        <f>+AB25+AB26</f>
        <v>11156</v>
      </c>
      <c r="AC27" s="2">
        <f>+AC25+AC26</f>
        <v>11180</v>
      </c>
      <c r="AD27" s="2">
        <f t="shared" ref="AD27" si="23">+AD25+AD26</f>
        <v>13584</v>
      </c>
      <c r="AE27" s="2">
        <f t="shared" ref="AE27" si="24">+AE25+AE26</f>
        <v>12885</v>
      </c>
      <c r="AF27" s="2">
        <f t="shared" ref="AF27" si="25">+AF25+AF26</f>
        <v>16020</v>
      </c>
      <c r="AG27" s="2">
        <f t="shared" ref="AG27" si="26">+AG25+AG26</f>
        <v>18205</v>
      </c>
      <c r="AH27" s="2">
        <f>+AH25+AH26</f>
        <v>18699</v>
      </c>
      <c r="AI27" s="2">
        <f t="shared" ref="AI27:AK27" si="27">+AI25+AI26</f>
        <v>19673</v>
      </c>
      <c r="AJ27" s="2">
        <f t="shared" si="27"/>
        <v>20058</v>
      </c>
      <c r="AK27" s="2">
        <f t="shared" si="27"/>
        <v>21137</v>
      </c>
      <c r="AL27" s="2">
        <f>+AL25+AL26</f>
        <v>20572</v>
      </c>
      <c r="AM27" s="2">
        <f>+AM25+AM26</f>
        <v>20493</v>
      </c>
      <c r="AN27" s="2">
        <f>+AN25+AN26</f>
        <v>19712</v>
      </c>
      <c r="AO27" s="2">
        <f>+AO25+AO26</f>
        <v>19736</v>
      </c>
      <c r="AP27" s="2">
        <f t="shared" ref="AP27:AQ27" si="28">+AP25+AP26</f>
        <v>21733</v>
      </c>
      <c r="AQ27" s="2">
        <f t="shared" si="28"/>
        <v>24530</v>
      </c>
      <c r="AR27" s="2">
        <f>+AR25+AR26</f>
        <v>21680</v>
      </c>
      <c r="AS27" s="2">
        <f t="shared" ref="AS27:BD27" si="29">+AS25+AS26</f>
        <v>21406</v>
      </c>
      <c r="AT27" s="2">
        <f t="shared" si="29"/>
        <v>22048.18</v>
      </c>
      <c r="AU27" s="2">
        <f t="shared" si="29"/>
        <v>22709.625400000001</v>
      </c>
      <c r="AV27" s="2">
        <f t="shared" si="29"/>
        <v>23390.914162000001</v>
      </c>
      <c r="AW27" s="2">
        <f t="shared" si="29"/>
        <v>24092.641586860002</v>
      </c>
      <c r="AX27" s="2">
        <f t="shared" si="29"/>
        <v>24815.420834465804</v>
      </c>
      <c r="AY27" s="2">
        <f t="shared" si="29"/>
        <v>25559.883459499779</v>
      </c>
      <c r="AZ27" s="2">
        <f t="shared" si="29"/>
        <v>26326.679963284776</v>
      </c>
      <c r="BA27" s="2">
        <f t="shared" si="29"/>
        <v>27116.48036218332</v>
      </c>
      <c r="BB27" s="2">
        <f t="shared" si="29"/>
        <v>27929.974773048816</v>
      </c>
      <c r="BC27" s="2">
        <f t="shared" si="29"/>
        <v>28767.874016240283</v>
      </c>
      <c r="BD27" s="2">
        <f t="shared" si="29"/>
        <v>29630.91023672749</v>
      </c>
    </row>
    <row r="28" spans="2:134" x14ac:dyDescent="0.2">
      <c r="B28" s="2" t="s">
        <v>30</v>
      </c>
      <c r="G28" s="5">
        <f t="shared" ref="G28:N28" si="30">+G24-G27</f>
        <v>5903</v>
      </c>
      <c r="H28" s="5">
        <f t="shared" si="30"/>
        <v>5892</v>
      </c>
      <c r="I28" s="5">
        <f t="shared" si="30"/>
        <v>5269</v>
      </c>
      <c r="J28" s="5">
        <f t="shared" si="30"/>
        <v>5018</v>
      </c>
      <c r="K28" s="5">
        <f t="shared" si="30"/>
        <v>3130</v>
      </c>
      <c r="L28" s="5">
        <f t="shared" si="30"/>
        <v>-613</v>
      </c>
      <c r="M28" s="5">
        <f t="shared" si="30"/>
        <v>489</v>
      </c>
      <c r="N28" s="5">
        <f t="shared" si="30"/>
        <v>-670</v>
      </c>
      <c r="O28" s="5">
        <f t="shared" ref="O28" si="31">+O24-O27</f>
        <v>-1404</v>
      </c>
      <c r="P28" s="5">
        <f t="shared" ref="P28" si="32">+P24-P27</f>
        <v>-816</v>
      </c>
      <c r="Q28" s="5">
        <f t="shared" ref="Q28" si="33">+Q24-Q27</f>
        <v>808</v>
      </c>
      <c r="R28" s="5">
        <f t="shared" ref="R28:T28" si="34">+R24-R27</f>
        <v>1443</v>
      </c>
      <c r="S28" s="5">
        <f t="shared" ref="S28" si="35">+S24-S27</f>
        <v>-721</v>
      </c>
      <c r="T28" s="5">
        <f t="shared" si="34"/>
        <v>-1021</v>
      </c>
      <c r="U28" s="5">
        <f t="shared" ref="U28:V28" si="36">+U24-U27</f>
        <v>50</v>
      </c>
      <c r="V28" s="5">
        <f t="shared" si="36"/>
        <v>796.15999999999985</v>
      </c>
      <c r="W28" s="5"/>
      <c r="X28" s="5"/>
      <c r="Z28" s="2">
        <f>+Z24-Z27</f>
        <v>12216</v>
      </c>
      <c r="AA28" s="2">
        <f>+AA24-AA27</f>
        <v>6249</v>
      </c>
      <c r="AB28" s="2">
        <f>+AB24-AB27</f>
        <v>8748</v>
      </c>
      <c r="AC28" s="2">
        <f>+AC24-AC27</f>
        <v>9664</v>
      </c>
      <c r="AD28" s="2">
        <f t="shared" ref="AD28" si="37">+AD24-AD27</f>
        <v>5977</v>
      </c>
      <c r="AE28" s="2">
        <f t="shared" ref="AE28" si="38">+AE24-AE27</f>
        <v>15606</v>
      </c>
      <c r="AF28" s="2">
        <f t="shared" ref="AF28" si="39">+AF24-AF27</f>
        <v>17737</v>
      </c>
      <c r="AG28" s="2">
        <f t="shared" ref="AG28" si="40">+AG24-AG27</f>
        <v>14946</v>
      </c>
      <c r="AH28" s="2">
        <f>+AH24-AH27</f>
        <v>12822</v>
      </c>
      <c r="AI28" s="2">
        <f t="shared" ref="AI28:AK28" si="41">+AI24-AI27</f>
        <v>15936</v>
      </c>
      <c r="AJ28" s="2">
        <f t="shared" si="41"/>
        <v>14621</v>
      </c>
      <c r="AK28" s="2">
        <f t="shared" si="41"/>
        <v>15054</v>
      </c>
      <c r="AL28" s="2">
        <f t="shared" ref="AL28:AR28" si="42">+AL24-AL27</f>
        <v>18497</v>
      </c>
      <c r="AM28" s="2">
        <f t="shared" si="42"/>
        <v>23244</v>
      </c>
      <c r="AN28" s="2">
        <f t="shared" si="42"/>
        <v>22428</v>
      </c>
      <c r="AO28" s="2">
        <f t="shared" si="42"/>
        <v>23876</v>
      </c>
      <c r="AP28" s="2">
        <f t="shared" si="42"/>
        <v>22082</v>
      </c>
      <c r="AQ28" s="2">
        <f t="shared" si="42"/>
        <v>2336</v>
      </c>
      <c r="AR28" s="2">
        <f t="shared" si="42"/>
        <v>31</v>
      </c>
      <c r="AS28" s="2">
        <f t="shared" ref="AS28:BD28" si="43">+AS24-AS27</f>
        <v>-895.84000000000015</v>
      </c>
      <c r="AT28" s="2">
        <f t="shared" si="43"/>
        <v>6117.1775840000009</v>
      </c>
      <c r="AU28" s="2">
        <f t="shared" si="43"/>
        <v>7432.7236298000025</v>
      </c>
      <c r="AV28" s="2">
        <f t="shared" si="43"/>
        <v>8917.9162043168762</v>
      </c>
      <c r="AW28" s="2">
        <f t="shared" si="43"/>
        <v>10471.710899369566</v>
      </c>
      <c r="AX28" s="2">
        <f t="shared" si="43"/>
        <v>12217.813972208736</v>
      </c>
      <c r="AY28" s="2">
        <f t="shared" si="43"/>
        <v>13325.013087508491</v>
      </c>
      <c r="AZ28" s="2">
        <f t="shared" si="43"/>
        <v>16090.261353410089</v>
      </c>
      <c r="BA28" s="2">
        <f t="shared" si="43"/>
        <v>18231.08599093774</v>
      </c>
      <c r="BB28" s="2">
        <f t="shared" si="43"/>
        <v>20618.596263821964</v>
      </c>
      <c r="BC28" s="2">
        <f t="shared" si="43"/>
        <v>22208.12557247404</v>
      </c>
      <c r="BD28" s="2">
        <f t="shared" si="43"/>
        <v>24923.212400040822</v>
      </c>
    </row>
    <row r="29" spans="2:134" x14ac:dyDescent="0.2">
      <c r="B29" s="2" t="s">
        <v>31</v>
      </c>
      <c r="G29" s="5">
        <v>-156</v>
      </c>
      <c r="H29" s="5">
        <v>-96</v>
      </c>
      <c r="I29" s="5">
        <v>-76</v>
      </c>
      <c r="J29" s="5">
        <v>-154</v>
      </c>
      <c r="K29" s="5">
        <v>997</v>
      </c>
      <c r="L29" s="5">
        <v>-119</v>
      </c>
      <c r="M29" s="5">
        <v>138</v>
      </c>
      <c r="N29" s="5">
        <v>150</v>
      </c>
      <c r="O29" s="3">
        <v>141</v>
      </c>
      <c r="P29" s="3">
        <v>224</v>
      </c>
      <c r="Q29" s="3">
        <v>147</v>
      </c>
      <c r="R29" s="3">
        <v>117</v>
      </c>
      <c r="S29" s="3">
        <v>145</v>
      </c>
      <c r="T29" s="3">
        <v>80</v>
      </c>
      <c r="Z29" s="2">
        <v>-565</v>
      </c>
      <c r="AA29" s="2">
        <v>-1202</v>
      </c>
      <c r="AB29" s="2">
        <v>-793</v>
      </c>
      <c r="AC29" s="2">
        <v>-488</v>
      </c>
      <c r="AD29" s="2">
        <v>-163</v>
      </c>
      <c r="AE29" s="2">
        <v>-109</v>
      </c>
      <c r="AF29" s="2">
        <v>-192</v>
      </c>
      <c r="AG29" s="2">
        <v>-94</v>
      </c>
      <c r="AH29" s="2">
        <v>-151</v>
      </c>
      <c r="AI29" s="2">
        <v>43</v>
      </c>
      <c r="AJ29" s="2">
        <v>-105</v>
      </c>
      <c r="AK29" s="2">
        <v>-444</v>
      </c>
      <c r="AL29" s="2">
        <v>-235</v>
      </c>
      <c r="AM29" s="2">
        <v>126</v>
      </c>
      <c r="AN29" s="2">
        <v>484</v>
      </c>
      <c r="AO29" s="2">
        <v>-504</v>
      </c>
      <c r="AP29" s="2">
        <v>-482</v>
      </c>
      <c r="AQ29" s="2">
        <v>1166</v>
      </c>
      <c r="AR29" s="2">
        <f>SUM(O29:R29)</f>
        <v>629</v>
      </c>
      <c r="AS29" s="2">
        <f>SUM(S29:V29)</f>
        <v>225</v>
      </c>
      <c r="AW29" s="2">
        <f>+AV42*$BH$36</f>
        <v>184.23610282855839</v>
      </c>
      <c r="AX29" s="2">
        <f t="shared" ref="AX29:BD29" si="44">+AW42*$BH$36</f>
        <v>271.614868246583</v>
      </c>
      <c r="AY29" s="2">
        <f t="shared" si="44"/>
        <v>374.02818473831661</v>
      </c>
      <c r="AZ29" s="2">
        <f t="shared" si="44"/>
        <v>486.36032317074046</v>
      </c>
      <c r="BA29" s="2">
        <f t="shared" si="44"/>
        <v>622.28862091870326</v>
      </c>
      <c r="BB29" s="2">
        <f t="shared" si="44"/>
        <v>776.88629273592608</v>
      </c>
      <c r="BC29" s="2">
        <f t="shared" si="44"/>
        <v>952.32924969970077</v>
      </c>
      <c r="BD29" s="2">
        <f t="shared" si="44"/>
        <v>1142.2449792415255</v>
      </c>
    </row>
    <row r="30" spans="2:134" x14ac:dyDescent="0.2">
      <c r="B30" s="2" t="s">
        <v>32</v>
      </c>
      <c r="G30" s="5">
        <f t="shared" ref="G30:N30" si="45">+G28+G29</f>
        <v>5747</v>
      </c>
      <c r="H30" s="5">
        <f t="shared" si="45"/>
        <v>5796</v>
      </c>
      <c r="I30" s="5">
        <f t="shared" si="45"/>
        <v>5193</v>
      </c>
      <c r="J30" s="5">
        <f t="shared" si="45"/>
        <v>4864</v>
      </c>
      <c r="K30" s="5">
        <f t="shared" si="45"/>
        <v>4127</v>
      </c>
      <c r="L30" s="5">
        <f t="shared" si="45"/>
        <v>-732</v>
      </c>
      <c r="M30" s="5">
        <f t="shared" si="45"/>
        <v>627</v>
      </c>
      <c r="N30" s="5">
        <f t="shared" si="45"/>
        <v>-520</v>
      </c>
      <c r="O30" s="5">
        <f t="shared" ref="O30:T30" si="46">+O28+O29</f>
        <v>-1263</v>
      </c>
      <c r="P30" s="5">
        <f t="shared" si="46"/>
        <v>-592</v>
      </c>
      <c r="Q30" s="5">
        <f t="shared" si="46"/>
        <v>955</v>
      </c>
      <c r="R30" s="5">
        <f t="shared" si="46"/>
        <v>1560</v>
      </c>
      <c r="S30" s="5">
        <f t="shared" si="46"/>
        <v>-576</v>
      </c>
      <c r="T30" s="5">
        <f t="shared" si="46"/>
        <v>-941</v>
      </c>
      <c r="U30" s="5">
        <f t="shared" ref="U30:V30" si="47">+U28+U29</f>
        <v>50</v>
      </c>
      <c r="V30" s="5">
        <f t="shared" si="47"/>
        <v>796.15999999999985</v>
      </c>
      <c r="Z30" s="2">
        <f>+Z28+Z29</f>
        <v>11651</v>
      </c>
      <c r="AA30" s="2">
        <f>+AA28+AA29</f>
        <v>5047</v>
      </c>
      <c r="AB30" s="2">
        <f>+AB28+AB29</f>
        <v>7955</v>
      </c>
      <c r="AC30" s="2">
        <f>+AC28+AC29</f>
        <v>9176</v>
      </c>
      <c r="AD30" s="2">
        <f t="shared" ref="AD30" si="48">+AD28+AD29</f>
        <v>5814</v>
      </c>
      <c r="AE30" s="2">
        <f t="shared" ref="AE30" si="49">+AE28+AE29</f>
        <v>15497</v>
      </c>
      <c r="AF30" s="2">
        <f t="shared" ref="AF30" si="50">+AF28+AF29</f>
        <v>17545</v>
      </c>
      <c r="AG30" s="2">
        <f t="shared" ref="AG30" si="51">+AG28+AG29</f>
        <v>14852</v>
      </c>
      <c r="AH30" s="2">
        <f>+AH28+AH29</f>
        <v>12671</v>
      </c>
      <c r="AI30" s="2">
        <f>+AI28+AI29</f>
        <v>15979</v>
      </c>
      <c r="AJ30" s="2">
        <f>+AJ28+AJ29</f>
        <v>14516</v>
      </c>
      <c r="AK30" s="2">
        <f t="shared" ref="AK30" si="52">+AK28+AK29</f>
        <v>14610</v>
      </c>
      <c r="AL30" s="2">
        <f t="shared" ref="AL30:AQ30" si="53">+AL28+AL29</f>
        <v>18262</v>
      </c>
      <c r="AM30" s="2">
        <f t="shared" si="53"/>
        <v>23370</v>
      </c>
      <c r="AN30" s="2">
        <f t="shared" si="53"/>
        <v>22912</v>
      </c>
      <c r="AO30" s="2">
        <f t="shared" si="53"/>
        <v>23372</v>
      </c>
      <c r="AP30" s="2">
        <f t="shared" si="53"/>
        <v>21600</v>
      </c>
      <c r="AQ30" s="2">
        <f t="shared" si="53"/>
        <v>3502</v>
      </c>
      <c r="AR30" s="2">
        <f t="shared" ref="AR30:BD30" si="54">+AR28+AR29</f>
        <v>660</v>
      </c>
      <c r="AS30" s="2">
        <f t="shared" si="54"/>
        <v>-670.84000000000015</v>
      </c>
      <c r="AT30" s="2">
        <f t="shared" si="54"/>
        <v>6117.1775840000009</v>
      </c>
      <c r="AU30" s="2">
        <f t="shared" si="54"/>
        <v>7432.7236298000025</v>
      </c>
      <c r="AV30" s="2">
        <f t="shared" si="54"/>
        <v>8917.9162043168762</v>
      </c>
      <c r="AW30" s="2">
        <f t="shared" si="54"/>
        <v>10655.947002198123</v>
      </c>
      <c r="AX30" s="2">
        <f t="shared" si="54"/>
        <v>12489.428840455319</v>
      </c>
      <c r="AY30" s="2">
        <f t="shared" si="54"/>
        <v>13699.041272246806</v>
      </c>
      <c r="AZ30" s="2">
        <f t="shared" si="54"/>
        <v>16576.621676580831</v>
      </c>
      <c r="BA30" s="2">
        <f t="shared" si="54"/>
        <v>18853.374611856441</v>
      </c>
      <c r="BB30" s="2">
        <f t="shared" si="54"/>
        <v>21395.48255655789</v>
      </c>
      <c r="BC30" s="2">
        <f t="shared" si="54"/>
        <v>23160.454822173742</v>
      </c>
      <c r="BD30" s="2">
        <f t="shared" si="54"/>
        <v>26065.457379282347</v>
      </c>
      <c r="BE30" s="2"/>
    </row>
    <row r="31" spans="2:134" x14ac:dyDescent="0.2">
      <c r="B31" s="2" t="s">
        <v>33</v>
      </c>
      <c r="G31" s="5">
        <v>545</v>
      </c>
      <c r="H31" s="5">
        <v>684</v>
      </c>
      <c r="I31" s="5">
        <v>35</v>
      </c>
      <c r="J31" s="5">
        <v>571</v>
      </c>
      <c r="K31" s="5">
        <v>1548</v>
      </c>
      <c r="L31" s="5">
        <v>0</v>
      </c>
      <c r="M31" s="5">
        <v>0</v>
      </c>
      <c r="N31" s="5">
        <v>0</v>
      </c>
      <c r="O31" s="3">
        <v>0</v>
      </c>
      <c r="P31" s="3">
        <v>0</v>
      </c>
      <c r="Q31" s="3">
        <v>0</v>
      </c>
      <c r="R31" s="3">
        <v>128</v>
      </c>
      <c r="S31" s="3">
        <v>0</v>
      </c>
      <c r="T31" s="3">
        <v>0</v>
      </c>
      <c r="Z31" s="2">
        <v>3946</v>
      </c>
      <c r="AA31" s="2">
        <v>2024</v>
      </c>
      <c r="AB31" s="2">
        <v>2190</v>
      </c>
      <c r="AC31" s="2">
        <v>2394</v>
      </c>
      <c r="AD31" s="2">
        <v>1335</v>
      </c>
      <c r="AE31" s="2">
        <v>4581</v>
      </c>
      <c r="AF31" s="2">
        <v>4839</v>
      </c>
      <c r="AG31" s="2">
        <v>3868</v>
      </c>
      <c r="AH31" s="2">
        <v>2991</v>
      </c>
      <c r="AI31" s="2">
        <v>4097</v>
      </c>
      <c r="AJ31" s="2">
        <v>2792</v>
      </c>
      <c r="AK31" s="2">
        <v>2620</v>
      </c>
      <c r="AL31" s="2">
        <v>0</v>
      </c>
      <c r="AM31" s="2">
        <v>2264</v>
      </c>
      <c r="AN31" s="2">
        <v>3010</v>
      </c>
      <c r="AO31" s="2">
        <v>4179</v>
      </c>
      <c r="AP31" s="2">
        <v>1835</v>
      </c>
      <c r="AQ31" s="2">
        <v>-249</v>
      </c>
      <c r="AR31" s="2">
        <f>SUM(O31:R31)</f>
        <v>128</v>
      </c>
      <c r="AS31" s="2">
        <f>SUM(S31:V31)</f>
        <v>0</v>
      </c>
      <c r="AT31" s="2">
        <f t="shared" ref="AT31:BD31" si="55">+AT30*0.18</f>
        <v>1101.0919651200002</v>
      </c>
      <c r="AU31" s="2">
        <f t="shared" si="55"/>
        <v>1337.8902533640005</v>
      </c>
      <c r="AV31" s="2">
        <f t="shared" si="55"/>
        <v>1605.2249167770376</v>
      </c>
      <c r="AW31" s="2">
        <f t="shared" si="55"/>
        <v>1918.0704603956622</v>
      </c>
      <c r="AX31" s="2">
        <f t="shared" si="55"/>
        <v>2248.0971912819573</v>
      </c>
      <c r="AY31" s="2">
        <f t="shared" si="55"/>
        <v>2465.8274290044251</v>
      </c>
      <c r="AZ31" s="2">
        <f t="shared" si="55"/>
        <v>2983.7919017845497</v>
      </c>
      <c r="BA31" s="2">
        <f t="shared" si="55"/>
        <v>3393.6074301341591</v>
      </c>
      <c r="BB31" s="2">
        <f t="shared" si="55"/>
        <v>3851.1868601804199</v>
      </c>
      <c r="BC31" s="2">
        <f t="shared" si="55"/>
        <v>4168.8818679912738</v>
      </c>
      <c r="BD31" s="2">
        <f t="shared" si="55"/>
        <v>4691.7823282708223</v>
      </c>
    </row>
    <row r="32" spans="2:134" x14ac:dyDescent="0.2">
      <c r="B32" s="2" t="s">
        <v>34</v>
      </c>
      <c r="G32" s="5">
        <f t="shared" ref="G32:N32" si="56">+G30-G31</f>
        <v>5202</v>
      </c>
      <c r="H32" s="5">
        <f t="shared" si="56"/>
        <v>5112</v>
      </c>
      <c r="I32" s="5">
        <f t="shared" si="56"/>
        <v>5158</v>
      </c>
      <c r="J32" s="5">
        <f t="shared" si="56"/>
        <v>4293</v>
      </c>
      <c r="K32" s="5">
        <f t="shared" si="56"/>
        <v>2579</v>
      </c>
      <c r="L32" s="5">
        <f t="shared" si="56"/>
        <v>-732</v>
      </c>
      <c r="M32" s="5">
        <f t="shared" si="56"/>
        <v>627</v>
      </c>
      <c r="N32" s="5">
        <f t="shared" si="56"/>
        <v>-520</v>
      </c>
      <c r="O32" s="5">
        <f t="shared" ref="O32:T32" si="57">+O30-O31</f>
        <v>-1263</v>
      </c>
      <c r="P32" s="5">
        <f t="shared" si="57"/>
        <v>-592</v>
      </c>
      <c r="Q32" s="5">
        <f t="shared" si="57"/>
        <v>955</v>
      </c>
      <c r="R32" s="5">
        <f t="shared" si="57"/>
        <v>1432</v>
      </c>
      <c r="S32" s="5">
        <f t="shared" si="57"/>
        <v>-576</v>
      </c>
      <c r="T32" s="5">
        <f t="shared" si="57"/>
        <v>-941</v>
      </c>
      <c r="U32" s="5">
        <f t="shared" ref="U32:V32" si="58">+U30-U31</f>
        <v>50</v>
      </c>
      <c r="V32" s="5">
        <f t="shared" si="58"/>
        <v>796.15999999999985</v>
      </c>
      <c r="Z32" s="2">
        <f>+Z30-Z31</f>
        <v>7705</v>
      </c>
      <c r="AA32" s="2">
        <f>+AA30-AA31</f>
        <v>3023</v>
      </c>
      <c r="AB32" s="2">
        <f>+AB30-AB31</f>
        <v>5765</v>
      </c>
      <c r="AC32" s="2">
        <f>+AC30-AC31</f>
        <v>6782</v>
      </c>
      <c r="AD32" s="2">
        <f t="shared" ref="AD32" si="59">+AD30-AD31</f>
        <v>4479</v>
      </c>
      <c r="AE32" s="2">
        <f t="shared" ref="AE32" si="60">+AE30-AE31</f>
        <v>10916</v>
      </c>
      <c r="AF32" s="2">
        <f t="shared" ref="AF32" si="61">+AF30-AF31</f>
        <v>12706</v>
      </c>
      <c r="AG32" s="2">
        <f t="shared" ref="AG32" si="62">+AG30-AG31</f>
        <v>10984</v>
      </c>
      <c r="AH32" s="2">
        <f>+AH30-AH31</f>
        <v>9680</v>
      </c>
      <c r="AI32" s="2">
        <f>+AI30-AI31</f>
        <v>11882</v>
      </c>
      <c r="AJ32" s="2">
        <f>+AJ30-AJ31</f>
        <v>11724</v>
      </c>
      <c r="AK32" s="2">
        <f t="shared" ref="AK32" si="63">+AK30-AK31</f>
        <v>11990</v>
      </c>
      <c r="AL32" s="2">
        <f>+AL30-AL31</f>
        <v>18262</v>
      </c>
      <c r="AM32" s="2">
        <f>+AM30-AM31</f>
        <v>21106</v>
      </c>
      <c r="AN32" s="2">
        <f>+AN30-AN31</f>
        <v>19902</v>
      </c>
      <c r="AO32" s="2">
        <f>+AO30-AO31</f>
        <v>19193</v>
      </c>
      <c r="AP32" s="2">
        <f t="shared" ref="AP32:AQ32" si="64">+AP30-AP31</f>
        <v>19765</v>
      </c>
      <c r="AQ32" s="2">
        <f t="shared" si="64"/>
        <v>3751</v>
      </c>
      <c r="AR32" s="2">
        <f t="shared" ref="AR32" si="65">+AR30-AR31</f>
        <v>532</v>
      </c>
      <c r="AS32" s="2">
        <f t="shared" ref="AS32" si="66">+AS30-AS31</f>
        <v>-670.84000000000015</v>
      </c>
      <c r="AT32" s="2">
        <f t="shared" ref="AT32" si="67">+AT30-AT31</f>
        <v>5016.0856188800008</v>
      </c>
      <c r="AU32" s="2">
        <f t="shared" ref="AU32" si="68">+AU30-AU31</f>
        <v>6094.8333764360023</v>
      </c>
      <c r="AV32" s="2">
        <f t="shared" ref="AV32" si="69">+AV30-AV31</f>
        <v>7312.6912875398384</v>
      </c>
      <c r="AW32" s="2">
        <f t="shared" ref="AW32" si="70">+AW30-AW31</f>
        <v>8737.8765418024614</v>
      </c>
      <c r="AX32" s="2">
        <f t="shared" ref="AX32" si="71">+AX30-AX31</f>
        <v>10241.331649173362</v>
      </c>
      <c r="AY32" s="2">
        <f t="shared" ref="AY32" si="72">+AY30-AY31</f>
        <v>11233.213843242382</v>
      </c>
      <c r="AZ32" s="2">
        <f t="shared" ref="AZ32" si="73">+AZ30-AZ31</f>
        <v>13592.829774796282</v>
      </c>
      <c r="BA32" s="2">
        <f t="shared" ref="BA32" si="74">+BA30-BA31</f>
        <v>15459.767181722282</v>
      </c>
      <c r="BB32" s="2">
        <f t="shared" ref="BB32" si="75">+BB30-BB31</f>
        <v>17544.29569637747</v>
      </c>
      <c r="BC32" s="2">
        <f t="shared" ref="BC32" si="76">+BC30-BC31</f>
        <v>18991.572954182469</v>
      </c>
      <c r="BD32" s="2">
        <f t="shared" ref="BD32" si="77">+BD30-BD31</f>
        <v>21373.675051011523</v>
      </c>
      <c r="BE32" s="2">
        <f>+BD32*(1+$BH$38)</f>
        <v>21587.411801521637</v>
      </c>
      <c r="BF32" s="2">
        <f t="shared" ref="BF32:DQ32" si="78">+BE32*(1+$BH$38)</f>
        <v>21803.285919536855</v>
      </c>
      <c r="BG32" s="2">
        <f t="shared" si="78"/>
        <v>22021.318778732224</v>
      </c>
      <c r="BH32" s="2">
        <f t="shared" si="78"/>
        <v>22241.531966519546</v>
      </c>
      <c r="BI32" s="2">
        <f t="shared" si="78"/>
        <v>22463.947286184743</v>
      </c>
      <c r="BJ32" s="2">
        <f t="shared" si="78"/>
        <v>22688.58675904659</v>
      </c>
      <c r="BK32" s="2">
        <f t="shared" si="78"/>
        <v>22915.472626637056</v>
      </c>
      <c r="BL32" s="2">
        <f t="shared" si="78"/>
        <v>23144.627352903426</v>
      </c>
      <c r="BM32" s="2">
        <f t="shared" si="78"/>
        <v>23376.073626432462</v>
      </c>
      <c r="BN32" s="2">
        <f t="shared" si="78"/>
        <v>23609.834362696787</v>
      </c>
      <c r="BO32" s="2">
        <f t="shared" si="78"/>
        <v>23845.932706323754</v>
      </c>
      <c r="BP32" s="2">
        <f t="shared" si="78"/>
        <v>24084.392033386994</v>
      </c>
      <c r="BQ32" s="2">
        <f t="shared" si="78"/>
        <v>24325.235953720865</v>
      </c>
      <c r="BR32" s="2">
        <f t="shared" si="78"/>
        <v>24568.488313258073</v>
      </c>
      <c r="BS32" s="2">
        <f t="shared" si="78"/>
        <v>24814.173196390653</v>
      </c>
      <c r="BT32" s="2">
        <f t="shared" si="78"/>
        <v>25062.314928354561</v>
      </c>
      <c r="BU32" s="2">
        <f t="shared" si="78"/>
        <v>25312.938077638108</v>
      </c>
      <c r="BV32" s="2">
        <f t="shared" si="78"/>
        <v>25566.067458414487</v>
      </c>
      <c r="BW32" s="2">
        <f t="shared" si="78"/>
        <v>25821.728132998633</v>
      </c>
      <c r="BX32" s="2">
        <f t="shared" si="78"/>
        <v>26079.94541432862</v>
      </c>
      <c r="BY32" s="2">
        <f t="shared" si="78"/>
        <v>26340.744868471906</v>
      </c>
      <c r="BZ32" s="2">
        <f t="shared" si="78"/>
        <v>26604.152317156626</v>
      </c>
      <c r="CA32" s="2">
        <f t="shared" si="78"/>
        <v>26870.193840328193</v>
      </c>
      <c r="CB32" s="2">
        <f t="shared" si="78"/>
        <v>27138.895778731476</v>
      </c>
      <c r="CC32" s="2">
        <f t="shared" si="78"/>
        <v>27410.284736518792</v>
      </c>
      <c r="CD32" s="2">
        <f t="shared" si="78"/>
        <v>27684.387583883981</v>
      </c>
      <c r="CE32" s="2">
        <f t="shared" si="78"/>
        <v>27961.231459722821</v>
      </c>
      <c r="CF32" s="2">
        <f t="shared" si="78"/>
        <v>28240.843774320048</v>
      </c>
      <c r="CG32" s="2">
        <f t="shared" si="78"/>
        <v>28523.252212063249</v>
      </c>
      <c r="CH32" s="2">
        <f t="shared" si="78"/>
        <v>28808.484734183883</v>
      </c>
      <c r="CI32" s="2">
        <f t="shared" si="78"/>
        <v>29096.56958152572</v>
      </c>
      <c r="CJ32" s="2">
        <f t="shared" si="78"/>
        <v>29387.53527734098</v>
      </c>
      <c r="CK32" s="2">
        <f t="shared" si="78"/>
        <v>29681.410630114391</v>
      </c>
      <c r="CL32" s="2">
        <f t="shared" si="78"/>
        <v>29978.224736415534</v>
      </c>
      <c r="CM32" s="2">
        <f t="shared" si="78"/>
        <v>30278.006983779691</v>
      </c>
      <c r="CN32" s="2">
        <f t="shared" si="78"/>
        <v>30580.787053617489</v>
      </c>
      <c r="CO32" s="2">
        <f t="shared" si="78"/>
        <v>30886.594924153665</v>
      </c>
      <c r="CP32" s="2">
        <f t="shared" si="78"/>
        <v>31195.460873395201</v>
      </c>
      <c r="CQ32" s="2">
        <f t="shared" si="78"/>
        <v>31507.415482129152</v>
      </c>
      <c r="CR32" s="2">
        <f t="shared" si="78"/>
        <v>31822.489636950442</v>
      </c>
      <c r="CS32" s="2">
        <f t="shared" si="78"/>
        <v>32140.714533319948</v>
      </c>
      <c r="CT32" s="2">
        <f t="shared" si="78"/>
        <v>32462.121678653148</v>
      </c>
      <c r="CU32" s="2">
        <f t="shared" si="78"/>
        <v>32786.742895439682</v>
      </c>
      <c r="CV32" s="2">
        <f t="shared" si="78"/>
        <v>33114.610324394082</v>
      </c>
      <c r="CW32" s="2">
        <f t="shared" si="78"/>
        <v>33445.756427638022</v>
      </c>
      <c r="CX32" s="2">
        <f t="shared" si="78"/>
        <v>33780.213991914403</v>
      </c>
      <c r="CY32" s="2">
        <f t="shared" si="78"/>
        <v>34118.016131833545</v>
      </c>
      <c r="CZ32" s="2">
        <f t="shared" si="78"/>
        <v>34459.196293151879</v>
      </c>
      <c r="DA32" s="2">
        <f t="shared" si="78"/>
        <v>34803.788256083397</v>
      </c>
      <c r="DB32" s="2">
        <f t="shared" si="78"/>
        <v>35151.826138644232</v>
      </c>
      <c r="DC32" s="2">
        <f t="shared" si="78"/>
        <v>35503.344400030677</v>
      </c>
      <c r="DD32" s="2">
        <f t="shared" si="78"/>
        <v>35858.377844030983</v>
      </c>
      <c r="DE32" s="2">
        <f t="shared" si="78"/>
        <v>36216.961622471295</v>
      </c>
      <c r="DF32" s="2">
        <f t="shared" si="78"/>
        <v>36579.131238696005</v>
      </c>
      <c r="DG32" s="2">
        <f t="shared" si="78"/>
        <v>36944.922551082964</v>
      </c>
      <c r="DH32" s="2">
        <f t="shared" si="78"/>
        <v>37314.371776593791</v>
      </c>
      <c r="DI32" s="2">
        <f t="shared" si="78"/>
        <v>37687.51549435973</v>
      </c>
      <c r="DJ32" s="2">
        <f t="shared" si="78"/>
        <v>38064.390649303328</v>
      </c>
      <c r="DK32" s="2">
        <f t="shared" si="78"/>
        <v>38445.034555796359</v>
      </c>
      <c r="DL32" s="2">
        <f t="shared" si="78"/>
        <v>38829.484901354321</v>
      </c>
      <c r="DM32" s="2">
        <f t="shared" si="78"/>
        <v>39217.779750367867</v>
      </c>
      <c r="DN32" s="2">
        <f t="shared" si="78"/>
        <v>39609.957547871549</v>
      </c>
      <c r="DO32" s="2">
        <f t="shared" si="78"/>
        <v>40006.057123350263</v>
      </c>
      <c r="DP32" s="2">
        <f t="shared" si="78"/>
        <v>40406.117694583765</v>
      </c>
      <c r="DQ32" s="2">
        <f t="shared" si="78"/>
        <v>40810.178871529606</v>
      </c>
      <c r="DR32" s="2">
        <f t="shared" ref="DR32:ED32" si="79">+DQ32*(1+$BH$38)</f>
        <v>41218.280660244905</v>
      </c>
      <c r="DS32" s="2">
        <f t="shared" si="79"/>
        <v>41630.463466847352</v>
      </c>
      <c r="DT32" s="2">
        <f t="shared" si="79"/>
        <v>42046.768101515823</v>
      </c>
      <c r="DU32" s="2">
        <f t="shared" si="79"/>
        <v>42467.235782530981</v>
      </c>
      <c r="DV32" s="2">
        <f t="shared" si="79"/>
        <v>42891.908140356289</v>
      </c>
      <c r="DW32" s="2">
        <f t="shared" si="79"/>
        <v>43320.82722175985</v>
      </c>
      <c r="DX32" s="2">
        <f t="shared" si="79"/>
        <v>43754.035493977448</v>
      </c>
      <c r="DY32" s="2">
        <f t="shared" si="79"/>
        <v>44191.575848917222</v>
      </c>
      <c r="DZ32" s="2">
        <f t="shared" si="79"/>
        <v>44633.491607406395</v>
      </c>
      <c r="EA32" s="2">
        <f t="shared" si="79"/>
        <v>45079.826523480457</v>
      </c>
      <c r="EB32" s="2">
        <f t="shared" si="79"/>
        <v>45530.624788715264</v>
      </c>
      <c r="EC32" s="2">
        <f t="shared" si="79"/>
        <v>45985.931036602415</v>
      </c>
      <c r="ED32" s="2">
        <f t="shared" si="79"/>
        <v>46445.790346968439</v>
      </c>
    </row>
    <row r="33" spans="2:60" x14ac:dyDescent="0.2">
      <c r="B33" s="2" t="s">
        <v>35</v>
      </c>
      <c r="G33" s="16">
        <f t="shared" ref="G33:N33" si="80">+G32/G34</f>
        <v>1.27001953125</v>
      </c>
      <c r="H33" s="16">
        <f t="shared" si="80"/>
        <v>1.2517140058765917</v>
      </c>
      <c r="I33" s="16">
        <f t="shared" si="80"/>
        <v>1.2623592755751345</v>
      </c>
      <c r="J33" s="16">
        <f t="shared" si="80"/>
        <v>1.0483516483516484</v>
      </c>
      <c r="K33" s="16">
        <f t="shared" si="80"/>
        <v>0.62795227660092523</v>
      </c>
      <c r="L33" s="16">
        <f t="shared" si="80"/>
        <v>-0.17853658536585365</v>
      </c>
      <c r="M33" s="16">
        <f t="shared" si="80"/>
        <v>0.152</v>
      </c>
      <c r="N33" s="16">
        <f t="shared" si="80"/>
        <v>-0.12581659811275103</v>
      </c>
      <c r="O33" s="16">
        <f t="shared" ref="O33:V33" si="81">+O32/O34</f>
        <v>-0.3040442946557535</v>
      </c>
      <c r="P33" s="16">
        <f t="shared" si="81"/>
        <v>-0.14108674928503337</v>
      </c>
      <c r="Q33" s="16">
        <f t="shared" si="81"/>
        <v>0.22582170725939937</v>
      </c>
      <c r="R33" s="16">
        <f t="shared" si="81"/>
        <v>0.33615023474178402</v>
      </c>
      <c r="S33" s="16">
        <f t="shared" si="81"/>
        <v>-0.13578500707213578</v>
      </c>
      <c r="T33" s="16">
        <f t="shared" si="81"/>
        <v>-0.22052964612139678</v>
      </c>
      <c r="U33" s="16">
        <f t="shared" si="81"/>
        <v>1.1717834544176237E-2</v>
      </c>
      <c r="V33" s="16">
        <f t="shared" si="81"/>
        <v>0.18658542301382702</v>
      </c>
      <c r="Z33" s="1">
        <f>+Z32/Z34</f>
        <v>1.2471673680802848</v>
      </c>
      <c r="AA33" s="1">
        <f>+AA32/AA34</f>
        <v>0.51411564625850337</v>
      </c>
      <c r="AB33" s="1">
        <f>+AB32/AB34</f>
        <v>0.97119272237196763</v>
      </c>
      <c r="AC33" s="1">
        <f>+AC32/AC34</f>
        <v>1.1798886569241476</v>
      </c>
      <c r="AD33" s="1">
        <f t="shared" ref="AD33" si="82">+AD32/AD34</f>
        <v>0.79344552701505755</v>
      </c>
      <c r="AE33" s="1">
        <f t="shared" ref="AE33" si="83">+AE32/AE34</f>
        <v>1.916432584269663</v>
      </c>
      <c r="AF33" s="1">
        <f t="shared" ref="AF33" si="84">+AF32/AF34</f>
        <v>2.3481796340787287</v>
      </c>
      <c r="AG33" s="1">
        <f t="shared" ref="AG33" si="85">+AG32/AG34</f>
        <v>2.1286821705426355</v>
      </c>
      <c r="AH33" s="1">
        <f>+AH32/AH34</f>
        <v>1.8991563664900921</v>
      </c>
      <c r="AI33" s="1">
        <f t="shared" ref="AI33:AK33" si="86">+AI32/AI34</f>
        <v>2.3500791139240507</v>
      </c>
      <c r="AJ33" s="1">
        <f t="shared" si="86"/>
        <v>2.3955864323661626</v>
      </c>
      <c r="AK33" s="1">
        <f t="shared" si="86"/>
        <v>2.4594871794871795</v>
      </c>
      <c r="AL33" s="1">
        <f>+AL32/AL34</f>
        <v>3.7770423991726991</v>
      </c>
      <c r="AM33" s="1">
        <f>+AM32/AM34</f>
        <v>4.4896830461603914</v>
      </c>
      <c r="AN33" s="1">
        <f>+AN32/AN34</f>
        <v>4.4493628437290411</v>
      </c>
      <c r="AO33" s="1">
        <f>+AO32/AO34</f>
        <v>4.5352079395085063</v>
      </c>
      <c r="AP33" s="1">
        <f t="shared" ref="AP33:AR33" si="87">+AP32/AP34</f>
        <v>4.8325183374083132</v>
      </c>
      <c r="AQ33" s="1">
        <f t="shared" si="87"/>
        <v>0.90977443609022557</v>
      </c>
      <c r="AR33" s="1">
        <f t="shared" si="87"/>
        <v>0.12637330007720174</v>
      </c>
      <c r="AS33" s="1">
        <f t="shared" ref="AS33" si="88">+AS32/AS34</f>
        <v>-0.15744645895675646</v>
      </c>
      <c r="AT33" s="1">
        <f t="shared" ref="AT33" si="89">+AT32/AT34</f>
        <v>1.1772776198744355</v>
      </c>
      <c r="AU33" s="1">
        <f t="shared" ref="AU33" si="90">+AU32/AU34</f>
        <v>1.4304602186084614</v>
      </c>
      <c r="AV33" s="1">
        <f t="shared" ref="AV33" si="91">+AV32/AV34</f>
        <v>1.7162920348623689</v>
      </c>
      <c r="AW33" s="1">
        <f t="shared" ref="AW33" si="92">+AW32/AW34</f>
        <v>2.0507836746587951</v>
      </c>
      <c r="AX33" s="1">
        <f t="shared" ref="AX33" si="93">+AX32/AX34</f>
        <v>2.4036452852604264</v>
      </c>
      <c r="AY33" s="1">
        <f t="shared" ref="AY33" si="94">+AY32/AY34</f>
        <v>2.6364404959789667</v>
      </c>
      <c r="AZ33" s="1">
        <f t="shared" ref="AZ33" si="95">+AZ32/AZ34</f>
        <v>3.1902434488754992</v>
      </c>
      <c r="BA33" s="1">
        <f t="shared" ref="BA33" si="96">+BA32/BA34</f>
        <v>3.6284145236689036</v>
      </c>
      <c r="BB33" s="1">
        <f t="shared" ref="BB33" si="97">+BB32/BB34</f>
        <v>4.1176543323070982</v>
      </c>
      <c r="BC33" s="1">
        <f t="shared" ref="BC33" si="98">+BC32/BC34</f>
        <v>4.4573309755753021</v>
      </c>
      <c r="BD33" s="1">
        <f t="shared" ref="BD33" si="99">+BD32/BD34</f>
        <v>5.0164114418850021</v>
      </c>
    </row>
    <row r="34" spans="2:60" x14ac:dyDescent="0.2">
      <c r="B34" s="2" t="s">
        <v>1</v>
      </c>
      <c r="G34" s="5">
        <v>4096</v>
      </c>
      <c r="H34" s="5">
        <v>4084</v>
      </c>
      <c r="I34" s="5">
        <v>4086</v>
      </c>
      <c r="J34" s="5">
        <v>4095</v>
      </c>
      <c r="K34" s="5">
        <v>4107</v>
      </c>
      <c r="L34" s="5">
        <v>4100</v>
      </c>
      <c r="M34" s="5">
        <v>4125</v>
      </c>
      <c r="N34" s="5">
        <v>4133</v>
      </c>
      <c r="O34" s="5">
        <v>4154</v>
      </c>
      <c r="P34" s="5">
        <v>4196</v>
      </c>
      <c r="Q34" s="5">
        <v>4229</v>
      </c>
      <c r="R34" s="5">
        <v>4260</v>
      </c>
      <c r="S34" s="5">
        <v>4242</v>
      </c>
      <c r="T34" s="5">
        <v>4267</v>
      </c>
      <c r="U34" s="5">
        <f>+T34</f>
        <v>4267</v>
      </c>
      <c r="V34" s="5">
        <f>+U34</f>
        <v>4267</v>
      </c>
      <c r="Z34" s="2">
        <v>6178</v>
      </c>
      <c r="AA34" s="2">
        <v>5880</v>
      </c>
      <c r="AB34" s="2">
        <v>5936</v>
      </c>
      <c r="AC34" s="2">
        <v>5748</v>
      </c>
      <c r="AD34" s="2">
        <v>5645</v>
      </c>
      <c r="AE34" s="2">
        <v>5696</v>
      </c>
      <c r="AF34" s="2">
        <v>5411</v>
      </c>
      <c r="AG34" s="2">
        <v>5160</v>
      </c>
      <c r="AH34" s="2">
        <v>5097</v>
      </c>
      <c r="AI34" s="2">
        <v>5056</v>
      </c>
      <c r="AJ34" s="2">
        <v>4894</v>
      </c>
      <c r="AK34" s="2">
        <v>4875</v>
      </c>
      <c r="AL34" s="2">
        <v>4835</v>
      </c>
      <c r="AM34" s="2">
        <v>4701</v>
      </c>
      <c r="AN34" s="2">
        <v>4473</v>
      </c>
      <c r="AO34" s="2">
        <v>4232</v>
      </c>
      <c r="AP34" s="2">
        <v>4090</v>
      </c>
      <c r="AQ34" s="2">
        <v>4123</v>
      </c>
      <c r="AR34" s="2">
        <f>AVERAGE(O34:R34)</f>
        <v>4209.75</v>
      </c>
      <c r="AS34" s="2">
        <f>AVERAGE(S34:V34)</f>
        <v>4260.75</v>
      </c>
      <c r="AT34" s="2">
        <f t="shared" ref="AT34:BD34" si="100">+AS34</f>
        <v>4260.75</v>
      </c>
      <c r="AU34" s="2">
        <f t="shared" si="100"/>
        <v>4260.75</v>
      </c>
      <c r="AV34" s="2">
        <f t="shared" si="100"/>
        <v>4260.75</v>
      </c>
      <c r="AW34" s="2">
        <f t="shared" si="100"/>
        <v>4260.75</v>
      </c>
      <c r="AX34" s="2">
        <f t="shared" si="100"/>
        <v>4260.75</v>
      </c>
      <c r="AY34" s="2">
        <f t="shared" si="100"/>
        <v>4260.75</v>
      </c>
      <c r="AZ34" s="2">
        <f t="shared" si="100"/>
        <v>4260.75</v>
      </c>
      <c r="BA34" s="2">
        <f t="shared" si="100"/>
        <v>4260.75</v>
      </c>
      <c r="BB34" s="2">
        <f t="shared" si="100"/>
        <v>4260.75</v>
      </c>
      <c r="BC34" s="2">
        <f t="shared" si="100"/>
        <v>4260.75</v>
      </c>
      <c r="BD34" s="2">
        <f t="shared" si="100"/>
        <v>4260.75</v>
      </c>
    </row>
    <row r="35" spans="2:60" x14ac:dyDescent="0.2">
      <c r="AU35" s="4"/>
      <c r="BG35" t="s">
        <v>73</v>
      </c>
      <c r="BH35" s="4">
        <v>0.08</v>
      </c>
    </row>
    <row r="36" spans="2:60" s="12" customFormat="1" x14ac:dyDescent="0.2">
      <c r="B36" s="12" t="s">
        <v>24</v>
      </c>
      <c r="C36" s="14"/>
      <c r="D36" s="14"/>
      <c r="E36" s="14"/>
      <c r="F36" s="14"/>
      <c r="G36" s="14"/>
      <c r="H36" s="14"/>
      <c r="I36" s="14"/>
      <c r="J36" s="14"/>
      <c r="K36" s="17">
        <f t="shared" ref="K36:M36" si="101">+K22/G22-1</f>
        <v>-6.7097036547552502E-2</v>
      </c>
      <c r="L36" s="17">
        <f t="shared" si="101"/>
        <v>-0.2195507106107687</v>
      </c>
      <c r="M36" s="17">
        <f t="shared" si="101"/>
        <v>-0.20081283868278454</v>
      </c>
      <c r="N36" s="17">
        <f>+N22/J22-1</f>
        <v>-0.31595869056897896</v>
      </c>
      <c r="O36" s="17">
        <f t="shared" ref="O36" si="102">+O22/K22-1</f>
        <v>-0.36168473818994173</v>
      </c>
      <c r="P36" s="17">
        <f t="shared" ref="P36" si="103">+P22/L22-1</f>
        <v>-0.15482018145029697</v>
      </c>
      <c r="Q36" s="17">
        <f t="shared" ref="Q36" si="104">+Q22/M22-1</f>
        <v>-7.6933107315164895E-2</v>
      </c>
      <c r="R36" s="17">
        <f t="shared" ref="R36:V36" si="105">+R22/N22-1</f>
        <v>9.7137159948725182E-2</v>
      </c>
      <c r="S36" s="17">
        <f t="shared" si="105"/>
        <v>8.6128894579598825E-2</v>
      </c>
      <c r="T36" s="17">
        <f t="shared" si="105"/>
        <v>-8.9582207120241231E-3</v>
      </c>
      <c r="U36" s="17">
        <f t="shared" si="105"/>
        <v>-8.1791213448227151E-2</v>
      </c>
      <c r="V36" s="17">
        <f t="shared" si="105"/>
        <v>-9.9999999999999978E-2</v>
      </c>
      <c r="W36" s="17"/>
      <c r="X36" s="17"/>
      <c r="AA36" s="15"/>
      <c r="AB36" s="15">
        <f>+AB22/AA22-1</f>
        <v>8.3432253688316083E-2</v>
      </c>
      <c r="AC36" s="15">
        <f>+AC22/AB22-1</f>
        <v>-1.9512704126884772E-2</v>
      </c>
      <c r="AD36" s="15">
        <f>+AD22/AC22-1</f>
        <v>-6.5423295908050849E-2</v>
      </c>
      <c r="AE36" s="15">
        <f>+AE22/AD22-1</f>
        <v>0.2418652318729182</v>
      </c>
      <c r="AF36" s="15">
        <f t="shared" ref="AF36:AH36" si="106">+AF22/AE22-1</f>
        <v>0.2378561767874745</v>
      </c>
      <c r="AG36" s="15">
        <f t="shared" si="106"/>
        <v>-1.2185410840941491E-2</v>
      </c>
      <c r="AH36" s="15">
        <f t="shared" si="106"/>
        <v>-1.1867044112408798E-2</v>
      </c>
      <c r="AI36" s="15">
        <f t="shared" ref="AI36:AQ36" si="107">+AI22/AH22-1</f>
        <v>5.9990893223040187E-2</v>
      </c>
      <c r="AJ36" s="15">
        <f t="shared" si="107"/>
        <v>-9.2178270986218447E-3</v>
      </c>
      <c r="AK36" s="15">
        <f t="shared" si="107"/>
        <v>7.283894860446205E-2</v>
      </c>
      <c r="AL36" s="15">
        <f t="shared" si="107"/>
        <v>5.6813780793776525E-2</v>
      </c>
      <c r="AM36" s="15">
        <f t="shared" si="107"/>
        <v>0.12885390608817571</v>
      </c>
      <c r="AN36" s="15">
        <f t="shared" si="107"/>
        <v>1.576614724480585E-2</v>
      </c>
      <c r="AO36" s="15">
        <f t="shared" si="107"/>
        <v>8.2012089210032668E-2</v>
      </c>
      <c r="AP36" s="15">
        <f t="shared" si="107"/>
        <v>1.4858669269395275E-2</v>
      </c>
      <c r="AQ36" s="15">
        <f t="shared" si="107"/>
        <v>-0.20209050415063778</v>
      </c>
      <c r="AR36" s="15">
        <f t="shared" ref="AR36:BD36" si="108">+AR22/AQ22-1</f>
        <v>-0.13997525930155108</v>
      </c>
      <c r="AS36" s="15">
        <f t="shared" si="108"/>
        <v>-3.329645201740794E-2</v>
      </c>
      <c r="AT36" s="15">
        <f t="shared" si="108"/>
        <v>0.11932739248870727</v>
      </c>
      <c r="AU36" s="15">
        <f t="shared" si="108"/>
        <v>7.0192307692307665E-2</v>
      </c>
      <c r="AV36" s="15">
        <f t="shared" si="108"/>
        <v>4.9999999999999822E-2</v>
      </c>
      <c r="AW36" s="15">
        <f t="shared" si="108"/>
        <v>6.9811320754717077E-2</v>
      </c>
      <c r="AX36" s="15">
        <f t="shared" si="108"/>
        <v>5.0000000000000044E-2</v>
      </c>
      <c r="AY36" s="15">
        <f t="shared" si="108"/>
        <v>5.0000000000000044E-2</v>
      </c>
      <c r="AZ36" s="15">
        <f t="shared" si="108"/>
        <v>6.9444444444444642E-2</v>
      </c>
      <c r="BA36" s="15">
        <f t="shared" si="108"/>
        <v>6.9090909090909092E-2</v>
      </c>
      <c r="BB36" s="15">
        <f t="shared" si="108"/>
        <v>4.9999999999999822E-2</v>
      </c>
      <c r="BC36" s="15">
        <f t="shared" si="108"/>
        <v>5.0000000000000044E-2</v>
      </c>
      <c r="BD36" s="15">
        <f t="shared" si="108"/>
        <v>5.0000000000000044E-2</v>
      </c>
      <c r="BG36" t="s">
        <v>74</v>
      </c>
      <c r="BH36" s="4">
        <v>0.01</v>
      </c>
    </row>
    <row r="37" spans="2:60" s="12" customFormat="1" x14ac:dyDescent="0.2">
      <c r="B37" s="12" t="s">
        <v>103</v>
      </c>
      <c r="C37" s="14"/>
      <c r="D37" s="14"/>
      <c r="E37" s="14"/>
      <c r="F37" s="14"/>
      <c r="G37" s="14"/>
      <c r="H37" s="14"/>
      <c r="I37" s="14"/>
      <c r="J37" s="14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AA37" s="15"/>
      <c r="AB37" s="15">
        <f t="shared" ref="AB37:AG37" si="109">+AB11/AA11-1</f>
        <v>0.13900501672240795</v>
      </c>
      <c r="AC37" s="15">
        <f t="shared" si="109"/>
        <v>6.7351807671132358E-2</v>
      </c>
      <c r="AD37" s="15">
        <f t="shared" si="109"/>
        <v>6.0316368638239304E-2</v>
      </c>
      <c r="AE37" s="15">
        <f t="shared" si="109"/>
        <v>0.13802944801193484</v>
      </c>
      <c r="AF37" s="15">
        <f t="shared" si="109"/>
        <v>4.1208321459105246E-2</v>
      </c>
      <c r="AG37" s="15">
        <f t="shared" si="109"/>
        <v>-3.9139478870155453E-2</v>
      </c>
      <c r="AH37" s="15">
        <f t="shared" ref="AH37:AQ37" si="110">+AH11/AG11-1</f>
        <v>-9.8729561898251106E-2</v>
      </c>
      <c r="AI37" s="15">
        <f t="shared" si="110"/>
        <v>-8.5967130214916754E-3</v>
      </c>
      <c r="AJ37" s="15">
        <f t="shared" si="110"/>
        <v>-8.2887018617699537E-2</v>
      </c>
      <c r="AK37" s="15">
        <f t="shared" si="110"/>
        <v>-6.2500000000000111E-2</v>
      </c>
      <c r="AL37" s="15">
        <f t="shared" si="110"/>
        <v>-2.6325546903967267E-2</v>
      </c>
      <c r="AM37" s="15">
        <f t="shared" si="110"/>
        <v>-1.1043412033511224E-2</v>
      </c>
      <c r="AN37" s="15">
        <f t="shared" si="110"/>
        <v>1.0974201001155315E-2</v>
      </c>
      <c r="AO37" s="15">
        <f t="shared" si="110"/>
        <v>0.17722338602171006</v>
      </c>
      <c r="AP37" s="15">
        <f t="shared" si="110"/>
        <v>0.10563608127345692</v>
      </c>
      <c r="AQ37" s="15">
        <f t="shared" si="110"/>
        <v>-0.16878822462177745</v>
      </c>
      <c r="AR37" s="15">
        <f>+AR11/AQ11-1</f>
        <v>-0.14842457313853208</v>
      </c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G37"/>
      <c r="BH37" s="4"/>
    </row>
    <row r="38" spans="2:60" x14ac:dyDescent="0.2">
      <c r="B38" s="2" t="s">
        <v>63</v>
      </c>
      <c r="AK38" s="4">
        <v>1.67E-2</v>
      </c>
      <c r="AL38" s="4">
        <v>2.2599999999999999E-2</v>
      </c>
      <c r="AM38" s="4">
        <v>2.92E-2</v>
      </c>
      <c r="AN38" s="4">
        <v>2.29E-2</v>
      </c>
      <c r="AO38" s="4">
        <v>-3.4000000000000002E-2</v>
      </c>
      <c r="AP38" s="4">
        <v>5.67E-2</v>
      </c>
      <c r="AQ38" s="4">
        <v>0.01</v>
      </c>
      <c r="BG38" t="s">
        <v>75</v>
      </c>
      <c r="BH38" s="4">
        <v>0.01</v>
      </c>
    </row>
    <row r="39" spans="2:60" x14ac:dyDescent="0.2">
      <c r="B39" t="s">
        <v>25</v>
      </c>
      <c r="G39" s="19">
        <f t="shared" ref="G39:K39" si="111">+G24/G22</f>
        <v>0.55172063233873836</v>
      </c>
      <c r="H39" s="19">
        <f t="shared" si="111"/>
        <v>0.57083184758799854</v>
      </c>
      <c r="I39" s="19">
        <f t="shared" si="111"/>
        <v>0.55992080033347225</v>
      </c>
      <c r="J39" s="19">
        <f t="shared" si="111"/>
        <v>0.53629189399844113</v>
      </c>
      <c r="K39" s="19">
        <f t="shared" si="111"/>
        <v>0.50367787282733067</v>
      </c>
      <c r="L39" s="19">
        <f t="shared" ref="L39:Q39" si="112">+L24/L22</f>
        <v>0.36466288101298872</v>
      </c>
      <c r="M39" s="19">
        <f t="shared" si="112"/>
        <v>0.42606597991915501</v>
      </c>
      <c r="N39" s="19">
        <f t="shared" si="112"/>
        <v>0.39168209656744052</v>
      </c>
      <c r="O39" s="19">
        <f t="shared" si="112"/>
        <v>0.34212548015364919</v>
      </c>
      <c r="P39" s="19">
        <f t="shared" si="112"/>
        <v>0.35817437639972199</v>
      </c>
      <c r="Q39" s="19">
        <f t="shared" si="112"/>
        <v>0.42506003672835146</v>
      </c>
      <c r="R39" s="19">
        <f>+R24/R22</f>
        <v>0.45741918732961184</v>
      </c>
      <c r="S39" s="19">
        <f>+S24/S22</f>
        <v>0.41001257466205598</v>
      </c>
      <c r="T39" s="19">
        <f>+T24/T22</f>
        <v>0.35432089145172602</v>
      </c>
      <c r="U39" s="19">
        <f>+U24/U22</f>
        <v>0.4</v>
      </c>
      <c r="V39" s="19">
        <f>+V24/V22</f>
        <v>0.4</v>
      </c>
      <c r="Z39" s="4">
        <f t="shared" ref="Z39:AG39" si="113">+Z24/Z22</f>
        <v>0.59364858599907278</v>
      </c>
      <c r="AA39" s="4">
        <f t="shared" si="113"/>
        <v>0.51489457916454695</v>
      </c>
      <c r="AB39" s="4">
        <f t="shared" si="113"/>
        <v>0.51922575259560699</v>
      </c>
      <c r="AC39" s="4">
        <f t="shared" si="113"/>
        <v>0.55456819028361626</v>
      </c>
      <c r="AD39" s="4">
        <f t="shared" si="113"/>
        <v>0.55686508953226865</v>
      </c>
      <c r="AE39" s="4">
        <f t="shared" si="113"/>
        <v>0.65311876762258436</v>
      </c>
      <c r="AF39" s="4">
        <f t="shared" si="113"/>
        <v>0.62514120631863557</v>
      </c>
      <c r="AG39" s="4">
        <f t="shared" si="113"/>
        <v>0.62149191053786024</v>
      </c>
      <c r="AH39" s="4">
        <f t="shared" ref="AH39" si="114">+AH24/AH22</f>
        <v>0.5980306594824315</v>
      </c>
      <c r="AI39" s="4">
        <f t="shared" ref="AI39" si="115">+AI24/AI22</f>
        <v>0.6373545731161625</v>
      </c>
      <c r="AJ39" s="4">
        <f t="shared" ref="AJ39:AL39" si="116">+AJ24/AJ22</f>
        <v>0.62648360581699936</v>
      </c>
      <c r="AK39" s="4">
        <f t="shared" si="116"/>
        <v>0.60940946671830531</v>
      </c>
      <c r="AL39" s="4">
        <f t="shared" si="116"/>
        <v>0.6225044215356671</v>
      </c>
      <c r="AM39" s="4">
        <f t="shared" ref="AM39:AN39" si="117">+AM24/AM22</f>
        <v>0.61733570460704612</v>
      </c>
      <c r="AN39" s="4">
        <f t="shared" si="117"/>
        <v>0.5855624261793928</v>
      </c>
      <c r="AO39" s="4">
        <f>+AO24/AO22</f>
        <v>0.5600832188218372</v>
      </c>
      <c r="AP39" s="4">
        <f>+AP24/AP22</f>
        <v>0.5544518121077141</v>
      </c>
      <c r="AQ39" s="4">
        <f>+AQ24/AQ22</f>
        <v>0.42607923367272499</v>
      </c>
      <c r="AR39" s="21">
        <f t="shared" ref="AR39:BD39" si="118">+AR24/AR22</f>
        <v>0.40036512502766097</v>
      </c>
      <c r="AS39" s="4">
        <f t="shared" si="118"/>
        <v>0.39124801611524845</v>
      </c>
      <c r="AT39" s="4">
        <f t="shared" si="118"/>
        <v>0.47999999999999993</v>
      </c>
      <c r="AU39" s="4">
        <f t="shared" si="118"/>
        <v>0.48</v>
      </c>
      <c r="AV39" s="4">
        <f t="shared" si="118"/>
        <v>0.49</v>
      </c>
      <c r="AW39" s="4">
        <f t="shared" si="118"/>
        <v>0.48999999999999994</v>
      </c>
      <c r="AX39" s="4">
        <f t="shared" si="118"/>
        <v>0.5</v>
      </c>
      <c r="AY39" s="4">
        <f t="shared" si="118"/>
        <v>0.5</v>
      </c>
      <c r="AZ39" s="4">
        <f t="shared" si="118"/>
        <v>0.51</v>
      </c>
      <c r="BA39" s="4">
        <f t="shared" si="118"/>
        <v>0.51</v>
      </c>
      <c r="BB39" s="4">
        <f t="shared" si="118"/>
        <v>0.52</v>
      </c>
      <c r="BC39" s="4">
        <f t="shared" si="118"/>
        <v>0.52</v>
      </c>
      <c r="BD39" s="4">
        <f t="shared" si="118"/>
        <v>0.53</v>
      </c>
      <c r="BG39" t="s">
        <v>77</v>
      </c>
      <c r="BH39" s="2">
        <f>NPV(BH35,AR32:ED32)+Main!L5-Main!L6</f>
        <v>162647.12866344571</v>
      </c>
    </row>
    <row r="40" spans="2:60" x14ac:dyDescent="0.2">
      <c r="B40" t="s">
        <v>105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21">
        <v>0.436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H40" s="2"/>
    </row>
    <row r="41" spans="2:60" x14ac:dyDescent="0.2">
      <c r="BG41" t="s">
        <v>78</v>
      </c>
      <c r="BH41" s="1">
        <f>+BH39/Main!L3</f>
        <v>38.117442855272017</v>
      </c>
    </row>
    <row r="42" spans="2:60" x14ac:dyDescent="0.2">
      <c r="B42" t="s">
        <v>76</v>
      </c>
      <c r="T42" s="5">
        <f>+T43-T52</f>
        <v>-17932</v>
      </c>
      <c r="AQ42" s="2"/>
      <c r="AR42" s="2"/>
      <c r="AS42" s="2"/>
      <c r="AT42" s="2">
        <f t="shared" ref="AT42:BD42" si="119">+AS42+AT32</f>
        <v>5016.0856188800008</v>
      </c>
      <c r="AU42" s="2">
        <f t="shared" si="119"/>
        <v>11110.918995316002</v>
      </c>
      <c r="AV42" s="2">
        <f t="shared" si="119"/>
        <v>18423.61028285584</v>
      </c>
      <c r="AW42" s="2">
        <f t="shared" si="119"/>
        <v>27161.486824658299</v>
      </c>
      <c r="AX42" s="2">
        <f t="shared" si="119"/>
        <v>37402.818473831663</v>
      </c>
      <c r="AY42" s="2">
        <f t="shared" si="119"/>
        <v>48636.032317074045</v>
      </c>
      <c r="AZ42" s="2">
        <f t="shared" si="119"/>
        <v>62228.862091870324</v>
      </c>
      <c r="BA42" s="2">
        <f t="shared" si="119"/>
        <v>77688.629273592611</v>
      </c>
      <c r="BB42" s="2">
        <f t="shared" si="119"/>
        <v>95232.924969970074</v>
      </c>
      <c r="BC42" s="2">
        <f t="shared" si="119"/>
        <v>114224.49792415254</v>
      </c>
      <c r="BD42" s="2">
        <f t="shared" si="119"/>
        <v>135598.17297516408</v>
      </c>
      <c r="BH42" s="4">
        <f>+BH41/Main!L2-1</f>
        <v>0.76633192100426406</v>
      </c>
    </row>
    <row r="43" spans="2:60" x14ac:dyDescent="0.2">
      <c r="B43" t="s">
        <v>3</v>
      </c>
      <c r="T43" s="5">
        <f>11287+17986+5824</f>
        <v>35097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H43" s="4"/>
    </row>
    <row r="44" spans="2:60" x14ac:dyDescent="0.2">
      <c r="B44" t="s">
        <v>85</v>
      </c>
      <c r="T44" s="5">
        <v>3131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H44" s="4"/>
    </row>
    <row r="45" spans="2:60" x14ac:dyDescent="0.2">
      <c r="B45" t="s">
        <v>86</v>
      </c>
      <c r="T45" s="5">
        <v>11244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H45" s="4"/>
    </row>
    <row r="46" spans="2:60" x14ac:dyDescent="0.2">
      <c r="B46" t="s">
        <v>87</v>
      </c>
      <c r="T46" s="5">
        <v>7181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H46" s="4"/>
    </row>
    <row r="47" spans="2:60" x14ac:dyDescent="0.2">
      <c r="B47" t="s">
        <v>88</v>
      </c>
      <c r="T47" s="5">
        <v>103398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H47" s="4"/>
    </row>
    <row r="48" spans="2:60" x14ac:dyDescent="0.2">
      <c r="B48" t="s">
        <v>89</v>
      </c>
      <c r="T48" s="5">
        <f>27442+4383</f>
        <v>31825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H48" s="4"/>
    </row>
    <row r="49" spans="2:60" x14ac:dyDescent="0.2">
      <c r="B49" t="s">
        <v>90</v>
      </c>
      <c r="T49" s="5">
        <v>14329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H49" s="4"/>
    </row>
    <row r="50" spans="2:60" x14ac:dyDescent="0.2">
      <c r="B50" t="s">
        <v>91</v>
      </c>
      <c r="T50" s="5">
        <f>SUM(T43:T49)</f>
        <v>206205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H50" s="4"/>
    </row>
    <row r="51" spans="2:60" x14ac:dyDescent="0.2"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H51" s="4"/>
    </row>
    <row r="52" spans="2:60" x14ac:dyDescent="0.2">
      <c r="B52" t="s">
        <v>4</v>
      </c>
      <c r="T52" s="5">
        <f>4695+48334</f>
        <v>53029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H52" s="4"/>
    </row>
    <row r="53" spans="2:60" x14ac:dyDescent="0.2">
      <c r="B53" t="s">
        <v>94</v>
      </c>
      <c r="T53" s="5">
        <v>9618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H53" s="4"/>
    </row>
    <row r="54" spans="2:60" x14ac:dyDescent="0.2">
      <c r="B54" t="s">
        <v>95</v>
      </c>
      <c r="T54" s="5">
        <v>2651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H54" s="4"/>
    </row>
    <row r="55" spans="2:60" x14ac:dyDescent="0.2">
      <c r="B55" t="s">
        <v>33</v>
      </c>
      <c r="T55" s="5">
        <v>1856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H55" s="4"/>
    </row>
    <row r="56" spans="2:60" x14ac:dyDescent="0.2">
      <c r="B56" t="s">
        <v>96</v>
      </c>
      <c r="T56" s="5">
        <v>13207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H56" s="4"/>
    </row>
    <row r="57" spans="2:60" x14ac:dyDescent="0.2">
      <c r="B57" t="s">
        <v>97</v>
      </c>
      <c r="T57" s="5">
        <v>5410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H57" s="4"/>
    </row>
    <row r="58" spans="2:60" x14ac:dyDescent="0.2">
      <c r="B58" t="s">
        <v>93</v>
      </c>
      <c r="T58" s="5">
        <v>120434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H58" s="4"/>
    </row>
    <row r="59" spans="2:60" x14ac:dyDescent="0.2">
      <c r="B59" t="s">
        <v>92</v>
      </c>
      <c r="T59" s="5">
        <f>SUM(T52:T58)</f>
        <v>206205</v>
      </c>
    </row>
    <row r="61" spans="2:60" x14ac:dyDescent="0.2">
      <c r="B61" s="2" t="s">
        <v>37</v>
      </c>
      <c r="Z61" s="2">
        <f t="shared" ref="Z61:AG61" si="120">+Z32</f>
        <v>7705</v>
      </c>
      <c r="AA61" s="2">
        <f t="shared" si="120"/>
        <v>3023</v>
      </c>
      <c r="AB61" s="2">
        <f t="shared" si="120"/>
        <v>5765</v>
      </c>
      <c r="AC61" s="2">
        <f t="shared" si="120"/>
        <v>6782</v>
      </c>
      <c r="AD61" s="2">
        <f t="shared" si="120"/>
        <v>4479</v>
      </c>
      <c r="AE61" s="2">
        <f t="shared" si="120"/>
        <v>10916</v>
      </c>
      <c r="AF61" s="2">
        <f t="shared" si="120"/>
        <v>12706</v>
      </c>
      <c r="AG61" s="2">
        <f t="shared" si="120"/>
        <v>10984</v>
      </c>
      <c r="AH61" s="2">
        <f t="shared" ref="AH61:AO61" si="121">+AH32</f>
        <v>9680</v>
      </c>
      <c r="AI61" s="2">
        <f t="shared" si="121"/>
        <v>11882</v>
      </c>
      <c r="AJ61" s="2">
        <f t="shared" si="121"/>
        <v>11724</v>
      </c>
      <c r="AK61" s="2">
        <f t="shared" si="121"/>
        <v>11990</v>
      </c>
      <c r="AL61" s="2">
        <f t="shared" si="121"/>
        <v>18262</v>
      </c>
      <c r="AM61" s="2">
        <f t="shared" si="121"/>
        <v>21106</v>
      </c>
      <c r="AN61" s="2">
        <f t="shared" si="121"/>
        <v>19902</v>
      </c>
      <c r="AO61" s="2">
        <f t="shared" si="121"/>
        <v>19193</v>
      </c>
      <c r="AP61" s="2">
        <f t="shared" ref="AP61:AQ61" si="122">+AP32</f>
        <v>19765</v>
      </c>
      <c r="AQ61" s="2">
        <f t="shared" si="122"/>
        <v>3751</v>
      </c>
    </row>
    <row r="62" spans="2:60" x14ac:dyDescent="0.2">
      <c r="B62" s="2" t="s">
        <v>38</v>
      </c>
      <c r="Z62" s="2">
        <v>8664</v>
      </c>
      <c r="AA62" s="2">
        <v>5044</v>
      </c>
      <c r="AB62" s="2">
        <v>6976</v>
      </c>
      <c r="AC62" s="2">
        <v>5292</v>
      </c>
      <c r="AD62" s="2">
        <v>4369</v>
      </c>
      <c r="AE62" s="2">
        <v>11464</v>
      </c>
      <c r="AF62" s="2">
        <v>12942</v>
      </c>
      <c r="AG62" s="2">
        <v>11005</v>
      </c>
      <c r="AH62" s="2">
        <v>9620</v>
      </c>
      <c r="AI62" s="2">
        <v>11704</v>
      </c>
      <c r="AJ62" s="2">
        <v>11420</v>
      </c>
      <c r="AK62" s="2">
        <v>10316</v>
      </c>
      <c r="AL62" s="2">
        <v>9601</v>
      </c>
      <c r="AM62" s="2">
        <v>21053</v>
      </c>
      <c r="AN62" s="2">
        <v>21048</v>
      </c>
      <c r="AO62" s="2">
        <v>20899</v>
      </c>
      <c r="AP62" s="2">
        <v>19868</v>
      </c>
      <c r="AQ62" s="2">
        <v>8017</v>
      </c>
    </row>
    <row r="63" spans="2:60" x14ac:dyDescent="0.2">
      <c r="B63" s="2" t="s">
        <v>40</v>
      </c>
      <c r="Z63" s="2"/>
      <c r="AA63" s="2"/>
      <c r="AB63" s="2"/>
      <c r="AO63" s="2">
        <v>10482</v>
      </c>
      <c r="AP63" s="2">
        <v>9953</v>
      </c>
      <c r="AQ63" s="2">
        <v>11128</v>
      </c>
    </row>
    <row r="64" spans="2:60" x14ac:dyDescent="0.2">
      <c r="B64" s="2" t="s">
        <v>41</v>
      </c>
      <c r="Z64" s="2"/>
      <c r="AA64" s="2"/>
      <c r="AB64" s="2"/>
      <c r="AO64" s="2">
        <v>1854</v>
      </c>
      <c r="AP64" s="2">
        <v>2036</v>
      </c>
      <c r="AQ64" s="2">
        <v>3128</v>
      </c>
    </row>
    <row r="65" spans="2:44" x14ac:dyDescent="0.2">
      <c r="B65" s="2" t="s">
        <v>42</v>
      </c>
      <c r="Z65" s="2"/>
      <c r="AA65" s="2"/>
      <c r="AB65" s="2"/>
      <c r="AO65" s="2">
        <v>198</v>
      </c>
      <c r="AP65" s="2">
        <v>2626</v>
      </c>
      <c r="AQ65" s="2">
        <v>1074</v>
      </c>
    </row>
    <row r="66" spans="2:44" x14ac:dyDescent="0.2">
      <c r="B66" s="2" t="s">
        <v>43</v>
      </c>
      <c r="Z66" s="2"/>
      <c r="AA66" s="2"/>
      <c r="AB66" s="2"/>
      <c r="AO66" s="2">
        <v>1757</v>
      </c>
      <c r="AP66" s="2">
        <v>1839</v>
      </c>
      <c r="AQ66" s="2">
        <v>1907</v>
      </c>
    </row>
    <row r="67" spans="2:44" x14ac:dyDescent="0.2">
      <c r="B67" s="2" t="s">
        <v>44</v>
      </c>
      <c r="Z67" s="2"/>
      <c r="AA67" s="2"/>
      <c r="AB67" s="2"/>
      <c r="AO67" s="2">
        <v>-1757</v>
      </c>
      <c r="AP67" s="2">
        <v>-1458</v>
      </c>
      <c r="AQ67" s="2">
        <v>-4254</v>
      </c>
    </row>
    <row r="68" spans="2:44" x14ac:dyDescent="0.2">
      <c r="B68" s="2" t="s">
        <v>45</v>
      </c>
      <c r="Z68" s="2"/>
      <c r="AA68" s="2"/>
      <c r="AB68" s="2"/>
      <c r="AO68" s="2">
        <v>-30</v>
      </c>
      <c r="AP68" s="2">
        <v>0</v>
      </c>
      <c r="AQ68" s="2">
        <v>-1059</v>
      </c>
    </row>
    <row r="69" spans="2:44" x14ac:dyDescent="0.2">
      <c r="B69" s="2" t="s">
        <v>46</v>
      </c>
      <c r="Z69" s="2"/>
      <c r="AA69" s="2"/>
      <c r="AB69" s="2"/>
      <c r="AO69" s="2">
        <f>883-687+405+348-181+1620+73</f>
        <v>2461</v>
      </c>
      <c r="AP69" s="2">
        <f>-2674-2339+1190+515-1583-441-76</f>
        <v>-5408</v>
      </c>
      <c r="AQ69" s="2">
        <f>5327-2436-29-1533-24-4535-1278</f>
        <v>-4508</v>
      </c>
    </row>
    <row r="70" spans="2:44" x14ac:dyDescent="0.2">
      <c r="B70" s="2" t="s">
        <v>39</v>
      </c>
      <c r="Z70" s="2">
        <v>14851</v>
      </c>
      <c r="AA70" s="2">
        <v>10632</v>
      </c>
      <c r="AB70" s="2">
        <v>12625</v>
      </c>
      <c r="AC70" s="2">
        <v>10926</v>
      </c>
      <c r="AD70" s="2">
        <v>11170</v>
      </c>
      <c r="AE70" s="2">
        <v>16692</v>
      </c>
      <c r="AF70" s="2">
        <v>20963</v>
      </c>
      <c r="AG70" s="2">
        <v>18884</v>
      </c>
      <c r="AH70" s="2">
        <v>20776</v>
      </c>
      <c r="AI70" s="2">
        <v>20418</v>
      </c>
      <c r="AJ70" s="2">
        <v>19017</v>
      </c>
      <c r="AK70" s="2">
        <v>21808</v>
      </c>
      <c r="AL70" s="2">
        <v>22110</v>
      </c>
      <c r="AM70" s="2">
        <v>29432</v>
      </c>
      <c r="AN70" s="2">
        <v>33145</v>
      </c>
      <c r="AO70" s="2">
        <f>SUM(AO62:AO69)</f>
        <v>35864</v>
      </c>
      <c r="AP70" s="2">
        <f>SUM(AP62:AP69)</f>
        <v>29456</v>
      </c>
      <c r="AQ70" s="2">
        <f>SUM(AQ62:AQ69)</f>
        <v>15433</v>
      </c>
    </row>
    <row r="71" spans="2:44" x14ac:dyDescent="0.2">
      <c r="Z71" s="2"/>
      <c r="AA71" s="2"/>
      <c r="AB71" s="2"/>
      <c r="AH71" s="2"/>
      <c r="AI71" s="2"/>
      <c r="AJ71" s="2"/>
    </row>
    <row r="72" spans="2:44" x14ac:dyDescent="0.2">
      <c r="B72" s="2" t="s">
        <v>47</v>
      </c>
      <c r="Z72" s="2">
        <v>5871</v>
      </c>
      <c r="AA72" s="2">
        <v>5860</v>
      </c>
      <c r="AB72" s="2">
        <v>5000</v>
      </c>
      <c r="AC72" s="2">
        <v>5197</v>
      </c>
      <c r="AD72" s="2">
        <v>4515</v>
      </c>
      <c r="AE72" s="2">
        <v>5207</v>
      </c>
      <c r="AF72" s="2">
        <v>5207</v>
      </c>
      <c r="AG72" s="2">
        <v>11027</v>
      </c>
      <c r="AH72" s="2">
        <v>10711</v>
      </c>
      <c r="AI72" s="2">
        <v>10105</v>
      </c>
      <c r="AJ72" s="2">
        <v>7326</v>
      </c>
      <c r="AK72" s="2">
        <v>9625</v>
      </c>
      <c r="AL72" s="2">
        <v>11778</v>
      </c>
      <c r="AM72" s="2">
        <v>-15181</v>
      </c>
      <c r="AN72" s="2">
        <v>-16213</v>
      </c>
      <c r="AO72" s="2">
        <v>-14259</v>
      </c>
      <c r="AP72" s="2">
        <v>-18733</v>
      </c>
      <c r="AQ72" s="2">
        <v>-24844</v>
      </c>
    </row>
    <row r="73" spans="2:44" x14ac:dyDescent="0.2">
      <c r="B73" s="2" t="s">
        <v>48</v>
      </c>
      <c r="Z73" s="6">
        <f t="shared" ref="Z73:AL73" si="123">+Z70-Z72</f>
        <v>8980</v>
      </c>
      <c r="AA73" s="6">
        <f t="shared" si="123"/>
        <v>4772</v>
      </c>
      <c r="AB73" s="6">
        <f t="shared" si="123"/>
        <v>7625</v>
      </c>
      <c r="AC73" s="6">
        <f t="shared" si="123"/>
        <v>5729</v>
      </c>
      <c r="AD73" s="6">
        <f t="shared" si="123"/>
        <v>6655</v>
      </c>
      <c r="AE73" s="6">
        <f t="shared" si="123"/>
        <v>11485</v>
      </c>
      <c r="AF73" s="6">
        <f t="shared" si="123"/>
        <v>15756</v>
      </c>
      <c r="AG73" s="6">
        <f t="shared" si="123"/>
        <v>7857</v>
      </c>
      <c r="AH73" s="6">
        <f t="shared" si="123"/>
        <v>10065</v>
      </c>
      <c r="AI73" s="6">
        <f t="shared" si="123"/>
        <v>10313</v>
      </c>
      <c r="AJ73" s="6">
        <f t="shared" si="123"/>
        <v>11691</v>
      </c>
      <c r="AK73" s="6">
        <f t="shared" si="123"/>
        <v>12183</v>
      </c>
      <c r="AL73" s="6">
        <f t="shared" si="123"/>
        <v>10332</v>
      </c>
      <c r="AM73" s="6">
        <f>+AM70+AM72</f>
        <v>14251</v>
      </c>
      <c r="AN73" s="6">
        <f>+AN70+AN72</f>
        <v>16932</v>
      </c>
      <c r="AO73" s="6">
        <f>+AO70+AO72</f>
        <v>21605</v>
      </c>
      <c r="AP73" s="6">
        <f>+AP70+AP72</f>
        <v>10723</v>
      </c>
      <c r="AQ73" s="6">
        <f>+AQ70+AQ72</f>
        <v>-9411</v>
      </c>
      <c r="AR73" s="2"/>
    </row>
    <row r="76" spans="2:44" x14ac:dyDescent="0.2">
      <c r="B76" t="s">
        <v>84</v>
      </c>
      <c r="P76" s="5">
        <v>126800</v>
      </c>
      <c r="Q76" s="5"/>
      <c r="R76" s="5"/>
      <c r="S76" s="5">
        <v>125200</v>
      </c>
      <c r="T76" s="5">
        <v>125300</v>
      </c>
    </row>
  </sheetData>
  <hyperlinks>
    <hyperlink ref="A1" location="Main!A1" display="Main" xr:uid="{5CF14BD8-3E10-4C93-8FB6-1B87FA509CB3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B6BD-4FEB-4E55-92ED-F7D313998745}">
  <dimension ref="A1:F22"/>
  <sheetViews>
    <sheetView zoomScale="235" zoomScaleNormal="235" workbookViewId="0">
      <selection activeCell="B2" sqref="B2"/>
    </sheetView>
  </sheetViews>
  <sheetFormatPr defaultRowHeight="12.75" x14ac:dyDescent="0.2"/>
  <cols>
    <col min="1" max="1" width="5" bestFit="1" customWidth="1"/>
    <col min="2" max="2" width="35.28515625" bestFit="1" customWidth="1"/>
  </cols>
  <sheetData>
    <row r="1" spans="1:6" x14ac:dyDescent="0.2">
      <c r="A1" s="11" t="s">
        <v>7</v>
      </c>
    </row>
    <row r="2" spans="1:6" x14ac:dyDescent="0.2">
      <c r="B2" t="s">
        <v>109</v>
      </c>
    </row>
    <row r="5" spans="1:6" x14ac:dyDescent="0.2">
      <c r="C5" s="3" t="s">
        <v>110</v>
      </c>
      <c r="D5" s="3" t="s">
        <v>112</v>
      </c>
      <c r="E5" s="3" t="s">
        <v>113</v>
      </c>
      <c r="F5" s="3" t="s">
        <v>114</v>
      </c>
    </row>
    <row r="6" spans="1:6" x14ac:dyDescent="0.2">
      <c r="B6" t="s">
        <v>111</v>
      </c>
      <c r="C6" s="3">
        <v>6</v>
      </c>
      <c r="D6" s="3">
        <v>5.6</v>
      </c>
      <c r="E6" s="3">
        <v>5.3</v>
      </c>
      <c r="F6" s="3">
        <v>4.7</v>
      </c>
    </row>
    <row r="7" spans="1:6" x14ac:dyDescent="0.2">
      <c r="B7" t="s">
        <v>115</v>
      </c>
      <c r="C7" s="3">
        <v>5.8</v>
      </c>
      <c r="D7" s="3">
        <v>5.6</v>
      </c>
      <c r="E7" s="3" t="s">
        <v>116</v>
      </c>
      <c r="F7" s="3" t="s">
        <v>116</v>
      </c>
    </row>
    <row r="8" spans="1:6" x14ac:dyDescent="0.2">
      <c r="B8" t="s">
        <v>117</v>
      </c>
      <c r="C8" s="3">
        <v>5.6</v>
      </c>
      <c r="D8" s="3">
        <v>5.5</v>
      </c>
      <c r="E8" s="3">
        <v>5.0999999999999996</v>
      </c>
      <c r="F8" s="3">
        <v>4.7</v>
      </c>
    </row>
    <row r="9" spans="1:6" x14ac:dyDescent="0.2">
      <c r="B9" t="s">
        <v>118</v>
      </c>
      <c r="C9" s="3">
        <v>4.4000000000000004</v>
      </c>
      <c r="D9" s="3">
        <v>4.3</v>
      </c>
      <c r="E9" s="3">
        <v>3.9</v>
      </c>
      <c r="F9" s="3" t="s">
        <v>116</v>
      </c>
    </row>
    <row r="10" spans="1:6" x14ac:dyDescent="0.2">
      <c r="B10" t="s">
        <v>119</v>
      </c>
      <c r="C10" s="3">
        <v>24</v>
      </c>
      <c r="D10" s="3">
        <v>20</v>
      </c>
      <c r="E10" s="3">
        <v>14</v>
      </c>
      <c r="F10" s="3">
        <v>4</v>
      </c>
    </row>
    <row r="11" spans="1:6" x14ac:dyDescent="0.2">
      <c r="B11" t="s">
        <v>120</v>
      </c>
      <c r="C11" s="3">
        <v>8</v>
      </c>
      <c r="D11" s="3">
        <v>8</v>
      </c>
      <c r="E11" s="3">
        <v>6</v>
      </c>
      <c r="F11" s="3">
        <v>4</v>
      </c>
    </row>
    <row r="12" spans="1:6" x14ac:dyDescent="0.2">
      <c r="B12" t="s">
        <v>121</v>
      </c>
      <c r="C12" s="3">
        <v>32</v>
      </c>
      <c r="D12" s="3">
        <v>28</v>
      </c>
      <c r="E12" s="3">
        <v>20</v>
      </c>
      <c r="F12" s="3">
        <v>8</v>
      </c>
    </row>
    <row r="13" spans="1:6" x14ac:dyDescent="0.2">
      <c r="B13" t="s">
        <v>122</v>
      </c>
      <c r="C13" s="3">
        <v>36</v>
      </c>
      <c r="D13" s="3">
        <v>33</v>
      </c>
      <c r="E13" s="3">
        <v>24</v>
      </c>
      <c r="F13" s="3">
        <v>12</v>
      </c>
    </row>
    <row r="16" spans="1:6" x14ac:dyDescent="0.2">
      <c r="B16" t="s">
        <v>127</v>
      </c>
      <c r="C16" t="s">
        <v>125</v>
      </c>
      <c r="E16" t="s">
        <v>128</v>
      </c>
      <c r="F16" s="3">
        <v>3.2</v>
      </c>
    </row>
    <row r="17" spans="2:6" x14ac:dyDescent="0.2">
      <c r="B17" t="s">
        <v>123</v>
      </c>
      <c r="C17" t="s">
        <v>124</v>
      </c>
      <c r="F17" s="3">
        <v>3.2</v>
      </c>
    </row>
    <row r="18" spans="2:6" x14ac:dyDescent="0.2">
      <c r="B18" t="s">
        <v>126</v>
      </c>
      <c r="C18" t="s">
        <v>50</v>
      </c>
      <c r="F18">
        <v>3.4</v>
      </c>
    </row>
    <row r="20" spans="2:6" x14ac:dyDescent="0.2">
      <c r="B20" t="s">
        <v>129</v>
      </c>
    </row>
    <row r="21" spans="2:6" x14ac:dyDescent="0.2">
      <c r="B21" t="s">
        <v>130</v>
      </c>
    </row>
    <row r="22" spans="2:6" x14ac:dyDescent="0.2">
      <c r="B22" t="s">
        <v>131</v>
      </c>
    </row>
  </sheetData>
  <hyperlinks>
    <hyperlink ref="A1" location="Main!A1" display="Main" xr:uid="{DA3BB37A-D489-4CDC-892B-DF80E61F02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14th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2023-02-01T14:35:47Z</dcterms:created>
  <dcterms:modified xsi:type="dcterms:W3CDTF">2024-09-05T00:10:55Z</dcterms:modified>
</cp:coreProperties>
</file>