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5481511-A747-45CF-88F3-18D5CFEF86DC}" xr6:coauthVersionLast="47" xr6:coauthVersionMax="47" xr10:uidLastSave="{00000000-0000-0000-0000-000000000000}"/>
  <bookViews>
    <workbookView xWindow="-26475" yWindow="0" windowWidth="25635" windowHeight="20985" activeTab="1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asgevy" sheetId="8" r:id="rId7"/>
    <sheet name="VX-880" sheetId="7" r:id="rId8"/>
    <sheet name="vanzacaftor" sheetId="12" r:id="rId9"/>
    <sheet name="VX-548" sheetId="13" r:id="rId10"/>
    <sheet name="VX-522" sheetId="15" r:id="rId11"/>
    <sheet name="inaxaplin" sheetId="10" r:id="rId12"/>
    <sheet name="VX-634" sheetId="14" r:id="rId13"/>
    <sheet name="IP" sheetId="4" r:id="rId14"/>
    <sheet name="Compounds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0" i="3" l="1"/>
  <c r="X19" i="3"/>
  <c r="X13" i="3"/>
  <c r="X15" i="3" l="1"/>
  <c r="BF31" i="3"/>
  <c r="BB20" i="3"/>
  <c r="M5" i="1"/>
  <c r="Y29" i="3"/>
  <c r="Y28" i="3"/>
  <c r="Y21" i="3"/>
  <c r="Y30" i="3" s="1"/>
  <c r="Y18" i="3"/>
  <c r="Y19" i="3" s="1"/>
  <c r="Y15" i="3"/>
  <c r="Y13" i="3"/>
  <c r="V17" i="3"/>
  <c r="W17" i="3" s="1"/>
  <c r="W16" i="3"/>
  <c r="V16" i="3"/>
  <c r="V20" i="3"/>
  <c r="W20" i="3" s="1"/>
  <c r="V25" i="3"/>
  <c r="W25" i="3" s="1"/>
  <c r="V8" i="3"/>
  <c r="W8" i="3" s="1"/>
  <c r="T20" i="3"/>
  <c r="U18" i="3"/>
  <c r="U46" i="3"/>
  <c r="U50" i="3" s="1"/>
  <c r="U37" i="3"/>
  <c r="U32" i="3"/>
  <c r="U41" i="3" s="1"/>
  <c r="AT3" i="3"/>
  <c r="AU3" i="3" s="1"/>
  <c r="AV3" i="3" s="1"/>
  <c r="AW3" i="3" s="1"/>
  <c r="AX3" i="3" s="1"/>
  <c r="AY3" i="3" s="1"/>
  <c r="S20" i="3"/>
  <c r="S18" i="3"/>
  <c r="S46" i="3"/>
  <c r="S50" i="3" s="1"/>
  <c r="S37" i="3"/>
  <c r="S32" i="3"/>
  <c r="S41" i="3" s="1"/>
  <c r="C20" i="3"/>
  <c r="C18" i="3"/>
  <c r="G20" i="3"/>
  <c r="C13" i="3"/>
  <c r="C29" i="3" s="1"/>
  <c r="G18" i="3"/>
  <c r="G13" i="3"/>
  <c r="G29" i="3" s="1"/>
  <c r="D20" i="3"/>
  <c r="D18" i="3"/>
  <c r="H20" i="3"/>
  <c r="H13" i="3"/>
  <c r="H15" i="3" s="1"/>
  <c r="H28" i="3" s="1"/>
  <c r="D13" i="3"/>
  <c r="D15" i="3" s="1"/>
  <c r="D28" i="3" s="1"/>
  <c r="H18" i="3"/>
  <c r="E20" i="3"/>
  <c r="E18" i="3"/>
  <c r="I20" i="3"/>
  <c r="I18" i="3"/>
  <c r="I13" i="3"/>
  <c r="I29" i="3" s="1"/>
  <c r="E13" i="3"/>
  <c r="E15" i="3" s="1"/>
  <c r="E28" i="3" s="1"/>
  <c r="F20" i="3"/>
  <c r="F18" i="3"/>
  <c r="J20" i="3"/>
  <c r="J18" i="3"/>
  <c r="F13" i="3"/>
  <c r="F15" i="3" s="1"/>
  <c r="F28" i="3" s="1"/>
  <c r="J13" i="3"/>
  <c r="J15" i="3" s="1"/>
  <c r="J28" i="3" s="1"/>
  <c r="K20" i="3"/>
  <c r="K18" i="3"/>
  <c r="O20" i="3"/>
  <c r="K13" i="3"/>
  <c r="K15" i="3" s="1"/>
  <c r="K28" i="3" s="1"/>
  <c r="N20" i="3"/>
  <c r="R20" i="3"/>
  <c r="R18" i="3"/>
  <c r="U13" i="3"/>
  <c r="U15" i="3" s="1"/>
  <c r="AU4" i="3"/>
  <c r="AV4" i="3" s="1"/>
  <c r="AW4" i="3" s="1"/>
  <c r="AX4" i="3" s="1"/>
  <c r="AY4" i="3" s="1"/>
  <c r="AZ4" i="3" s="1"/>
  <c r="BA4" i="3" s="1"/>
  <c r="BB4" i="3" s="1"/>
  <c r="BC4" i="3" s="1"/>
  <c r="AQ6" i="3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Q71" i="3"/>
  <c r="Q64" i="3"/>
  <c r="Q65" i="3" s="1"/>
  <c r="Q60" i="3"/>
  <c r="Q61" i="3" s="1"/>
  <c r="Q46" i="3"/>
  <c r="Q50" i="3" s="1"/>
  <c r="Q37" i="3"/>
  <c r="Q32" i="3"/>
  <c r="L20" i="3"/>
  <c r="P18" i="3"/>
  <c r="P20" i="3"/>
  <c r="L18" i="3"/>
  <c r="AJ18" i="3"/>
  <c r="AI18" i="3"/>
  <c r="AI13" i="3"/>
  <c r="AI15" i="3" s="1"/>
  <c r="AJ14" i="3"/>
  <c r="AJ12" i="3"/>
  <c r="AJ10" i="3"/>
  <c r="AJ9" i="3"/>
  <c r="AJ8" i="3"/>
  <c r="L13" i="3"/>
  <c r="L15" i="3" s="1"/>
  <c r="L28" i="3" s="1"/>
  <c r="M20" i="3"/>
  <c r="Q20" i="3"/>
  <c r="AK12" i="3"/>
  <c r="AL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AK9" i="3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AE2" i="3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Q18" i="3"/>
  <c r="O18" i="3"/>
  <c r="N18" i="3"/>
  <c r="M18" i="3"/>
  <c r="P13" i="3"/>
  <c r="P15" i="3" s="1"/>
  <c r="O13" i="3"/>
  <c r="O29" i="3" s="1"/>
  <c r="N13" i="3"/>
  <c r="N15" i="3" s="1"/>
  <c r="M13" i="3"/>
  <c r="M15" i="3" s="1"/>
  <c r="M28" i="3" s="1"/>
  <c r="Q13" i="3"/>
  <c r="Q15" i="3" s="1"/>
  <c r="Q28" i="3" s="1"/>
  <c r="M4" i="1"/>
  <c r="Y23" i="3" l="1"/>
  <c r="Y24" i="3" s="1"/>
  <c r="Y27" i="3"/>
  <c r="W18" i="3"/>
  <c r="V18" i="3"/>
  <c r="X18" i="3"/>
  <c r="V13" i="3"/>
  <c r="X28" i="3"/>
  <c r="C15" i="3"/>
  <c r="C28" i="3" s="1"/>
  <c r="V15" i="3"/>
  <c r="V28" i="3" s="1"/>
  <c r="V29" i="3"/>
  <c r="U19" i="3"/>
  <c r="U21" i="3" s="1"/>
  <c r="U30" i="3" s="1"/>
  <c r="X29" i="3"/>
  <c r="U23" i="3"/>
  <c r="U24" i="3" s="1"/>
  <c r="W13" i="3"/>
  <c r="W29" i="3" s="1"/>
  <c r="U28" i="3"/>
  <c r="U27" i="3"/>
  <c r="U29" i="3"/>
  <c r="H27" i="3"/>
  <c r="K27" i="3"/>
  <c r="G27" i="3"/>
  <c r="AZ3" i="3"/>
  <c r="G15" i="3"/>
  <c r="G28" i="3" s="1"/>
  <c r="D29" i="3"/>
  <c r="E29" i="3"/>
  <c r="F29" i="3"/>
  <c r="J27" i="3"/>
  <c r="I27" i="3"/>
  <c r="H29" i="3"/>
  <c r="J29" i="3"/>
  <c r="L27" i="3"/>
  <c r="D19" i="3"/>
  <c r="D21" i="3" s="1"/>
  <c r="H19" i="3"/>
  <c r="H21" i="3" s="1"/>
  <c r="I15" i="3"/>
  <c r="I28" i="3" s="1"/>
  <c r="J19" i="3"/>
  <c r="J21" i="3" s="1"/>
  <c r="N27" i="3"/>
  <c r="M27" i="3"/>
  <c r="E19" i="3"/>
  <c r="E21" i="3" s="1"/>
  <c r="I19" i="3"/>
  <c r="I21" i="3" s="1"/>
  <c r="F19" i="3"/>
  <c r="F21" i="3" s="1"/>
  <c r="F30" i="3" s="1"/>
  <c r="O15" i="3"/>
  <c r="O19" i="3" s="1"/>
  <c r="O21" i="3" s="1"/>
  <c r="Q29" i="3"/>
  <c r="N29" i="3"/>
  <c r="O27" i="3"/>
  <c r="K29" i="3"/>
  <c r="L29" i="3"/>
  <c r="M29" i="3"/>
  <c r="P29" i="3"/>
  <c r="K19" i="3"/>
  <c r="K21" i="3" s="1"/>
  <c r="P27" i="3"/>
  <c r="Q27" i="3"/>
  <c r="N28" i="3"/>
  <c r="N19" i="3"/>
  <c r="N21" i="3" s="1"/>
  <c r="N30" i="3" s="1"/>
  <c r="AK25" i="3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P19" i="3"/>
  <c r="P21" i="3" s="1"/>
  <c r="P30" i="3" s="1"/>
  <c r="AJ13" i="3"/>
  <c r="AJ15" i="3" s="1"/>
  <c r="AJ28" i="3" s="1"/>
  <c r="Q41" i="3"/>
  <c r="Q73" i="3"/>
  <c r="AK17" i="3"/>
  <c r="P28" i="3"/>
  <c r="M19" i="3"/>
  <c r="M21" i="3" s="1"/>
  <c r="M23" i="3" s="1"/>
  <c r="M24" i="3" s="1"/>
  <c r="AI19" i="3"/>
  <c r="L19" i="3"/>
  <c r="L21" i="3" s="1"/>
  <c r="AK10" i="3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S13" i="3"/>
  <c r="S15" i="3" s="1"/>
  <c r="S19" i="3" s="1"/>
  <c r="T13" i="3"/>
  <c r="T27" i="3" s="1"/>
  <c r="R13" i="3"/>
  <c r="V27" i="3" s="1"/>
  <c r="AK8" i="3"/>
  <c r="AL8" i="3" s="1"/>
  <c r="Q19" i="3"/>
  <c r="Q21" i="3" s="1"/>
  <c r="M7" i="1"/>
  <c r="X21" i="3" l="1"/>
  <c r="X30" i="3" s="1"/>
  <c r="V19" i="3"/>
  <c r="V21" i="3" s="1"/>
  <c r="X27" i="3"/>
  <c r="W15" i="3"/>
  <c r="W27" i="3"/>
  <c r="C19" i="3"/>
  <c r="C21" i="3" s="1"/>
  <c r="V14" i="3"/>
  <c r="C23" i="3"/>
  <c r="C24" i="3" s="1"/>
  <c r="C30" i="3"/>
  <c r="BA3" i="3"/>
  <c r="S27" i="3"/>
  <c r="G19" i="3"/>
  <c r="G21" i="3" s="1"/>
  <c r="G23" i="3" s="1"/>
  <c r="G24" i="3" s="1"/>
  <c r="E23" i="3"/>
  <c r="E24" i="3" s="1"/>
  <c r="E30" i="3"/>
  <c r="H23" i="3"/>
  <c r="H24" i="3" s="1"/>
  <c r="H30" i="3"/>
  <c r="D23" i="3"/>
  <c r="D24" i="3" s="1"/>
  <c r="D30" i="3"/>
  <c r="J23" i="3"/>
  <c r="J24" i="3" s="1"/>
  <c r="J30" i="3"/>
  <c r="F23" i="3"/>
  <c r="F24" i="3" s="1"/>
  <c r="I23" i="3"/>
  <c r="I24" i="3" s="1"/>
  <c r="I30" i="3"/>
  <c r="O28" i="3"/>
  <c r="O30" i="3"/>
  <c r="O23" i="3"/>
  <c r="O24" i="3" s="1"/>
  <c r="K23" i="3"/>
  <c r="K24" i="3" s="1"/>
  <c r="K30" i="3"/>
  <c r="R27" i="3"/>
  <c r="R29" i="3"/>
  <c r="S29" i="3"/>
  <c r="N23" i="3"/>
  <c r="N24" i="3" s="1"/>
  <c r="AK20" i="3"/>
  <c r="AM8" i="3"/>
  <c r="AL13" i="3"/>
  <c r="M30" i="3"/>
  <c r="AJ19" i="3"/>
  <c r="P23" i="3"/>
  <c r="P24" i="3" s="1"/>
  <c r="Q30" i="3"/>
  <c r="Q23" i="3"/>
  <c r="R15" i="3"/>
  <c r="R19" i="3" s="1"/>
  <c r="T15" i="3"/>
  <c r="S28" i="3"/>
  <c r="L30" i="3"/>
  <c r="L23" i="3"/>
  <c r="L24" i="3" s="1"/>
  <c r="AK13" i="3"/>
  <c r="X23" i="3" l="1"/>
  <c r="X24" i="3" s="1"/>
  <c r="W28" i="3"/>
  <c r="W19" i="3"/>
  <c r="W21" i="3" s="1"/>
  <c r="W14" i="3"/>
  <c r="V22" i="3"/>
  <c r="V30" i="3" s="1"/>
  <c r="V23" i="3"/>
  <c r="V24" i="3" s="1"/>
  <c r="T28" i="3"/>
  <c r="BB3" i="3"/>
  <c r="BC3" i="3" s="1"/>
  <c r="G30" i="3"/>
  <c r="T18" i="3"/>
  <c r="T19" i="3" s="1"/>
  <c r="T29" i="3"/>
  <c r="AK16" i="3"/>
  <c r="AK29" i="3" s="1"/>
  <c r="AL16" i="3"/>
  <c r="AL29" i="3" s="1"/>
  <c r="AL14" i="3"/>
  <c r="AL15" i="3" s="1"/>
  <c r="AL28" i="3" s="1"/>
  <c r="AN8" i="3"/>
  <c r="AM13" i="3"/>
  <c r="R28" i="3"/>
  <c r="R21" i="3"/>
  <c r="S21" i="3"/>
  <c r="AK14" i="3"/>
  <c r="AK15" i="3" s="1"/>
  <c r="Q52" i="3"/>
  <c r="Q24" i="3"/>
  <c r="W22" i="3" l="1"/>
  <c r="W30" i="3" s="1"/>
  <c r="T21" i="3"/>
  <c r="AK18" i="3"/>
  <c r="AK19" i="3" s="1"/>
  <c r="AK21" i="3" s="1"/>
  <c r="AM16" i="3"/>
  <c r="AM29" i="3" s="1"/>
  <c r="AM14" i="3"/>
  <c r="AM15" i="3" s="1"/>
  <c r="AM28" i="3" s="1"/>
  <c r="AO8" i="3"/>
  <c r="AN13" i="3"/>
  <c r="AL18" i="3"/>
  <c r="AL19" i="3" s="1"/>
  <c r="AK28" i="3"/>
  <c r="T23" i="3"/>
  <c r="T24" i="3" s="1"/>
  <c r="T30" i="3"/>
  <c r="S30" i="3"/>
  <c r="S23" i="3"/>
  <c r="W23" i="3" l="1"/>
  <c r="W24" i="3" s="1"/>
  <c r="S24" i="3"/>
  <c r="S52" i="3"/>
  <c r="R30" i="3"/>
  <c r="AK22" i="3"/>
  <c r="AK30" i="3" s="1"/>
  <c r="AN16" i="3"/>
  <c r="AN29" i="3" s="1"/>
  <c r="AN14" i="3"/>
  <c r="AN15" i="3" s="1"/>
  <c r="AN28" i="3" s="1"/>
  <c r="AM18" i="3"/>
  <c r="AM19" i="3" s="1"/>
  <c r="AP8" i="3"/>
  <c r="AO13" i="3"/>
  <c r="R23" i="3"/>
  <c r="AK23" i="3" l="1"/>
  <c r="AK24" i="3" s="1"/>
  <c r="AO16" i="3"/>
  <c r="AO29" i="3" s="1"/>
  <c r="AO14" i="3"/>
  <c r="AO15" i="3" s="1"/>
  <c r="AO28" i="3" s="1"/>
  <c r="AQ8" i="3"/>
  <c r="AP13" i="3"/>
  <c r="AN18" i="3"/>
  <c r="AN19" i="3" s="1"/>
  <c r="AK32" i="3"/>
  <c r="R24" i="3"/>
  <c r="AL20" i="3" l="1"/>
  <c r="AL21" i="3" s="1"/>
  <c r="AP16" i="3"/>
  <c r="AP29" i="3" s="1"/>
  <c r="AP14" i="3"/>
  <c r="AP15" i="3" s="1"/>
  <c r="AP28" i="3" s="1"/>
  <c r="AO18" i="3"/>
  <c r="AO19" i="3" s="1"/>
  <c r="AR8" i="3"/>
  <c r="AQ13" i="3"/>
  <c r="AQ16" i="3" l="1"/>
  <c r="AQ29" i="3" s="1"/>
  <c r="AQ14" i="3"/>
  <c r="AQ15" i="3" s="1"/>
  <c r="AQ28" i="3" s="1"/>
  <c r="AL22" i="3"/>
  <c r="AL30" i="3" s="1"/>
  <c r="AS8" i="3"/>
  <c r="AS13" i="3" s="1"/>
  <c r="AR13" i="3"/>
  <c r="AP18" i="3"/>
  <c r="AP19" i="3" s="1"/>
  <c r="AL23" i="3" l="1"/>
  <c r="AL32" i="3" s="1"/>
  <c r="AR14" i="3"/>
  <c r="AR15" i="3" s="1"/>
  <c r="AR28" i="3" s="1"/>
  <c r="AR16" i="3"/>
  <c r="AR29" i="3" s="1"/>
  <c r="AQ18" i="3"/>
  <c r="AQ19" i="3" s="1"/>
  <c r="AT8" i="3"/>
  <c r="AL24" i="3" l="1"/>
  <c r="AS16" i="3"/>
  <c r="AS29" i="3" s="1"/>
  <c r="AS14" i="3"/>
  <c r="AS15" i="3" s="1"/>
  <c r="AS28" i="3" s="1"/>
  <c r="AM20" i="3"/>
  <c r="AM21" i="3" s="1"/>
  <c r="AU8" i="3"/>
  <c r="AT13" i="3"/>
  <c r="AR18" i="3"/>
  <c r="AR19" i="3" s="1"/>
  <c r="AM22" i="3" l="1"/>
  <c r="AM30" i="3" s="1"/>
  <c r="AT14" i="3"/>
  <c r="AT15" i="3" s="1"/>
  <c r="AT28" i="3" s="1"/>
  <c r="AT16" i="3"/>
  <c r="AT29" i="3" s="1"/>
  <c r="AS18" i="3"/>
  <c r="AS19" i="3" s="1"/>
  <c r="AV8" i="3"/>
  <c r="AU13" i="3"/>
  <c r="AM23" i="3" l="1"/>
  <c r="AM24" i="3" s="1"/>
  <c r="AU14" i="3"/>
  <c r="AU15" i="3" s="1"/>
  <c r="AU28" i="3" s="1"/>
  <c r="AU16" i="3"/>
  <c r="AU29" i="3" s="1"/>
  <c r="AW8" i="3"/>
  <c r="AV13" i="3"/>
  <c r="AT18" i="3"/>
  <c r="AT19" i="3" s="1"/>
  <c r="AM32" i="3" l="1"/>
  <c r="AN20" i="3" s="1"/>
  <c r="AN21" i="3" s="1"/>
  <c r="AV16" i="3"/>
  <c r="AV29" i="3" s="1"/>
  <c r="AV14" i="3"/>
  <c r="AV15" i="3" s="1"/>
  <c r="AV28" i="3" s="1"/>
  <c r="AU18" i="3"/>
  <c r="AU19" i="3" s="1"/>
  <c r="AX8" i="3"/>
  <c r="AW13" i="3"/>
  <c r="AX13" i="3" l="1"/>
  <c r="AX14" i="3" s="1"/>
  <c r="AX15" i="3" s="1"/>
  <c r="AX28" i="3" s="1"/>
  <c r="AY8" i="3"/>
  <c r="AW14" i="3"/>
  <c r="AW15" i="3" s="1"/>
  <c r="AW28" i="3" s="1"/>
  <c r="AW16" i="3"/>
  <c r="AW29" i="3" s="1"/>
  <c r="AN22" i="3"/>
  <c r="AN30" i="3" s="1"/>
  <c r="AV18" i="3"/>
  <c r="AV19" i="3" s="1"/>
  <c r="AX16" i="3" l="1"/>
  <c r="AX29" i="3" s="1"/>
  <c r="AZ8" i="3"/>
  <c r="AY13" i="3"/>
  <c r="AN23" i="3"/>
  <c r="AX18" i="3"/>
  <c r="AX19" i="3" s="1"/>
  <c r="AW18" i="3"/>
  <c r="AW19" i="3" s="1"/>
  <c r="AY16" i="3" l="1"/>
  <c r="AY18" i="3" s="1"/>
  <c r="AY14" i="3"/>
  <c r="AY15" i="3" s="1"/>
  <c r="AY19" i="3" s="1"/>
  <c r="BA8" i="3"/>
  <c r="AZ13" i="3"/>
  <c r="AN24" i="3"/>
  <c r="AN32" i="3"/>
  <c r="AZ16" i="3" l="1"/>
  <c r="AZ18" i="3" s="1"/>
  <c r="AZ14" i="3"/>
  <c r="AZ15" i="3" s="1"/>
  <c r="BB8" i="3"/>
  <c r="BA13" i="3"/>
  <c r="AO20" i="3"/>
  <c r="AO21" i="3" s="1"/>
  <c r="AZ19" i="3" l="1"/>
  <c r="BA14" i="3"/>
  <c r="BA15" i="3" s="1"/>
  <c r="BA16" i="3"/>
  <c r="BA18" i="3" s="1"/>
  <c r="BC8" i="3"/>
  <c r="BC13" i="3" s="1"/>
  <c r="BB13" i="3"/>
  <c r="AO22" i="3"/>
  <c r="AO30" i="3" s="1"/>
  <c r="BB14" i="3" l="1"/>
  <c r="BB15" i="3" s="1"/>
  <c r="BB16" i="3"/>
  <c r="BB18" i="3" s="1"/>
  <c r="BC14" i="3"/>
  <c r="BC15" i="3" s="1"/>
  <c r="BC16" i="3"/>
  <c r="BC18" i="3" s="1"/>
  <c r="BA19" i="3"/>
  <c r="AO23" i="3"/>
  <c r="AO24" i="3" s="1"/>
  <c r="BC19" i="3" l="1"/>
  <c r="BB19" i="3"/>
  <c r="AO32" i="3"/>
  <c r="AP20" i="3" s="1"/>
  <c r="AP21" i="3" s="1"/>
  <c r="AP22" i="3" l="1"/>
  <c r="AP30" i="3" s="1"/>
  <c r="AP23" i="3" l="1"/>
  <c r="AP24" i="3" l="1"/>
  <c r="AP32" i="3"/>
  <c r="AQ20" i="3" s="1"/>
  <c r="AQ21" i="3" s="1"/>
  <c r="AQ22" i="3" l="1"/>
  <c r="AQ30" i="3" s="1"/>
  <c r="AQ23" i="3" l="1"/>
  <c r="AQ32" i="3" l="1"/>
  <c r="AR20" i="3" s="1"/>
  <c r="AR21" i="3" s="1"/>
  <c r="AQ24" i="3"/>
  <c r="AR22" i="3" l="1"/>
  <c r="AR30" i="3" s="1"/>
  <c r="AR23" i="3" l="1"/>
  <c r="AR24" i="3" l="1"/>
  <c r="AR32" i="3"/>
  <c r="AS20" i="3" s="1"/>
  <c r="AS21" i="3" s="1"/>
  <c r="AS22" i="3" l="1"/>
  <c r="AS30" i="3" s="1"/>
  <c r="AS23" i="3" l="1"/>
  <c r="AS24" i="3" s="1"/>
  <c r="AS32" i="3" l="1"/>
  <c r="AT20" i="3" s="1"/>
  <c r="AT21" i="3" s="1"/>
  <c r="AT22" i="3" l="1"/>
  <c r="AT30" i="3" s="1"/>
  <c r="AT23" i="3" l="1"/>
  <c r="AT24" i="3" l="1"/>
  <c r="AT32" i="3"/>
  <c r="AU20" i="3" s="1"/>
  <c r="AU21" i="3" s="1"/>
  <c r="AU22" i="3" l="1"/>
  <c r="AU30" i="3" s="1"/>
  <c r="AU23" i="3" l="1"/>
  <c r="AU24" i="3" l="1"/>
  <c r="AU32" i="3"/>
  <c r="AV20" i="3" s="1"/>
  <c r="AV21" i="3" s="1"/>
  <c r="AV22" i="3" l="1"/>
  <c r="AV30" i="3" s="1"/>
  <c r="AV23" i="3" l="1"/>
  <c r="AV24" i="3" s="1"/>
  <c r="AV32" i="3" l="1"/>
  <c r="AW20" i="3"/>
  <c r="AW21" i="3" s="1"/>
  <c r="AW22" i="3" l="1"/>
  <c r="AW30" i="3" s="1"/>
  <c r="AW23" i="3" l="1"/>
  <c r="AW24" i="3" s="1"/>
  <c r="AW32" i="3" l="1"/>
  <c r="AX20" i="3" s="1"/>
  <c r="AX21" i="3" s="1"/>
  <c r="AX22" i="3" l="1"/>
  <c r="AX30" i="3" s="1"/>
  <c r="AX23" i="3" l="1"/>
  <c r="AX32" i="3" s="1"/>
  <c r="AY20" i="3" l="1"/>
  <c r="AY21" i="3" s="1"/>
  <c r="AY22" i="3" s="1"/>
  <c r="AY23" i="3" s="1"/>
  <c r="AY32" i="3" s="1"/>
  <c r="AX24" i="3"/>
  <c r="AZ20" i="3" l="1"/>
  <c r="AY24" i="3"/>
  <c r="AZ21" i="3" l="1"/>
  <c r="AZ22" i="3" s="1"/>
  <c r="AZ23" i="3" s="1"/>
  <c r="AZ32" i="3" s="1"/>
  <c r="BA20" i="3" s="1"/>
  <c r="BA21" i="3" l="1"/>
  <c r="BA22" i="3" s="1"/>
  <c r="AZ24" i="3"/>
  <c r="BA23" i="3" l="1"/>
  <c r="BA32" i="3" s="1"/>
  <c r="BA24" i="3" l="1"/>
  <c r="BB21" i="3" l="1"/>
  <c r="BB22" i="3" s="1"/>
  <c r="BB23" i="3" l="1"/>
  <c r="BB32" i="3" s="1"/>
  <c r="BB24" i="3" l="1"/>
  <c r="BC20" i="3"/>
  <c r="BC21" i="3" s="1"/>
  <c r="BC22" i="3" l="1"/>
  <c r="BC23" i="3" s="1"/>
  <c r="BC24" i="3" l="1"/>
  <c r="BD23" i="3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DI23" i="3" s="1"/>
  <c r="DJ23" i="3" s="1"/>
  <c r="DK23" i="3" s="1"/>
  <c r="BC32" i="3"/>
  <c r="BF3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  <author>tc={1C045D63-D9FC-44DC-A757-A0BD3F5361CF}</author>
  </authors>
  <commentList>
    <comment ref="AK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  <comment ref="AM13" authorId="1" shapeId="0" xr:uid="{1C045D63-D9FC-44DC-A757-A0BD3F5361C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Product 10.55-10.75, reiterated from last quarter
Q423: Product 10.55-10.75</t>
      </text>
    </comment>
  </commentList>
</comments>
</file>

<file path=xl/sharedStrings.xml><?xml version="1.0" encoding="utf-8"?>
<sst xmlns="http://schemas.openxmlformats.org/spreadsheetml/2006/main" count="532" uniqueCount="352">
  <si>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</si>
  <si>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</si>
  <si>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</si>
  <si>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</si>
  <si>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</si>
  <si>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</si>
  <si>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</si>
  <si>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</si>
  <si>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</si>
  <si>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</si>
  <si>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</si>
  <si>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</si>
  <si>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</si>
  <si>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</si>
  <si>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</si>
  <si>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</si>
  <si>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</si>
  <si>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</si>
  <si>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</si>
  <si>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</si>
  <si>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</si>
  <si>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</si>
  <si>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</si>
  <si>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</si>
  <si>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</si>
  <si>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</si>
  <si>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</si>
  <si>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</si>
  <si>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</si>
  <si>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</si>
  <si>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</si>
  <si>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</si>
  <si>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</si>
  <si>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</si>
  <si>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</si>
  <si>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</si>
  <si>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</si>
  <si>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</si>
  <si>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</si>
  <si>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</si>
  <si>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</si>
  <si>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</si>
  <si>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</si>
  <si>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</si>
  <si>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</si>
  <si>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</si>
  <si>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VX-121</t>
  </si>
  <si>
    <t>VX-548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</si>
  <si>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</si>
  <si>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</si>
  <si>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</si>
  <si>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</si>
  <si>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</si>
  <si>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</si>
  <si>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</si>
  <si>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</si>
  <si>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</si>
  <si>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</si>
  <si>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</si>
  <si>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</si>
  <si>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</si>
  <si>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</si>
  <si>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</si>
  <si>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</si>
  <si>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</si>
  <si>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</si>
  <si>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</si>
  <si>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</si>
  <si>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</si>
  <si>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</si>
  <si>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</si>
  <si>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</si>
  <si>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</si>
  <si>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</si>
  <si>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</si>
  <si>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</si>
  <si>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</si>
  <si>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</si>
  <si>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</si>
  <si>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</si>
  <si>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</si>
  <si>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</si>
  <si>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</si>
  <si>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</si>
  <si>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</si>
  <si>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</si>
  <si>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</si>
  <si>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</si>
  <si>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</si>
  <si>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</si>
  <si>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</si>
  <si>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</si>
  <si>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</si>
  <si>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</si>
  <si>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</si>
  <si>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</si>
  <si>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</si>
  <si>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</si>
  <si>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</si>
  <si>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</si>
  <si>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</si>
  <si>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</si>
  <si>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</si>
  <si>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</si>
  <si>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</si>
  <si>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</si>
  <si>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</si>
  <si>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</si>
  <si>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</si>
  <si>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</si>
  <si>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</si>
  <si>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</si>
  <si>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</si>
  <si>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</si>
  <si>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</si>
  <si>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</si>
  <si>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</si>
  <si>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</si>
  <si>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</si>
  <si>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</si>
  <si>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</si>
  <si>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</si>
  <si>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</si>
  <si>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</si>
  <si>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</si>
  <si>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</si>
  <si>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</si>
  <si>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</si>
  <si>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</si>
  <si>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</si>
  <si>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</si>
  <si>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</si>
  <si>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</si>
  <si>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</si>
  <si>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</si>
  <si>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</si>
  <si>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</si>
  <si>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</si>
  <si>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</si>
  <si>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</si>
  <si>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</si>
  <si>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</si>
  <si>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</si>
  <si>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</si>
  <si>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</si>
  <si>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</si>
  <si>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</si>
  <si>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</si>
  <si>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</si>
  <si>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</si>
  <si>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</si>
  <si>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</si>
  <si>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</si>
  <si>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</si>
  <si>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</si>
  <si>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</si>
  <si>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</si>
  <si>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</si>
  <si>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</si>
  <si>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</si>
  <si>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</si>
  <si>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</si>
  <si>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</si>
  <si>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</si>
  <si>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</si>
  <si>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</si>
  <si>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</si>
  <si>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</si>
  <si>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</si>
  <si>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</si>
  <si>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</si>
  <si>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</si>
  <si>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</si>
  <si>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</si>
  <si>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</si>
  <si>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</si>
  <si>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</si>
  <si>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</si>
  <si>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</si>
  <si>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</si>
  <si>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</si>
  <si>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</si>
  <si>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</si>
  <si>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</si>
  <si>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</si>
  <si>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</si>
  <si>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</si>
  <si>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</si>
  <si>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</si>
  <si>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</si>
  <si>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</si>
  <si>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</si>
  <si>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</si>
  <si>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</si>
  <si>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</si>
  <si>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</si>
  <si>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</si>
  <si>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</si>
  <si>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</si>
  <si>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</si>
  <si>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</si>
  <si>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</si>
  <si>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</si>
  <si>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</si>
  <si>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</si>
  <si>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</si>
  <si>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</si>
  <si>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</si>
  <si>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</si>
  <si>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</si>
  <si>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</si>
  <si>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</si>
  <si>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</si>
  <si>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</si>
  <si>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</si>
  <si>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</si>
  <si>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</si>
  <si>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</si>
  <si>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</si>
  <si>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</si>
  <si>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</si>
  <si>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</si>
  <si>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</si>
  <si>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</si>
  <si>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</si>
  <si>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</si>
  <si>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</si>
  <si>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</si>
  <si>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</si>
  <si>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</si>
  <si>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</si>
  <si>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</si>
  <si>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</si>
  <si>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</si>
  <si>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</si>
  <si>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</si>
  <si>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</si>
  <si>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</si>
  <si>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</si>
  <si>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</si>
  <si>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</si>
  <si>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</si>
  <si>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</si>
  <si>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</si>
  <si>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</si>
  <si>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</si>
  <si>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</si>
  <si>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</si>
  <si>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</si>
  <si>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</si>
  <si>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</si>
  <si>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</si>
  <si>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</si>
  <si>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</si>
  <si>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</si>
  <si>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</si>
  <si>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</si>
  <si>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</si>
  <si>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</si>
  <si>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</si>
  <si>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</si>
  <si>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</si>
  <si>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</si>
  <si>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</si>
  <si>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</si>
  <si>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</si>
  <si>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</si>
  <si>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</si>
  <si>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</si>
  <si>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</si>
  <si>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</si>
  <si>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</si>
  <si>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</si>
  <si>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</si>
  <si>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</si>
  <si>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</si>
  <si>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</si>
  <si>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</si>
  <si>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</si>
  <si>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</si>
  <si>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</si>
  <si>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</si>
  <si>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</si>
  <si>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</si>
  <si>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</si>
  <si>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</si>
  <si>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</si>
  <si>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</si>
  <si>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</si>
  <si>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</si>
  <si>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</si>
  <si>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</si>
  <si>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</si>
  <si>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</si>
  <si>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</si>
  <si>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</si>
  <si>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</si>
  <si>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</si>
  <si>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</si>
  <si>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</si>
  <si>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</si>
  <si>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</si>
  <si>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</si>
  <si>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</si>
  <si>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</si>
  <si>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</si>
  <si>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</si>
  <si>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</si>
  <si>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</si>
  <si>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</si>
  <si>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</si>
  <si>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</si>
  <si>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</si>
  <si>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</si>
  <si>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</si>
  <si>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</si>
  <si>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</si>
  <si>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vanzacaftor/tezacaftor/deutivacaftor</t>
  </si>
  <si>
    <t>Phase III bunionectomy or abdominoplasty n=2000</t>
  </si>
  <si>
    <t>IND-enabling, IND in 2023</t>
  </si>
  <si>
    <t>Q124</t>
  </si>
  <si>
    <t>Q224</t>
  </si>
  <si>
    <t>Q324</t>
  </si>
  <si>
    <t>Q424</t>
  </si>
  <si>
    <t>Other CF</t>
  </si>
  <si>
    <t>vanzacaftor</t>
  </si>
  <si>
    <t>suzetrigine</t>
  </si>
  <si>
    <t>Alpine acquisition.</t>
  </si>
  <si>
    <t>Casgevy, fka CTX001</t>
  </si>
  <si>
    <t>Casgevy</t>
  </si>
  <si>
    <t>Phase III RIDGELINE</t>
  </si>
  <si>
    <t>nebulized</t>
  </si>
  <si>
    <t>Nebulized</t>
  </si>
  <si>
    <t>Phase I/II</t>
  </si>
  <si>
    <t>MAD portion - results late 2024-early 2025</t>
  </si>
  <si>
    <t>VX-993</t>
  </si>
  <si>
    <t>Phase III DPN - initiate in 2H24</t>
  </si>
  <si>
    <t>Phase II LSR (painful lumbosacral radiculopathy)</t>
  </si>
  <si>
    <t>interim analysis at 1 year - advanced into Phase III portion after IDMC unblinded review</t>
  </si>
  <si>
    <t>Study was halted -- why?</t>
  </si>
  <si>
    <t>Dosing has resumed</t>
  </si>
  <si>
    <t>VX-264</t>
  </si>
  <si>
    <t>DM1</t>
  </si>
  <si>
    <t>VX-670</t>
  </si>
  <si>
    <t>Entrada</t>
  </si>
  <si>
    <t>ADPKD</t>
  </si>
  <si>
    <t>VX-407</t>
  </si>
  <si>
    <t>Phase III moderate-to-severe acute pain</t>
  </si>
  <si>
    <t>NPRS time-weighted sum 48 hours primary endpoint</t>
  </si>
  <si>
    <t>VX-548 vs. placebo: 48.4, p&lt;0.0001 and 29.3 in study 2?, p=0.0002.</t>
  </si>
  <si>
    <t>Safety</t>
  </si>
  <si>
    <t>80k opioid deaths in the US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</si>
</sst>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  <xf numFmtId="0" fontId="6" fillId="0" borderId="4" xfId="1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A487D97-2DDB-40D2-9372-F4A400794B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62077</xdr:colOff>
      <xdr:row>0</xdr:row>
      <xdr:rowOff>6569</xdr:rowOff>
    </xdr:from>
    <xdr:to>
      <xdr:col>21</xdr:col>
      <xdr:colOff>62077</xdr:colOff>
      <xdr:row>74</xdr:row>
      <xdr:rowOff>130394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3173732" y="6569"/>
          <a:ext cx="0" cy="12276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610101</xdr:colOff>
      <xdr:row>0</xdr:row>
      <xdr:rowOff>43113</xdr:rowOff>
    </xdr:from>
    <xdr:to>
      <xdr:col>37</xdr:col>
      <xdr:colOff>610101</xdr:colOff>
      <xdr:row>55</xdr:row>
      <xdr:rowOff>14538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23525246" y="43113"/>
          <a:ext cx="0" cy="8794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608093</xdr:colOff>
      <xdr:row>5</xdr:row>
      <xdr:rowOff>14653</xdr:rowOff>
    </xdr:from>
    <xdr:to>
      <xdr:col>15</xdr:col>
      <xdr:colOff>571497</xdr:colOff>
      <xdr:row>24</xdr:row>
      <xdr:rowOff>116498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2BE4B835-17E9-AA59-F3FD-C7002BFE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97" y="820615"/>
          <a:ext cx="4828481" cy="3164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3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  <threadedComment ref="AM13" dT="2024-05-23T16:04:58.44" personId="{FB8BFC03-2370-4716-A729-D8FACAD01755}" id="{1C045D63-D9FC-44DC-A757-A0BD3F5361CF}">
    <text>Q124: Product 10.55-10.75, reiterated from last quarter
Q423: Product 10.55-10.75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8"/>
  <sheetViews>
    <sheetView zoomScale="130" zoomScaleNormal="130" workbookViewId="0">
      <selection activeCell="B10" sqref="B10"/>
    </sheetView>
  </sheetViews>
  <sheetFormatPr defaultRowHeight="12.75" x14ac:dyDescent="0.2"/>
  <cols>
    <col min="1" max="1" width="4" customWidth="1"/>
    <col min="2" max="2" width="9.42578125" customWidth="1"/>
    <col min="3" max="3" width="27.5703125" customWidth="1"/>
    <col min="4" max="4" width="22.42578125" customWidth="1"/>
    <col min="5" max="5" width="16.5703125" customWidth="1"/>
    <col min="8" max="8" width="11.5703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451</v>
      </c>
    </row>
    <row r="3" spans="2:14" x14ac:dyDescent="0.2">
      <c r="B3" s="16" t="s">
        <v>21</v>
      </c>
      <c r="C3" t="s">
        <v>120</v>
      </c>
      <c r="D3" t="s">
        <v>15</v>
      </c>
      <c r="H3" s="8" t="s">
        <v>39</v>
      </c>
      <c r="L3" t="s">
        <v>1</v>
      </c>
      <c r="M3" s="2">
        <v>261</v>
      </c>
      <c r="N3" s="3" t="s">
        <v>320</v>
      </c>
    </row>
    <row r="4" spans="2:14" x14ac:dyDescent="0.2">
      <c r="B4" s="16" t="s">
        <v>22</v>
      </c>
      <c r="C4" t="s">
        <v>119</v>
      </c>
      <c r="D4" t="s">
        <v>15</v>
      </c>
      <c r="H4" s="8" t="s">
        <v>39</v>
      </c>
      <c r="L4" t="s">
        <v>2</v>
      </c>
      <c r="M4" s="2">
        <f>+M3*M2</f>
        <v>117711</v>
      </c>
      <c r="N4" s="3"/>
    </row>
    <row r="5" spans="2:14" x14ac:dyDescent="0.2">
      <c r="B5" s="16" t="s">
        <v>23</v>
      </c>
      <c r="C5" t="s">
        <v>115</v>
      </c>
      <c r="D5" t="s">
        <v>15</v>
      </c>
      <c r="E5" t="s">
        <v>114</v>
      </c>
      <c r="H5" s="8" t="s">
        <v>39</v>
      </c>
      <c r="L5" t="s">
        <v>3</v>
      </c>
      <c r="M5" s="2">
        <f>10171.3+4381.4</f>
        <v>14552.699999999999</v>
      </c>
      <c r="N5" s="3" t="s">
        <v>320</v>
      </c>
    </row>
    <row r="6" spans="2:14" x14ac:dyDescent="0.2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320</v>
      </c>
    </row>
    <row r="7" spans="2:14" x14ac:dyDescent="0.2">
      <c r="B7" s="16" t="s">
        <v>329</v>
      </c>
      <c r="C7" t="s">
        <v>166</v>
      </c>
      <c r="D7" t="s">
        <v>43</v>
      </c>
      <c r="E7" t="s">
        <v>51</v>
      </c>
      <c r="F7" t="s">
        <v>76</v>
      </c>
      <c r="H7" s="8" t="s">
        <v>38</v>
      </c>
      <c r="L7" t="s">
        <v>5</v>
      </c>
      <c r="M7" s="2">
        <f>+M4-M5+M6</f>
        <v>103158.3</v>
      </c>
      <c r="N7" s="3"/>
    </row>
    <row r="8" spans="2:14" x14ac:dyDescent="0.2">
      <c r="B8" s="7"/>
      <c r="H8" s="8"/>
    </row>
    <row r="9" spans="2:14" x14ac:dyDescent="0.2">
      <c r="B9" s="4"/>
      <c r="C9" s="5"/>
      <c r="D9" s="5"/>
      <c r="E9" s="5"/>
      <c r="F9" s="5" t="s">
        <v>37</v>
      </c>
      <c r="G9" s="5"/>
      <c r="H9" s="6"/>
    </row>
    <row r="10" spans="2:14" x14ac:dyDescent="0.2">
      <c r="B10" s="28" t="s">
        <v>47</v>
      </c>
      <c r="C10" t="s">
        <v>326</v>
      </c>
      <c r="D10" s="26" t="s">
        <v>48</v>
      </c>
      <c r="E10" s="26" t="s">
        <v>49</v>
      </c>
      <c r="F10" s="26" t="s">
        <v>76</v>
      </c>
      <c r="H10" s="8"/>
    </row>
    <row r="11" spans="2:14" x14ac:dyDescent="0.2">
      <c r="B11" s="16" t="s">
        <v>46</v>
      </c>
      <c r="C11" t="s">
        <v>317</v>
      </c>
      <c r="D11" t="s">
        <v>15</v>
      </c>
      <c r="F11" t="s">
        <v>76</v>
      </c>
      <c r="H11" s="8"/>
    </row>
    <row r="12" spans="2:14" x14ac:dyDescent="0.2">
      <c r="B12" s="16" t="s">
        <v>40</v>
      </c>
      <c r="C12" t="s">
        <v>162</v>
      </c>
      <c r="D12" t="s">
        <v>41</v>
      </c>
      <c r="F12" t="s">
        <v>42</v>
      </c>
      <c r="H12" s="8"/>
      <c r="J12" t="s">
        <v>165</v>
      </c>
    </row>
    <row r="13" spans="2:14" x14ac:dyDescent="0.2">
      <c r="B13" s="16" t="s">
        <v>52</v>
      </c>
      <c r="D13" t="s">
        <v>53</v>
      </c>
      <c r="E13" t="s">
        <v>54</v>
      </c>
      <c r="F13" t="s">
        <v>56</v>
      </c>
      <c r="H13" s="8"/>
      <c r="J13" t="s">
        <v>150</v>
      </c>
    </row>
    <row r="14" spans="2:14" x14ac:dyDescent="0.2">
      <c r="B14" s="20" t="s">
        <v>199</v>
      </c>
      <c r="C14" t="s">
        <v>200</v>
      </c>
      <c r="D14" t="s">
        <v>15</v>
      </c>
      <c r="E14" t="s">
        <v>201</v>
      </c>
      <c r="F14" t="s">
        <v>44</v>
      </c>
      <c r="H14" s="8"/>
      <c r="J14" t="s">
        <v>307</v>
      </c>
    </row>
    <row r="15" spans="2:14" x14ac:dyDescent="0.2">
      <c r="B15" s="7" t="s">
        <v>316</v>
      </c>
      <c r="C15" t="s">
        <v>331</v>
      </c>
      <c r="D15" t="s">
        <v>15</v>
      </c>
      <c r="E15" t="s">
        <v>50</v>
      </c>
      <c r="F15" t="s">
        <v>56</v>
      </c>
      <c r="H15" s="8" t="s">
        <v>45</v>
      </c>
      <c r="J15" t="s">
        <v>171</v>
      </c>
    </row>
    <row r="16" spans="2:14" x14ac:dyDescent="0.2">
      <c r="B16" s="7"/>
      <c r="D16" t="s">
        <v>57</v>
      </c>
      <c r="E16" t="s">
        <v>51</v>
      </c>
      <c r="F16" t="s">
        <v>319</v>
      </c>
      <c r="H16" s="8"/>
      <c r="J16" t="s">
        <v>181</v>
      </c>
    </row>
    <row r="17" spans="2:8" x14ac:dyDescent="0.2">
      <c r="B17" s="7"/>
      <c r="D17" t="s">
        <v>128</v>
      </c>
      <c r="E17" t="s">
        <v>51</v>
      </c>
      <c r="H17" s="8" t="s">
        <v>127</v>
      </c>
    </row>
    <row r="18" spans="2:8" x14ac:dyDescent="0.2">
      <c r="B18" s="7" t="s">
        <v>335</v>
      </c>
      <c r="D18" t="s">
        <v>48</v>
      </c>
      <c r="E18" t="s">
        <v>49</v>
      </c>
      <c r="F18" t="s">
        <v>107</v>
      </c>
      <c r="H18" s="8"/>
    </row>
    <row r="19" spans="2:8" x14ac:dyDescent="0.2">
      <c r="B19" s="7" t="s">
        <v>341</v>
      </c>
      <c r="D19" t="s">
        <v>53</v>
      </c>
      <c r="E19" t="s">
        <v>172</v>
      </c>
      <c r="F19" t="s">
        <v>56</v>
      </c>
      <c r="H19" s="8"/>
    </row>
    <row r="20" spans="2:8" x14ac:dyDescent="0.2">
      <c r="B20" s="7" t="s">
        <v>306</v>
      </c>
      <c r="D20" t="s">
        <v>304</v>
      </c>
      <c r="E20" t="s">
        <v>55</v>
      </c>
      <c r="F20" t="s">
        <v>107</v>
      </c>
      <c r="H20" s="8"/>
    </row>
    <row r="21" spans="2:8" x14ac:dyDescent="0.2">
      <c r="B21" s="7" t="s">
        <v>343</v>
      </c>
      <c r="D21" t="s">
        <v>342</v>
      </c>
      <c r="H21" s="8" t="s">
        <v>344</v>
      </c>
    </row>
    <row r="22" spans="2:8" x14ac:dyDescent="0.2">
      <c r="B22" s="7" t="s">
        <v>346</v>
      </c>
      <c r="D22" t="s">
        <v>345</v>
      </c>
      <c r="F22" t="s">
        <v>56</v>
      </c>
      <c r="H22" s="8"/>
    </row>
    <row r="23" spans="2:8" x14ac:dyDescent="0.2">
      <c r="B23" s="27" t="s">
        <v>303</v>
      </c>
      <c r="C23" s="9"/>
      <c r="D23" s="9" t="s">
        <v>304</v>
      </c>
      <c r="E23" s="9" t="s">
        <v>55</v>
      </c>
      <c r="F23" s="9" t="s">
        <v>56</v>
      </c>
      <c r="G23" s="9"/>
      <c r="H23" s="10"/>
    </row>
    <row r="25" spans="2:8" x14ac:dyDescent="0.2">
      <c r="B25" t="s">
        <v>327</v>
      </c>
      <c r="E25" s="17" t="s">
        <v>309</v>
      </c>
    </row>
    <row r="27" spans="2:8" x14ac:dyDescent="0.2">
      <c r="E27" s="17" t="s">
        <v>129</v>
      </c>
    </row>
    <row r="28" spans="2:8" x14ac:dyDescent="0.2">
      <c r="E28" s="17" t="s">
        <v>130</v>
      </c>
    </row>
    <row r="29" spans="2:8" x14ac:dyDescent="0.2">
      <c r="E29" s="17" t="s">
        <v>131</v>
      </c>
    </row>
    <row r="30" spans="2:8" x14ac:dyDescent="0.2">
      <c r="E30" s="17" t="s">
        <v>140</v>
      </c>
    </row>
    <row r="31" spans="2:8" x14ac:dyDescent="0.2">
      <c r="E31" s="17" t="s">
        <v>141</v>
      </c>
    </row>
    <row r="32" spans="2:8" x14ac:dyDescent="0.2">
      <c r="E32" s="17" t="s">
        <v>158</v>
      </c>
    </row>
    <row r="33" spans="5:5" x14ac:dyDescent="0.2">
      <c r="E33" s="17" t="s">
        <v>161</v>
      </c>
    </row>
    <row r="34" spans="5:5" x14ac:dyDescent="0.2">
      <c r="E34" s="17" t="s">
        <v>163</v>
      </c>
    </row>
    <row r="35" spans="5:5" x14ac:dyDescent="0.2">
      <c r="E35" s="17" t="s">
        <v>167</v>
      </c>
    </row>
    <row r="36" spans="5:5" x14ac:dyDescent="0.2">
      <c r="E36" s="17" t="s">
        <v>173</v>
      </c>
    </row>
    <row r="37" spans="5:5" x14ac:dyDescent="0.2">
      <c r="E37" s="17" t="s">
        <v>175</v>
      </c>
    </row>
    <row r="38" spans="5:5" x14ac:dyDescent="0.2">
      <c r="E38" s="17" t="s">
        <v>176</v>
      </c>
    </row>
    <row r="39" spans="5:5" x14ac:dyDescent="0.2">
      <c r="E39" s="17" t="s">
        <v>177</v>
      </c>
    </row>
    <row r="40" spans="5:5" x14ac:dyDescent="0.2">
      <c r="E40" s="17" t="s">
        <v>178</v>
      </c>
    </row>
    <row r="41" spans="5:5" x14ac:dyDescent="0.2">
      <c r="E41" s="17" t="s">
        <v>179</v>
      </c>
    </row>
    <row r="42" spans="5:5" x14ac:dyDescent="0.2">
      <c r="E42" s="17" t="s">
        <v>239</v>
      </c>
    </row>
    <row r="43" spans="5:5" x14ac:dyDescent="0.2">
      <c r="E43" s="17" t="s">
        <v>240</v>
      </c>
    </row>
    <row r="44" spans="5:5" x14ac:dyDescent="0.2">
      <c r="E44" s="17" t="s">
        <v>254</v>
      </c>
    </row>
    <row r="45" spans="5:5" x14ac:dyDescent="0.2">
      <c r="E45" s="17" t="s">
        <v>255</v>
      </c>
    </row>
    <row r="46" spans="5:5" x14ac:dyDescent="0.2">
      <c r="E46" s="17" t="s">
        <v>256</v>
      </c>
    </row>
    <row r="47" spans="5:5" x14ac:dyDescent="0.2">
      <c r="E47" s="17" t="s">
        <v>257</v>
      </c>
    </row>
    <row r="48" spans="5:5" x14ac:dyDescent="0.2">
      <c r="E48" s="17" t="s">
        <v>258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3" location="'VX-880'!A1" display="VX-880" xr:uid="{E8018D7F-9B73-4E6B-A79D-A97660AF55C8}"/>
    <hyperlink ref="B3" location="Trikafta!A1" display="Trikafta" xr:uid="{FCEBE0EB-001B-4AF7-8302-88E3A55A88B1}"/>
    <hyperlink ref="B12" location="inaxaplin!A1" display="VX-147" xr:uid="{362A6FBB-2244-4147-8746-8E7FC462FB02}"/>
    <hyperlink ref="B7" location="Casgevy!A1" display="Casgevy" xr:uid="{EE1FBA3F-8223-4960-A117-1323E22DA27E}"/>
    <hyperlink ref="B5" location="Orkambi!A1" display="Orkambi" xr:uid="{5B227DE1-747D-41D9-AFFC-27BF0DF44345}"/>
    <hyperlink ref="B10" location="'VX-548'!A1" display="VX-548" xr:uid="{C5FCC979-874F-4CAD-BE67-3603EB5F3567}"/>
    <hyperlink ref="B23" location="'VX-634'!A1" display="VX-634" xr:uid="{28A7C8E1-14DE-4193-86D6-B95B3E551AF5}"/>
    <hyperlink ref="B11" location="'VX-121'!A1" display="VX-121" xr:uid="{ECC6416F-1E64-4473-A6C6-D23E81B80E7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36"/>
  <sheetViews>
    <sheetView zoomScale="130" zoomScaleNormal="130" workbookViewId="0">
      <selection activeCell="N35" sqref="N35"/>
    </sheetView>
  </sheetViews>
  <sheetFormatPr defaultRowHeight="12.75" x14ac:dyDescent="0.2"/>
  <cols>
    <col min="1" max="1" width="5" bestFit="1" customWidth="1"/>
    <col min="2" max="2" width="12" bestFit="1" customWidth="1"/>
    <col min="3" max="3" width="25.28515625" customWidth="1"/>
  </cols>
  <sheetData>
    <row r="1" spans="1:5" x14ac:dyDescent="0.2">
      <c r="A1" s="11" t="s">
        <v>20</v>
      </c>
    </row>
    <row r="2" spans="1:5" x14ac:dyDescent="0.2">
      <c r="B2" t="s">
        <v>7</v>
      </c>
      <c r="C2" t="s">
        <v>47</v>
      </c>
    </row>
    <row r="3" spans="1:5" x14ac:dyDescent="0.2">
      <c r="B3" t="s">
        <v>8</v>
      </c>
      <c r="C3" t="s">
        <v>326</v>
      </c>
    </row>
    <row r="4" spans="1:5" x14ac:dyDescent="0.2">
      <c r="B4" t="s">
        <v>9</v>
      </c>
      <c r="C4" t="s">
        <v>48</v>
      </c>
    </row>
    <row r="5" spans="1:5" x14ac:dyDescent="0.2">
      <c r="B5" t="s">
        <v>10</v>
      </c>
      <c r="C5" t="s">
        <v>49</v>
      </c>
    </row>
    <row r="6" spans="1:5" x14ac:dyDescent="0.2">
      <c r="B6" t="s">
        <v>241</v>
      </c>
      <c r="C6" t="s">
        <v>245</v>
      </c>
    </row>
    <row r="7" spans="1:5" x14ac:dyDescent="0.2">
      <c r="B7" t="s">
        <v>350</v>
      </c>
      <c r="C7" t="s">
        <v>351</v>
      </c>
    </row>
    <row r="8" spans="1:5" x14ac:dyDescent="0.2">
      <c r="B8" t="s">
        <v>136</v>
      </c>
    </row>
    <row r="9" spans="1:5" x14ac:dyDescent="0.2">
      <c r="C9" s="18" t="s">
        <v>318</v>
      </c>
    </row>
    <row r="13" spans="1:5" x14ac:dyDescent="0.2">
      <c r="C13" s="18" t="s">
        <v>252</v>
      </c>
    </row>
    <row r="14" spans="1:5" x14ac:dyDescent="0.2">
      <c r="C14" s="18"/>
      <c r="D14" t="s">
        <v>243</v>
      </c>
    </row>
    <row r="15" spans="1:5" x14ac:dyDescent="0.2">
      <c r="C15" t="s">
        <v>242</v>
      </c>
      <c r="D15" s="22">
        <v>101</v>
      </c>
    </row>
    <row r="16" spans="1:5" x14ac:dyDescent="0.2">
      <c r="C16" t="s">
        <v>244</v>
      </c>
      <c r="D16" s="22">
        <v>137.80000000000001</v>
      </c>
      <c r="E16" t="s">
        <v>249</v>
      </c>
    </row>
    <row r="17" spans="3:5" x14ac:dyDescent="0.2">
      <c r="C17" t="s">
        <v>246</v>
      </c>
      <c r="D17" s="22">
        <v>86.9</v>
      </c>
      <c r="E17" t="s">
        <v>250</v>
      </c>
    </row>
    <row r="18" spans="3:5" x14ac:dyDescent="0.2">
      <c r="C18" t="s">
        <v>247</v>
      </c>
      <c r="D18" s="22">
        <v>112.9</v>
      </c>
      <c r="E18" t="s">
        <v>250</v>
      </c>
    </row>
    <row r="19" spans="3:5" x14ac:dyDescent="0.2">
      <c r="C19" t="s">
        <v>248</v>
      </c>
      <c r="D19" s="22">
        <v>115.6</v>
      </c>
      <c r="E19" t="s">
        <v>250</v>
      </c>
    </row>
    <row r="20" spans="3:5" x14ac:dyDescent="0.2">
      <c r="D20" s="22"/>
    </row>
    <row r="21" spans="3:5" x14ac:dyDescent="0.2">
      <c r="D21" s="22"/>
    </row>
    <row r="22" spans="3:5" x14ac:dyDescent="0.2">
      <c r="C22" s="18" t="s">
        <v>251</v>
      </c>
    </row>
    <row r="23" spans="3:5" x14ac:dyDescent="0.2">
      <c r="D23" t="s">
        <v>243</v>
      </c>
    </row>
    <row r="24" spans="3:5" x14ac:dyDescent="0.2">
      <c r="C24" t="s">
        <v>242</v>
      </c>
      <c r="D24">
        <v>72.7</v>
      </c>
    </row>
    <row r="25" spans="3:5" x14ac:dyDescent="0.2">
      <c r="C25" t="s">
        <v>244</v>
      </c>
      <c r="D25">
        <v>110.5</v>
      </c>
      <c r="E25" t="s">
        <v>253</v>
      </c>
    </row>
    <row r="26" spans="3:5" x14ac:dyDescent="0.2">
      <c r="C26" t="s">
        <v>246</v>
      </c>
      <c r="D26">
        <v>95.1</v>
      </c>
      <c r="E26" t="s">
        <v>250</v>
      </c>
    </row>
    <row r="27" spans="3:5" x14ac:dyDescent="0.2">
      <c r="C27" t="s">
        <v>248</v>
      </c>
      <c r="D27">
        <v>85.2</v>
      </c>
      <c r="E27" t="s">
        <v>250</v>
      </c>
    </row>
    <row r="29" spans="3:5" x14ac:dyDescent="0.2">
      <c r="C29" s="18" t="s">
        <v>336</v>
      </c>
    </row>
    <row r="31" spans="3:5" x14ac:dyDescent="0.2">
      <c r="C31" s="18" t="s">
        <v>337</v>
      </c>
    </row>
    <row r="34" spans="3:3" x14ac:dyDescent="0.2">
      <c r="C34" s="18" t="s">
        <v>347</v>
      </c>
    </row>
    <row r="35" spans="3:3" x14ac:dyDescent="0.2">
      <c r="C35" t="s">
        <v>348</v>
      </c>
    </row>
    <row r="36" spans="3:3" x14ac:dyDescent="0.2">
      <c r="C36" t="s">
        <v>349</v>
      </c>
    </row>
  </sheetData>
  <hyperlinks>
    <hyperlink ref="A1" location="Main!A1" display="Main" xr:uid="{9F1444FB-1FC7-4AF6-9D19-F860F1DDD4D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AB23-686C-478E-AA6A-03F37C9331A3}">
  <dimension ref="A1:C7"/>
  <sheetViews>
    <sheetView zoomScale="280" zoomScaleNormal="28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316</v>
      </c>
    </row>
    <row r="3" spans="1:3" x14ac:dyDescent="0.2">
      <c r="B3" t="s">
        <v>9</v>
      </c>
      <c r="C3" t="s">
        <v>15</v>
      </c>
    </row>
    <row r="4" spans="1:3" x14ac:dyDescent="0.2">
      <c r="B4" t="s">
        <v>134</v>
      </c>
      <c r="C4" t="s">
        <v>332</v>
      </c>
    </row>
    <row r="5" spans="1:3" x14ac:dyDescent="0.2">
      <c r="B5" t="s">
        <v>136</v>
      </c>
    </row>
    <row r="6" spans="1:3" x14ac:dyDescent="0.2">
      <c r="C6" s="18" t="s">
        <v>333</v>
      </c>
    </row>
    <row r="7" spans="1:3" x14ac:dyDescent="0.2">
      <c r="C7" t="s">
        <v>334</v>
      </c>
    </row>
  </sheetData>
  <hyperlinks>
    <hyperlink ref="A1" location="Main!A1" display="Main" xr:uid="{C0D50ABE-2133-4DD7-AC00-5588FBC472D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zoomScale="145" zoomScaleNormal="145" workbookViewId="0">
      <selection activeCell="C10" sqref="C10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40</v>
      </c>
    </row>
    <row r="3" spans="1:3" x14ac:dyDescent="0.2">
      <c r="B3" t="s">
        <v>8</v>
      </c>
      <c r="C3" t="s">
        <v>162</v>
      </c>
    </row>
    <row r="4" spans="1:3" x14ac:dyDescent="0.2">
      <c r="B4" t="s">
        <v>9</v>
      </c>
      <c r="C4" t="s">
        <v>164</v>
      </c>
    </row>
    <row r="5" spans="1:3" x14ac:dyDescent="0.2">
      <c r="B5" t="s">
        <v>10</v>
      </c>
      <c r="C5" t="s">
        <v>204</v>
      </c>
    </row>
    <row r="6" spans="1:3" x14ac:dyDescent="0.2">
      <c r="B6" t="s">
        <v>136</v>
      </c>
    </row>
    <row r="7" spans="1:3" x14ac:dyDescent="0.2">
      <c r="C7" s="18" t="s">
        <v>237</v>
      </c>
    </row>
    <row r="8" spans="1:3" x14ac:dyDescent="0.2">
      <c r="C8" t="s">
        <v>238</v>
      </c>
    </row>
    <row r="9" spans="1:3" x14ac:dyDescent="0.2">
      <c r="C9" t="s">
        <v>338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303</v>
      </c>
    </row>
    <row r="3" spans="1:3" x14ac:dyDescent="0.2">
      <c r="B3" t="s">
        <v>9</v>
      </c>
      <c r="C3" t="s">
        <v>308</v>
      </c>
    </row>
    <row r="4" spans="1:3" x14ac:dyDescent="0.2">
      <c r="B4" t="s">
        <v>121</v>
      </c>
      <c r="C4" t="s">
        <v>305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1" t="s">
        <v>20</v>
      </c>
    </row>
    <row r="2" spans="1:9" x14ac:dyDescent="0.2">
      <c r="B2" t="s">
        <v>64</v>
      </c>
      <c r="C2" t="s">
        <v>66</v>
      </c>
      <c r="D2" t="s">
        <v>67</v>
      </c>
      <c r="E2" t="s">
        <v>69</v>
      </c>
      <c r="F2" t="s">
        <v>71</v>
      </c>
      <c r="G2" t="s">
        <v>76</v>
      </c>
      <c r="H2" t="s">
        <v>77</v>
      </c>
      <c r="I2" t="s">
        <v>80</v>
      </c>
    </row>
    <row r="3" spans="1:9" x14ac:dyDescent="0.2">
      <c r="B3">
        <v>11390600</v>
      </c>
      <c r="C3" t="s">
        <v>65</v>
      </c>
      <c r="D3" t="s">
        <v>68</v>
      </c>
      <c r="E3" t="s">
        <v>70</v>
      </c>
      <c r="F3">
        <v>2</v>
      </c>
      <c r="G3" s="15">
        <v>44019</v>
      </c>
      <c r="H3" s="15">
        <v>44761</v>
      </c>
      <c r="I3" t="s">
        <v>81</v>
      </c>
    </row>
    <row r="4" spans="1:9" x14ac:dyDescent="0.2">
      <c r="B4">
        <v>11370798</v>
      </c>
      <c r="C4" t="s">
        <v>75</v>
      </c>
      <c r="D4" t="s">
        <v>78</v>
      </c>
      <c r="E4" t="s">
        <v>79</v>
      </c>
      <c r="F4">
        <v>2</v>
      </c>
      <c r="G4" s="15">
        <v>44074</v>
      </c>
      <c r="H4" s="15">
        <v>44740</v>
      </c>
      <c r="I4" t="s">
        <v>82</v>
      </c>
    </row>
    <row r="5" spans="1:9" x14ac:dyDescent="0.2">
      <c r="B5">
        <v>11369692</v>
      </c>
      <c r="C5" t="s">
        <v>83</v>
      </c>
      <c r="D5" t="s">
        <v>78</v>
      </c>
      <c r="E5" t="s">
        <v>84</v>
      </c>
      <c r="F5">
        <v>5</v>
      </c>
      <c r="G5" s="15">
        <v>42671</v>
      </c>
      <c r="H5" s="15">
        <v>44740</v>
      </c>
      <c r="I5" t="s">
        <v>85</v>
      </c>
    </row>
    <row r="6" spans="1:9" x14ac:dyDescent="0.2">
      <c r="B6">
        <v>11358977</v>
      </c>
      <c r="C6" t="s">
        <v>86</v>
      </c>
      <c r="D6" t="s">
        <v>78</v>
      </c>
      <c r="E6" t="s">
        <v>87</v>
      </c>
      <c r="F6">
        <v>8</v>
      </c>
      <c r="G6" s="15">
        <v>43236</v>
      </c>
      <c r="H6" s="15">
        <v>44726</v>
      </c>
      <c r="I6" t="s">
        <v>49</v>
      </c>
    </row>
    <row r="7" spans="1:9" x14ac:dyDescent="0.2">
      <c r="B7">
        <v>11345700</v>
      </c>
      <c r="C7" t="s">
        <v>89</v>
      </c>
      <c r="D7" t="s">
        <v>78</v>
      </c>
      <c r="E7" t="s">
        <v>88</v>
      </c>
      <c r="F7">
        <v>1</v>
      </c>
      <c r="G7" s="15">
        <v>43899</v>
      </c>
      <c r="H7" s="15">
        <v>44712</v>
      </c>
      <c r="I7" t="s">
        <v>90</v>
      </c>
    </row>
    <row r="8" spans="1:9" x14ac:dyDescent="0.2">
      <c r="B8">
        <v>11291662</v>
      </c>
      <c r="C8" t="s">
        <v>91</v>
      </c>
      <c r="D8" t="s">
        <v>78</v>
      </c>
      <c r="E8" t="s">
        <v>92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">
      <c r="B9">
        <v>11268077</v>
      </c>
      <c r="C9" t="s">
        <v>95</v>
      </c>
      <c r="D9" t="s">
        <v>78</v>
      </c>
      <c r="E9" t="s">
        <v>96</v>
      </c>
      <c r="F9">
        <v>5</v>
      </c>
      <c r="G9" s="15">
        <v>43501</v>
      </c>
      <c r="H9" s="15">
        <v>44628</v>
      </c>
      <c r="I9" t="s">
        <v>97</v>
      </c>
    </row>
    <row r="10" spans="1:9" x14ac:dyDescent="0.2">
      <c r="B10">
        <v>11253509</v>
      </c>
      <c r="C10" t="s">
        <v>98</v>
      </c>
      <c r="D10" t="s">
        <v>78</v>
      </c>
      <c r="E10" t="s">
        <v>99</v>
      </c>
      <c r="F10">
        <v>2</v>
      </c>
      <c r="G10" s="15">
        <v>43259</v>
      </c>
      <c r="H10" s="15">
        <v>44614</v>
      </c>
    </row>
    <row r="11" spans="1:9" x14ac:dyDescent="0.2">
      <c r="B11">
        <v>11203571</v>
      </c>
      <c r="C11" t="s">
        <v>205</v>
      </c>
      <c r="D11" t="s">
        <v>78</v>
      </c>
      <c r="E11" t="s">
        <v>206</v>
      </c>
      <c r="F11">
        <v>8</v>
      </c>
      <c r="G11" s="15">
        <v>41835</v>
      </c>
      <c r="H11" s="15">
        <v>44551</v>
      </c>
      <c r="I11" t="s">
        <v>49</v>
      </c>
    </row>
    <row r="12" spans="1:9" x14ac:dyDescent="0.2">
      <c r="B12">
        <v>11186566</v>
      </c>
      <c r="C12" t="s">
        <v>207</v>
      </c>
      <c r="D12" t="s">
        <v>78</v>
      </c>
      <c r="E12" t="s">
        <v>208</v>
      </c>
      <c r="F12">
        <v>6</v>
      </c>
      <c r="G12" s="15">
        <v>43803</v>
      </c>
      <c r="H12" s="15">
        <v>44530</v>
      </c>
      <c r="I12" t="s">
        <v>209</v>
      </c>
    </row>
    <row r="13" spans="1:9" x14ac:dyDescent="0.2">
      <c r="B13">
        <v>11179394</v>
      </c>
      <c r="C13" t="s">
        <v>210</v>
      </c>
      <c r="D13" t="s">
        <v>78</v>
      </c>
      <c r="E13" t="s">
        <v>211</v>
      </c>
      <c r="F13">
        <v>3</v>
      </c>
      <c r="G13" s="15">
        <v>42172</v>
      </c>
      <c r="H13" s="15">
        <v>44523</v>
      </c>
      <c r="I13" t="s">
        <v>212</v>
      </c>
    </row>
    <row r="14" spans="1:9" x14ac:dyDescent="0.2">
      <c r="B14">
        <v>11179367</v>
      </c>
      <c r="C14" t="s">
        <v>213</v>
      </c>
      <c r="D14" t="s">
        <v>78</v>
      </c>
      <c r="E14" t="s">
        <v>214</v>
      </c>
      <c r="F14">
        <v>2</v>
      </c>
      <c r="G14" s="15">
        <v>43500</v>
      </c>
      <c r="H14" s="15">
        <v>44523</v>
      </c>
      <c r="I14" t="s">
        <v>215</v>
      </c>
    </row>
    <row r="15" spans="1:9" x14ac:dyDescent="0.2">
      <c r="B15">
        <v>11155533</v>
      </c>
      <c r="C15" t="s">
        <v>216</v>
      </c>
      <c r="D15" t="s">
        <v>78</v>
      </c>
      <c r="E15" t="s">
        <v>217</v>
      </c>
      <c r="F15">
        <v>2</v>
      </c>
      <c r="G15" s="15">
        <v>43915</v>
      </c>
      <c r="H15" s="15">
        <v>44495</v>
      </c>
      <c r="I15" t="s">
        <v>218</v>
      </c>
    </row>
    <row r="16" spans="1:9" x14ac:dyDescent="0.2">
      <c r="B16">
        <v>11147770</v>
      </c>
      <c r="C16" t="s">
        <v>219</v>
      </c>
      <c r="D16" t="s">
        <v>78</v>
      </c>
      <c r="E16" t="s">
        <v>220</v>
      </c>
      <c r="F16">
        <v>2</v>
      </c>
      <c r="G16" s="15">
        <v>43536</v>
      </c>
      <c r="H16" s="15">
        <v>44488</v>
      </c>
      <c r="I16" t="s">
        <v>215</v>
      </c>
    </row>
    <row r="17" spans="2:9" x14ac:dyDescent="0.2">
      <c r="B17">
        <v>11124805</v>
      </c>
      <c r="C17" t="s">
        <v>221</v>
      </c>
      <c r="D17" t="s">
        <v>78</v>
      </c>
      <c r="E17" t="s">
        <v>222</v>
      </c>
      <c r="F17">
        <v>7</v>
      </c>
      <c r="G17" s="15">
        <v>42929</v>
      </c>
      <c r="H17" s="15">
        <v>44460</v>
      </c>
      <c r="I17" t="s">
        <v>223</v>
      </c>
    </row>
    <row r="18" spans="2:9" x14ac:dyDescent="0.2">
      <c r="B18">
        <v>11117900</v>
      </c>
      <c r="C18" t="s">
        <v>75</v>
      </c>
      <c r="D18" t="s">
        <v>78</v>
      </c>
      <c r="E18" t="s">
        <v>79</v>
      </c>
      <c r="F18">
        <v>3</v>
      </c>
      <c r="G18" s="15">
        <v>43683</v>
      </c>
      <c r="H18" s="15">
        <v>44453</v>
      </c>
    </row>
    <row r="19" spans="2:9" x14ac:dyDescent="0.2">
      <c r="B19">
        <v>11110108</v>
      </c>
      <c r="C19" t="s">
        <v>224</v>
      </c>
      <c r="D19" t="s">
        <v>78</v>
      </c>
      <c r="E19" t="s">
        <v>225</v>
      </c>
      <c r="F19">
        <v>2</v>
      </c>
      <c r="G19" s="15">
        <v>43005</v>
      </c>
      <c r="H19" s="15">
        <v>44446</v>
      </c>
    </row>
    <row r="20" spans="2:9" x14ac:dyDescent="0.2">
      <c r="B20">
        <v>11110086</v>
      </c>
      <c r="C20" t="s">
        <v>226</v>
      </c>
      <c r="D20" t="s">
        <v>78</v>
      </c>
      <c r="E20" t="s">
        <v>227</v>
      </c>
      <c r="F20">
        <v>3</v>
      </c>
      <c r="G20" s="15">
        <v>43656</v>
      </c>
      <c r="H20" s="15">
        <v>44446</v>
      </c>
    </row>
    <row r="21" spans="2:9" x14ac:dyDescent="0.2">
      <c r="B21">
        <v>11084804</v>
      </c>
      <c r="C21" t="s">
        <v>228</v>
      </c>
      <c r="D21" t="s">
        <v>78</v>
      </c>
      <c r="E21" t="s">
        <v>229</v>
      </c>
      <c r="F21">
        <v>5</v>
      </c>
      <c r="G21" s="15">
        <v>43874</v>
      </c>
      <c r="H21" s="15">
        <v>44418</v>
      </c>
      <c r="I21" t="s">
        <v>209</v>
      </c>
    </row>
    <row r="22" spans="2:9" x14ac:dyDescent="0.2">
      <c r="B22">
        <v>11066417</v>
      </c>
      <c r="C22" t="s">
        <v>231</v>
      </c>
      <c r="D22" t="s">
        <v>78</v>
      </c>
      <c r="E22" t="s">
        <v>230</v>
      </c>
      <c r="F22">
        <v>6</v>
      </c>
      <c r="G22" s="15">
        <v>43510</v>
      </c>
      <c r="H22" s="15">
        <v>44397</v>
      </c>
    </row>
    <row r="23" spans="2:9" x14ac:dyDescent="0.2">
      <c r="B23">
        <v>11059826</v>
      </c>
      <c r="C23" t="s">
        <v>232</v>
      </c>
      <c r="D23" t="s">
        <v>78</v>
      </c>
      <c r="E23" t="s">
        <v>233</v>
      </c>
      <c r="F23">
        <v>5</v>
      </c>
      <c r="G23" s="15">
        <v>43578</v>
      </c>
      <c r="H23" s="15">
        <v>44390</v>
      </c>
      <c r="I23" t="s">
        <v>234</v>
      </c>
    </row>
    <row r="24" spans="2:9" x14ac:dyDescent="0.2">
      <c r="B24">
        <v>11052075</v>
      </c>
      <c r="C24" t="s">
        <v>235</v>
      </c>
      <c r="D24" t="s">
        <v>78</v>
      </c>
      <c r="E24" t="s">
        <v>236</v>
      </c>
      <c r="G24" s="15">
        <v>43679</v>
      </c>
      <c r="H24" s="15">
        <v>44383</v>
      </c>
      <c r="I24" t="s">
        <v>215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1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104</v>
      </c>
    </row>
    <row r="3" spans="1:6" x14ac:dyDescent="0.2">
      <c r="B3" t="s">
        <v>103</v>
      </c>
      <c r="C3" t="s">
        <v>100</v>
      </c>
      <c r="D3" t="s">
        <v>102</v>
      </c>
      <c r="E3" t="s">
        <v>101</v>
      </c>
      <c r="F3" s="15">
        <v>40686</v>
      </c>
    </row>
    <row r="4" spans="1:6" x14ac:dyDescent="0.2">
      <c r="B4" t="s">
        <v>113</v>
      </c>
      <c r="C4" t="s">
        <v>112</v>
      </c>
      <c r="D4" t="s">
        <v>114</v>
      </c>
      <c r="E4" t="s">
        <v>15</v>
      </c>
      <c r="F4" s="15">
        <v>42187</v>
      </c>
    </row>
    <row r="5" spans="1:6" x14ac:dyDescent="0.2">
      <c r="B5" t="s">
        <v>117</v>
      </c>
      <c r="C5" t="s">
        <v>116</v>
      </c>
      <c r="E5" t="s">
        <v>15</v>
      </c>
    </row>
    <row r="6" spans="1:6" x14ac:dyDescent="0.2">
      <c r="B6" t="s">
        <v>21</v>
      </c>
      <c r="C6" t="s">
        <v>118</v>
      </c>
      <c r="E6" t="s">
        <v>15</v>
      </c>
    </row>
    <row r="8" spans="1:6" x14ac:dyDescent="0.2">
      <c r="F8" t="s">
        <v>37</v>
      </c>
    </row>
    <row r="9" spans="1:6" x14ac:dyDescent="0.2">
      <c r="B9" t="s">
        <v>108</v>
      </c>
      <c r="D9" t="s">
        <v>110</v>
      </c>
      <c r="E9" t="s">
        <v>101</v>
      </c>
      <c r="F9" t="s">
        <v>56</v>
      </c>
    </row>
    <row r="10" spans="1:6" x14ac:dyDescent="0.2">
      <c r="B10" t="s">
        <v>109</v>
      </c>
      <c r="D10" t="s">
        <v>110</v>
      </c>
      <c r="E10" t="s">
        <v>101</v>
      </c>
      <c r="F10" t="s">
        <v>56</v>
      </c>
    </row>
    <row r="11" spans="1:6" x14ac:dyDescent="0.2">
      <c r="B11" t="s">
        <v>72</v>
      </c>
      <c r="C11" t="s">
        <v>73</v>
      </c>
      <c r="D11" t="s">
        <v>74</v>
      </c>
      <c r="E11" t="s">
        <v>111</v>
      </c>
      <c r="F11" t="s">
        <v>56</v>
      </c>
    </row>
    <row r="12" spans="1:6" x14ac:dyDescent="0.2">
      <c r="B12" t="s">
        <v>259</v>
      </c>
      <c r="D12" t="s">
        <v>49</v>
      </c>
      <c r="E12" t="s">
        <v>48</v>
      </c>
      <c r="F12" t="s">
        <v>260</v>
      </c>
    </row>
    <row r="13" spans="1:6" x14ac:dyDescent="0.2">
      <c r="B13" t="s">
        <v>105</v>
      </c>
      <c r="D13" t="s">
        <v>106</v>
      </c>
      <c r="E13" t="s">
        <v>101</v>
      </c>
      <c r="F13" t="s">
        <v>107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K74"/>
  <sheetViews>
    <sheetView tabSelected="1" zoomScale="190" zoomScaleNormal="190" workbookViewId="0">
      <pane xSplit="2" ySplit="2" topLeftCell="S15" activePane="bottomRight" state="frozen"/>
      <selection pane="topRight" activeCell="C1" sqref="C1"/>
      <selection pane="bottomLeft" activeCell="A4" sqref="A4"/>
      <selection pane="bottomRight" activeCell="X20" sqref="X20"/>
    </sheetView>
  </sheetViews>
  <sheetFormatPr defaultRowHeight="12.75" x14ac:dyDescent="0.2"/>
  <cols>
    <col min="1" max="1" width="5" bestFit="1" customWidth="1"/>
    <col min="2" max="2" width="17.5703125" customWidth="1"/>
    <col min="3" max="21" width="9.140625" style="3"/>
    <col min="53" max="53" width="10.7109375" bestFit="1" customWidth="1"/>
  </cols>
  <sheetData>
    <row r="1" spans="1:55" x14ac:dyDescent="0.2">
      <c r="A1" s="11" t="s">
        <v>20</v>
      </c>
    </row>
    <row r="2" spans="1:55" x14ac:dyDescent="0.2">
      <c r="C2" s="3" t="s">
        <v>315</v>
      </c>
      <c r="D2" s="3" t="s">
        <v>314</v>
      </c>
      <c r="E2" s="3" t="s">
        <v>310</v>
      </c>
      <c r="F2" s="3" t="s">
        <v>311</v>
      </c>
      <c r="G2" s="3" t="s">
        <v>312</v>
      </c>
      <c r="H2" s="3" t="s">
        <v>313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6</v>
      </c>
      <c r="R2" s="3" t="s">
        <v>33</v>
      </c>
      <c r="S2" s="3" t="s">
        <v>34</v>
      </c>
      <c r="T2" s="3" t="s">
        <v>35</v>
      </c>
      <c r="U2" s="3" t="s">
        <v>298</v>
      </c>
      <c r="V2" s="3" t="s">
        <v>299</v>
      </c>
      <c r="W2" s="3" t="s">
        <v>300</v>
      </c>
      <c r="X2" s="3" t="s">
        <v>301</v>
      </c>
      <c r="Y2" s="3" t="s">
        <v>320</v>
      </c>
      <c r="Z2" s="3" t="s">
        <v>321</v>
      </c>
      <c r="AA2" s="3" t="s">
        <v>322</v>
      </c>
      <c r="AB2" s="3" t="s">
        <v>323</v>
      </c>
      <c r="AD2">
        <v>2015</v>
      </c>
      <c r="AE2">
        <f>+AD2+1</f>
        <v>2016</v>
      </c>
      <c r="AF2">
        <f t="shared" ref="AF2:AX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  <c r="AT2">
        <f t="shared" si="0"/>
        <v>2031</v>
      </c>
      <c r="AU2">
        <f t="shared" si="0"/>
        <v>2032</v>
      </c>
      <c r="AV2">
        <f t="shared" si="0"/>
        <v>2033</v>
      </c>
      <c r="AW2">
        <f t="shared" si="0"/>
        <v>2034</v>
      </c>
      <c r="AX2">
        <f t="shared" si="0"/>
        <v>2035</v>
      </c>
      <c r="AY2">
        <f t="shared" ref="AY2" si="1">+AX2+1</f>
        <v>2036</v>
      </c>
      <c r="AZ2">
        <f t="shared" ref="AZ2" si="2">+AY2+1</f>
        <v>2037</v>
      </c>
      <c r="BA2">
        <f t="shared" ref="BA2" si="3">+AZ2+1</f>
        <v>2038</v>
      </c>
      <c r="BB2">
        <f t="shared" ref="BB2" si="4">+BA2+1</f>
        <v>2039</v>
      </c>
      <c r="BC2">
        <f t="shared" ref="BC2" si="5">+BB2+1</f>
        <v>2040</v>
      </c>
    </row>
    <row r="3" spans="1:55" x14ac:dyDescent="0.2">
      <c r="B3" t="s">
        <v>52</v>
      </c>
      <c r="AO3" s="2">
        <v>200</v>
      </c>
      <c r="AP3" s="2">
        <v>400</v>
      </c>
      <c r="AQ3" s="2">
        <v>600</v>
      </c>
      <c r="AR3" s="2">
        <v>800</v>
      </c>
      <c r="AS3" s="2">
        <v>1000</v>
      </c>
      <c r="AT3" s="2">
        <f>+AS3*1.01</f>
        <v>1010</v>
      </c>
      <c r="AU3" s="2">
        <f t="shared" ref="AU3:AX4" si="6">+AT3*1.01</f>
        <v>1020.1</v>
      </c>
      <c r="AV3" s="2">
        <f t="shared" si="6"/>
        <v>1030.3009999999999</v>
      </c>
      <c r="AW3" s="2">
        <f t="shared" si="6"/>
        <v>1040.60401</v>
      </c>
      <c r="AX3" s="2">
        <f t="shared" si="6"/>
        <v>1051.0100500999999</v>
      </c>
      <c r="AY3" s="2">
        <f t="shared" ref="AY3:AY4" si="7">+AX3*1.01</f>
        <v>1061.5201506009998</v>
      </c>
      <c r="AZ3" s="2">
        <f t="shared" ref="AZ3:AZ4" si="8">+AY3*1.01</f>
        <v>1072.1353521070098</v>
      </c>
      <c r="BA3" s="2">
        <f t="shared" ref="BA3:BA4" si="9">+AZ3*1.01</f>
        <v>1082.8567056280799</v>
      </c>
      <c r="BB3" s="2">
        <f t="shared" ref="BB3:BB4" si="10">+BA3*1.01</f>
        <v>1093.6852726843608</v>
      </c>
      <c r="BC3" s="2">
        <f t="shared" ref="BC3" si="11">+BB3*1.01</f>
        <v>1104.6221254112045</v>
      </c>
    </row>
    <row r="4" spans="1:55" s="2" customFormat="1" x14ac:dyDescent="0.2">
      <c r="B4" s="2" t="s">
        <v>47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AM4" s="2">
        <v>200</v>
      </c>
      <c r="AN4" s="2">
        <v>3000</v>
      </c>
      <c r="AO4" s="2">
        <v>7500</v>
      </c>
      <c r="AP4" s="2">
        <v>10000</v>
      </c>
      <c r="AQ4" s="2">
        <v>12500</v>
      </c>
      <c r="AR4" s="2">
        <v>15000</v>
      </c>
      <c r="AS4" s="2">
        <v>17500</v>
      </c>
      <c r="AT4" s="2">
        <v>18500</v>
      </c>
      <c r="AU4" s="2">
        <f t="shared" ref="AT4:AW4" si="12">+AT4*1.01</f>
        <v>18685</v>
      </c>
      <c r="AV4" s="2">
        <f t="shared" si="12"/>
        <v>18871.849999999999</v>
      </c>
      <c r="AW4" s="2">
        <f t="shared" si="12"/>
        <v>19060.568499999998</v>
      </c>
      <c r="AX4" s="2">
        <f t="shared" si="6"/>
        <v>19251.174184999996</v>
      </c>
      <c r="AY4" s="2">
        <f t="shared" si="7"/>
        <v>19443.685926849997</v>
      </c>
      <c r="AZ4" s="2">
        <f t="shared" si="8"/>
        <v>19638.122786118496</v>
      </c>
      <c r="BA4" s="2">
        <f t="shared" si="9"/>
        <v>19834.50401397968</v>
      </c>
      <c r="BB4" s="2">
        <f t="shared" si="10"/>
        <v>20032.849054119477</v>
      </c>
      <c r="BC4" s="2">
        <f t="shared" ref="BC4" si="13">+BB4*0.1</f>
        <v>2003.2849054119479</v>
      </c>
    </row>
    <row r="5" spans="1:55" s="2" customFormat="1" x14ac:dyDescent="0.2">
      <c r="B5" s="2" t="s">
        <v>40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55" s="2" customFormat="1" x14ac:dyDescent="0.2">
      <c r="B6" s="2" t="s">
        <v>36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AM6" s="2">
        <v>5</v>
      </c>
      <c r="AN6" s="2">
        <v>10</v>
      </c>
      <c r="AO6" s="2">
        <v>15</v>
      </c>
      <c r="AP6" s="2">
        <v>20</v>
      </c>
      <c r="AQ6" s="2">
        <f>+AP6*1.01</f>
        <v>20.2</v>
      </c>
      <c r="AR6" s="2">
        <f t="shared" ref="AR6:AX6" si="14">+AQ6*1.01</f>
        <v>20.402000000000001</v>
      </c>
      <c r="AS6" s="2">
        <f t="shared" si="14"/>
        <v>20.606020000000001</v>
      </c>
      <c r="AT6" s="2">
        <f t="shared" si="14"/>
        <v>20.8120802</v>
      </c>
      <c r="AU6" s="2">
        <f t="shared" si="14"/>
        <v>21.020201002</v>
      </c>
      <c r="AV6" s="2">
        <f t="shared" si="14"/>
        <v>21.230403012020002</v>
      </c>
      <c r="AW6" s="2">
        <f t="shared" si="14"/>
        <v>21.442707042140203</v>
      </c>
      <c r="AX6" s="2">
        <f t="shared" si="14"/>
        <v>21.657134112561604</v>
      </c>
      <c r="AY6" s="2">
        <f t="shared" ref="AY6" si="15">+AX6*1.01</f>
        <v>21.873705453687219</v>
      </c>
      <c r="AZ6" s="2">
        <f t="shared" ref="AZ6" si="16">+AY6*1.01</f>
        <v>22.092442508224092</v>
      </c>
      <c r="BA6" s="2">
        <f t="shared" ref="BA6" si="17">+AZ6*1.01</f>
        <v>22.313366933306334</v>
      </c>
      <c r="BB6" s="2">
        <f t="shared" ref="BB6" si="18">+BA6*1.01</f>
        <v>22.536500602639396</v>
      </c>
      <c r="BC6" s="2">
        <f t="shared" ref="BC6" si="19">+BB6*1.01</f>
        <v>22.76186560866579</v>
      </c>
    </row>
    <row r="7" spans="1:55" s="2" customFormat="1" x14ac:dyDescent="0.2">
      <c r="B7" s="2" t="s">
        <v>268</v>
      </c>
      <c r="C7" s="12"/>
      <c r="D7" s="12">
        <v>1.9330000000000001</v>
      </c>
      <c r="E7" s="12">
        <v>1.1819999999999999</v>
      </c>
      <c r="F7" s="12">
        <v>0.91300000000000003</v>
      </c>
      <c r="G7" s="12"/>
      <c r="H7" s="12"/>
      <c r="I7" s="12">
        <v>0</v>
      </c>
      <c r="J7" s="12"/>
      <c r="K7" s="12">
        <v>2</v>
      </c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55" s="2" customFormat="1" x14ac:dyDescent="0.2">
      <c r="B8" s="2" t="s">
        <v>21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420</v>
      </c>
      <c r="I8" s="12">
        <v>895</v>
      </c>
      <c r="J8" s="12">
        <v>918</v>
      </c>
      <c r="K8" s="12">
        <v>960</v>
      </c>
      <c r="L8" s="12">
        <v>1091</v>
      </c>
      <c r="M8" s="12">
        <v>1193.2</v>
      </c>
      <c r="N8" s="12">
        <v>1256</v>
      </c>
      <c r="O8" s="12">
        <v>1556</v>
      </c>
      <c r="P8" s="12">
        <v>1693</v>
      </c>
      <c r="Q8" s="12">
        <v>1761.6</v>
      </c>
      <c r="R8" s="12">
        <v>1893</v>
      </c>
      <c r="S8" s="12">
        <v>2010.5</v>
      </c>
      <c r="T8" s="12">
        <v>2022</v>
      </c>
      <c r="U8" s="12">
        <v>2096.6999999999998</v>
      </c>
      <c r="V8" s="2">
        <f>+U8+25</f>
        <v>2121.6999999999998</v>
      </c>
      <c r="W8" s="2">
        <f>+V8+25</f>
        <v>2146.6999999999998</v>
      </c>
      <c r="X8" s="2">
        <v>2333.3000000000002</v>
      </c>
      <c r="Y8" s="2">
        <v>2483.6</v>
      </c>
      <c r="AJ8" s="2">
        <f>SUM(M8:P8)</f>
        <v>5698.2</v>
      </c>
      <c r="AK8" s="2">
        <f t="shared" ref="AK8:AK10" si="20">SUM(Q8:T8)</f>
        <v>7687.1</v>
      </c>
      <c r="AL8" s="2">
        <f>+AK8*1.2</f>
        <v>9224.52</v>
      </c>
      <c r="AM8" s="2">
        <f>+AL8*1.1</f>
        <v>10146.972000000002</v>
      </c>
      <c r="AN8" s="2">
        <f>+AM8*1.02</f>
        <v>10349.911440000002</v>
      </c>
      <c r="AO8" s="2">
        <f t="shared" ref="AO8:AV8" si="21">+AN8*1.02</f>
        <v>10556.909668800003</v>
      </c>
      <c r="AP8" s="2">
        <f t="shared" si="21"/>
        <v>10768.047862176003</v>
      </c>
      <c r="AQ8" s="2">
        <f t="shared" si="21"/>
        <v>10983.408819419523</v>
      </c>
      <c r="AR8" s="2">
        <f t="shared" si="21"/>
        <v>11203.076995807913</v>
      </c>
      <c r="AS8" s="2">
        <f t="shared" si="21"/>
        <v>11427.138535724071</v>
      </c>
      <c r="AT8" s="2">
        <f t="shared" si="21"/>
        <v>11655.681306438551</v>
      </c>
      <c r="AU8" s="2">
        <f t="shared" si="21"/>
        <v>11888.794932567323</v>
      </c>
      <c r="AV8" s="2">
        <f t="shared" si="21"/>
        <v>12126.570831218671</v>
      </c>
      <c r="AW8" s="2">
        <f>+AV8*0.5</f>
        <v>6063.2854156093354</v>
      </c>
      <c r="AX8" s="2">
        <f>+AW8*0.1</f>
        <v>606.32854156093356</v>
      </c>
      <c r="AY8" s="2">
        <f t="shared" ref="AY8:BC8" si="22">+AX8*0.1</f>
        <v>60.632854156093359</v>
      </c>
      <c r="AZ8" s="2">
        <f t="shared" si="22"/>
        <v>6.0632854156093359</v>
      </c>
      <c r="BA8" s="2">
        <f t="shared" si="22"/>
        <v>0.60632854156093363</v>
      </c>
      <c r="BB8" s="2">
        <f t="shared" si="22"/>
        <v>6.0632854156093367E-2</v>
      </c>
      <c r="BC8" s="2">
        <f t="shared" si="22"/>
        <v>6.0632854156093367E-3</v>
      </c>
    </row>
    <row r="9" spans="1:55" s="2" customFormat="1" x14ac:dyDescent="0.2">
      <c r="B9" s="2" t="s">
        <v>22</v>
      </c>
      <c r="C9" s="12">
        <v>255</v>
      </c>
      <c r="D9" s="12">
        <v>294</v>
      </c>
      <c r="E9" s="12">
        <v>320</v>
      </c>
      <c r="F9" s="12">
        <v>362</v>
      </c>
      <c r="G9" s="12">
        <v>404</v>
      </c>
      <c r="H9" s="12">
        <v>331.5</v>
      </c>
      <c r="I9" s="12">
        <v>173</v>
      </c>
      <c r="J9" s="12">
        <v>172</v>
      </c>
      <c r="K9" s="12">
        <v>156</v>
      </c>
      <c r="L9" s="12">
        <v>128</v>
      </c>
      <c r="M9" s="12">
        <v>125.1</v>
      </c>
      <c r="N9" s="12">
        <v>134</v>
      </c>
      <c r="O9" s="12">
        <v>81</v>
      </c>
      <c r="P9" s="12">
        <v>80</v>
      </c>
      <c r="Q9" s="12">
        <v>64.8</v>
      </c>
      <c r="R9" s="12">
        <v>43</v>
      </c>
      <c r="S9" s="12">
        <v>38.200000000000003</v>
      </c>
      <c r="T9" s="12">
        <v>34</v>
      </c>
      <c r="U9" s="12">
        <v>278.10000000000002</v>
      </c>
      <c r="AJ9" s="2">
        <f t="shared" ref="AJ9:AJ14" si="23">SUM(M9:P9)</f>
        <v>420.1</v>
      </c>
      <c r="AK9" s="2">
        <f t="shared" si="20"/>
        <v>180</v>
      </c>
      <c r="AL9" s="2">
        <f>+AK9*0.9</f>
        <v>162</v>
      </c>
      <c r="AM9" s="2">
        <f t="shared" ref="AM9:AX9" si="24">+AL9*0.9</f>
        <v>145.80000000000001</v>
      </c>
      <c r="AN9" s="2">
        <f t="shared" si="24"/>
        <v>131.22000000000003</v>
      </c>
      <c r="AO9" s="2">
        <f t="shared" si="24"/>
        <v>118.09800000000003</v>
      </c>
      <c r="AP9" s="2">
        <f t="shared" si="24"/>
        <v>106.28820000000003</v>
      </c>
      <c r="AQ9" s="2">
        <f t="shared" si="24"/>
        <v>95.659380000000027</v>
      </c>
      <c r="AR9" s="2">
        <f t="shared" si="24"/>
        <v>86.093442000000024</v>
      </c>
      <c r="AS9" s="2">
        <f t="shared" si="24"/>
        <v>77.484097800000029</v>
      </c>
      <c r="AT9" s="2">
        <f t="shared" si="24"/>
        <v>69.735688020000026</v>
      </c>
      <c r="AU9" s="2">
        <f t="shared" si="24"/>
        <v>62.762119218000024</v>
      </c>
      <c r="AV9" s="2">
        <f t="shared" si="24"/>
        <v>56.485907296200025</v>
      </c>
      <c r="AW9" s="2">
        <f t="shared" si="24"/>
        <v>50.837316566580022</v>
      </c>
      <c r="AX9" s="2">
        <f t="shared" si="24"/>
        <v>45.753584909922019</v>
      </c>
      <c r="AY9" s="2">
        <f t="shared" ref="AY9:AY12" si="25">+AX9*0.9</f>
        <v>41.178226418929817</v>
      </c>
      <c r="AZ9" s="2">
        <f t="shared" ref="AZ9:AZ12" si="26">+AY9*0.9</f>
        <v>37.060403777036839</v>
      </c>
      <c r="BA9" s="2">
        <f t="shared" ref="BA9:BA12" si="27">+AZ9*0.9</f>
        <v>33.35436339933316</v>
      </c>
      <c r="BB9" s="2">
        <f t="shared" ref="BB9:BB12" si="28">+BA9*0.9</f>
        <v>30.018927059399843</v>
      </c>
      <c r="BC9" s="2">
        <f t="shared" ref="BC9:BC12" si="29">+BB9*0.9</f>
        <v>27.017034353459859</v>
      </c>
    </row>
    <row r="10" spans="1:55" s="2" customFormat="1" x14ac:dyDescent="0.2">
      <c r="B10" s="2" t="s">
        <v>23</v>
      </c>
      <c r="C10" s="12">
        <v>282</v>
      </c>
      <c r="D10" s="12">
        <v>315</v>
      </c>
      <c r="E10" s="12">
        <v>293</v>
      </c>
      <c r="F10" s="12">
        <v>316</v>
      </c>
      <c r="G10" s="12">
        <v>297</v>
      </c>
      <c r="H10" s="12">
        <v>269.8</v>
      </c>
      <c r="I10" s="12">
        <v>234</v>
      </c>
      <c r="J10" s="12">
        <v>231.7</v>
      </c>
      <c r="K10" s="12">
        <v>226</v>
      </c>
      <c r="L10" s="12">
        <v>215</v>
      </c>
      <c r="M10" s="12">
        <v>218.7</v>
      </c>
      <c r="N10" s="12">
        <v>221</v>
      </c>
      <c r="O10" s="12">
        <v>185</v>
      </c>
      <c r="P10" s="12">
        <v>147</v>
      </c>
      <c r="Q10" s="12">
        <v>132.1</v>
      </c>
      <c r="R10" s="12">
        <v>122</v>
      </c>
      <c r="S10" s="12">
        <v>146.19999999999999</v>
      </c>
      <c r="T10" s="12">
        <v>111</v>
      </c>
      <c r="U10" s="12"/>
      <c r="AJ10" s="2">
        <f t="shared" si="23"/>
        <v>771.7</v>
      </c>
      <c r="AK10" s="2">
        <f t="shared" si="20"/>
        <v>511.29999999999995</v>
      </c>
      <c r="AL10" s="2">
        <f t="shared" ref="AL10:AX10" si="30">+AK10*0.9</f>
        <v>460.16999999999996</v>
      </c>
      <c r="AM10" s="2">
        <f t="shared" si="30"/>
        <v>414.15299999999996</v>
      </c>
      <c r="AN10" s="2">
        <f t="shared" si="30"/>
        <v>372.73769999999996</v>
      </c>
      <c r="AO10" s="2">
        <f t="shared" si="30"/>
        <v>335.46392999999995</v>
      </c>
      <c r="AP10" s="2">
        <f t="shared" si="30"/>
        <v>301.91753699999998</v>
      </c>
      <c r="AQ10" s="2">
        <f t="shared" si="30"/>
        <v>271.72578329999999</v>
      </c>
      <c r="AR10" s="2">
        <f t="shared" si="30"/>
        <v>244.55320497</v>
      </c>
      <c r="AS10" s="2">
        <f t="shared" si="30"/>
        <v>220.09788447299999</v>
      </c>
      <c r="AT10" s="2">
        <f t="shared" si="30"/>
        <v>198.0880960257</v>
      </c>
      <c r="AU10" s="2">
        <f t="shared" si="30"/>
        <v>178.27928642313</v>
      </c>
      <c r="AV10" s="2">
        <f t="shared" si="30"/>
        <v>160.45135778081701</v>
      </c>
      <c r="AW10" s="2">
        <f t="shared" si="30"/>
        <v>144.40622200273532</v>
      </c>
      <c r="AX10" s="2">
        <f t="shared" si="30"/>
        <v>129.96559980246178</v>
      </c>
      <c r="AY10" s="2">
        <f t="shared" si="25"/>
        <v>116.96903982221561</v>
      </c>
      <c r="AZ10" s="2">
        <f t="shared" si="26"/>
        <v>105.27213583999405</v>
      </c>
      <c r="BA10" s="2">
        <f t="shared" si="27"/>
        <v>94.744922255994652</v>
      </c>
      <c r="BB10" s="2">
        <f t="shared" si="28"/>
        <v>85.27043003039519</v>
      </c>
      <c r="BC10" s="2">
        <f t="shared" si="29"/>
        <v>76.743387027355666</v>
      </c>
    </row>
    <row r="11" spans="1:55" s="2" customFormat="1" x14ac:dyDescent="0.2">
      <c r="B11" s="2" t="s">
        <v>324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X11" s="2">
        <v>184.4</v>
      </c>
      <c r="Y11" s="2">
        <v>207</v>
      </c>
    </row>
    <row r="12" spans="1:55" s="2" customFormat="1" x14ac:dyDescent="0.2">
      <c r="B12" s="2" t="s">
        <v>13</v>
      </c>
      <c r="C12" s="12">
        <v>246</v>
      </c>
      <c r="D12" s="12">
        <v>259</v>
      </c>
      <c r="E12" s="12">
        <v>244</v>
      </c>
      <c r="F12" s="12">
        <v>262</v>
      </c>
      <c r="G12" s="12">
        <v>249</v>
      </c>
      <c r="H12" s="12">
        <v>235.7</v>
      </c>
      <c r="I12" s="12">
        <v>213</v>
      </c>
      <c r="J12" s="12">
        <v>202.7</v>
      </c>
      <c r="K12" s="12">
        <v>194</v>
      </c>
      <c r="L12" s="12">
        <v>193</v>
      </c>
      <c r="M12" s="12">
        <v>186.3</v>
      </c>
      <c r="N12" s="12">
        <v>183</v>
      </c>
      <c r="O12" s="12">
        <v>162</v>
      </c>
      <c r="P12" s="12">
        <v>152</v>
      </c>
      <c r="Q12" s="12">
        <v>139</v>
      </c>
      <c r="R12" s="12">
        <v>139</v>
      </c>
      <c r="S12" s="12">
        <v>139.4</v>
      </c>
      <c r="T12" s="12">
        <v>136</v>
      </c>
      <c r="U12" s="12"/>
      <c r="AJ12" s="2">
        <f t="shared" si="23"/>
        <v>683.3</v>
      </c>
      <c r="AK12" s="2">
        <f>SUM(Q12:T12)</f>
        <v>553.4</v>
      </c>
      <c r="AL12" s="2">
        <f t="shared" ref="AL12:AX12" si="31">+AK12*0.9</f>
        <v>498.06</v>
      </c>
      <c r="AN12" s="2">
        <f t="shared" si="31"/>
        <v>0</v>
      </c>
      <c r="AO12" s="2">
        <f t="shared" si="31"/>
        <v>0</v>
      </c>
      <c r="AP12" s="2">
        <f t="shared" si="31"/>
        <v>0</v>
      </c>
      <c r="AQ12" s="2">
        <f t="shared" si="31"/>
        <v>0</v>
      </c>
      <c r="AR12" s="2">
        <f t="shared" si="31"/>
        <v>0</v>
      </c>
      <c r="AS12" s="2">
        <f t="shared" si="31"/>
        <v>0</v>
      </c>
      <c r="AT12" s="2">
        <f t="shared" si="31"/>
        <v>0</v>
      </c>
      <c r="AU12" s="2">
        <f t="shared" si="31"/>
        <v>0</v>
      </c>
      <c r="AV12" s="2">
        <f t="shared" si="31"/>
        <v>0</v>
      </c>
      <c r="AW12" s="2">
        <f t="shared" si="31"/>
        <v>0</v>
      </c>
      <c r="AX12" s="2">
        <f t="shared" si="31"/>
        <v>0</v>
      </c>
      <c r="AY12" s="2">
        <f t="shared" si="25"/>
        <v>0</v>
      </c>
      <c r="AZ12" s="2">
        <f t="shared" si="26"/>
        <v>0</v>
      </c>
      <c r="BA12" s="2">
        <f t="shared" si="27"/>
        <v>0</v>
      </c>
      <c r="BB12" s="2">
        <f t="shared" si="28"/>
        <v>0</v>
      </c>
      <c r="BC12" s="2">
        <f t="shared" si="29"/>
        <v>0</v>
      </c>
    </row>
    <row r="13" spans="1:55" s="13" customFormat="1" x14ac:dyDescent="0.2">
      <c r="B13" s="13" t="s">
        <v>24</v>
      </c>
      <c r="C13" s="14">
        <f t="shared" ref="C13:K13" si="32">SUM(C8:C12)+C7</f>
        <v>783</v>
      </c>
      <c r="D13" s="14">
        <f t="shared" si="32"/>
        <v>869.93299999999999</v>
      </c>
      <c r="E13" s="14">
        <f t="shared" si="32"/>
        <v>858.18200000000002</v>
      </c>
      <c r="F13" s="14">
        <f t="shared" si="32"/>
        <v>940.91300000000001</v>
      </c>
      <c r="G13" s="14">
        <f t="shared" si="32"/>
        <v>950</v>
      </c>
      <c r="H13" s="14">
        <f t="shared" si="32"/>
        <v>1257</v>
      </c>
      <c r="I13" s="14">
        <f t="shared" si="32"/>
        <v>1515</v>
      </c>
      <c r="J13" s="14">
        <f t="shared" si="32"/>
        <v>1524.4</v>
      </c>
      <c r="K13" s="14">
        <f t="shared" si="32"/>
        <v>1538</v>
      </c>
      <c r="L13" s="14">
        <f t="shared" ref="L13:P13" si="33">SUM(L8:L12)</f>
        <v>1627</v>
      </c>
      <c r="M13" s="14">
        <f t="shared" si="33"/>
        <v>1723.3</v>
      </c>
      <c r="N13" s="14">
        <f t="shared" si="33"/>
        <v>1794</v>
      </c>
      <c r="O13" s="14">
        <f t="shared" si="33"/>
        <v>1984</v>
      </c>
      <c r="P13" s="14">
        <f t="shared" si="33"/>
        <v>2072</v>
      </c>
      <c r="Q13" s="14">
        <f>SUM(Q8:Q12)</f>
        <v>2097.5</v>
      </c>
      <c r="R13" s="14">
        <f t="shared" ref="R13:X13" si="34">SUM(R8:R12)</f>
        <v>2197</v>
      </c>
      <c r="S13" s="14">
        <f t="shared" si="34"/>
        <v>2334.2999999999997</v>
      </c>
      <c r="T13" s="14">
        <f t="shared" si="34"/>
        <v>2303</v>
      </c>
      <c r="U13" s="14">
        <f t="shared" si="34"/>
        <v>2374.7999999999997</v>
      </c>
      <c r="V13" s="14">
        <f t="shared" si="34"/>
        <v>2121.6999999999998</v>
      </c>
      <c r="W13" s="14">
        <f t="shared" si="34"/>
        <v>2146.6999999999998</v>
      </c>
      <c r="X13" s="14">
        <f>+X11+X8</f>
        <v>2517.7000000000003</v>
      </c>
      <c r="Y13" s="14">
        <f>SUM(Y8:Y12)</f>
        <v>2690.6</v>
      </c>
      <c r="Z13" s="14"/>
      <c r="AA13" s="14"/>
      <c r="AB13" s="14"/>
      <c r="AI13" s="13">
        <f t="shared" ref="AI13" si="35">SUM(AI8:AI12)</f>
        <v>0</v>
      </c>
      <c r="AJ13" s="13">
        <f>SUM(AJ8:AJ12)</f>
        <v>7573.3</v>
      </c>
      <c r="AK13" s="13">
        <f>SUM(AK8:AK12)</f>
        <v>8931.7999999999993</v>
      </c>
      <c r="AL13" s="13">
        <f>SUM(AL3:AL12)</f>
        <v>10344.75</v>
      </c>
      <c r="AM13" s="13">
        <f t="shared" ref="AM13:AX13" si="36">SUM(AM3:AM12)</f>
        <v>10911.925000000001</v>
      </c>
      <c r="AN13" s="13">
        <f t="shared" si="36"/>
        <v>13863.869140000001</v>
      </c>
      <c r="AO13" s="13">
        <f t="shared" si="36"/>
        <v>18725.471598800006</v>
      </c>
      <c r="AP13" s="13">
        <f t="shared" si="36"/>
        <v>21596.253599176005</v>
      </c>
      <c r="AQ13" s="13">
        <f t="shared" si="36"/>
        <v>24470.993982719527</v>
      </c>
      <c r="AR13" s="13">
        <f t="shared" si="36"/>
        <v>27354.125642777915</v>
      </c>
      <c r="AS13" s="13">
        <f>SUM(AS3:AS12)</f>
        <v>30245.326537997073</v>
      </c>
      <c r="AT13" s="13">
        <f t="shared" si="36"/>
        <v>31454.317170684255</v>
      </c>
      <c r="AU13" s="13">
        <f t="shared" si="36"/>
        <v>31855.956539210456</v>
      </c>
      <c r="AV13" s="13">
        <f t="shared" si="36"/>
        <v>32266.889499307705</v>
      </c>
      <c r="AW13" s="13">
        <f t="shared" si="36"/>
        <v>26381.144171220785</v>
      </c>
      <c r="AX13" s="13">
        <f t="shared" si="36"/>
        <v>21105.889095485876</v>
      </c>
      <c r="AY13" s="13">
        <f t="shared" ref="AY13:BC13" si="37">SUM(AY3:AY12)</f>
        <v>20745.859903301924</v>
      </c>
      <c r="AZ13" s="13">
        <f t="shared" si="37"/>
        <v>20880.746405766367</v>
      </c>
      <c r="BA13" s="13">
        <f t="shared" si="37"/>
        <v>21068.379700737958</v>
      </c>
      <c r="BB13" s="13">
        <f t="shared" si="37"/>
        <v>21264.420817350427</v>
      </c>
      <c r="BC13" s="13">
        <f t="shared" si="37"/>
        <v>3234.4353810980492</v>
      </c>
    </row>
    <row r="14" spans="1:55" s="2" customFormat="1" x14ac:dyDescent="0.2">
      <c r="B14" s="2" t="s">
        <v>58</v>
      </c>
      <c r="C14" s="12">
        <v>111.255</v>
      </c>
      <c r="D14" s="12">
        <v>122.289</v>
      </c>
      <c r="E14" s="12">
        <v>95.091999999999999</v>
      </c>
      <c r="F14" s="12">
        <v>135.74</v>
      </c>
      <c r="G14" s="12">
        <v>131.91399999999999</v>
      </c>
      <c r="H14" s="12">
        <v>185.012</v>
      </c>
      <c r="I14" s="12">
        <v>162.49700000000001</v>
      </c>
      <c r="J14" s="12">
        <v>184.5</v>
      </c>
      <c r="K14" s="12">
        <v>186.18199999999999</v>
      </c>
      <c r="L14" s="12">
        <v>203.1</v>
      </c>
      <c r="M14" s="12">
        <v>192.3</v>
      </c>
      <c r="N14" s="12">
        <v>228</v>
      </c>
      <c r="O14" s="12">
        <v>236.512</v>
      </c>
      <c r="P14" s="12">
        <v>247.4</v>
      </c>
      <c r="Q14" s="12">
        <v>145.80000000000001</v>
      </c>
      <c r="R14" s="12">
        <v>261.8</v>
      </c>
      <c r="S14" s="12">
        <v>289.39999999999998</v>
      </c>
      <c r="T14" s="12">
        <v>280.89999999999998</v>
      </c>
      <c r="U14" s="12">
        <v>265</v>
      </c>
      <c r="V14" s="2">
        <f>+V13-V15</f>
        <v>212.16999999999985</v>
      </c>
      <c r="W14" s="2">
        <f>+W13-W15</f>
        <v>214.66999999999985</v>
      </c>
      <c r="X14" s="2">
        <v>364.2</v>
      </c>
      <c r="Y14" s="2">
        <v>335.8</v>
      </c>
      <c r="AJ14" s="2">
        <f t="shared" si="23"/>
        <v>904.21199999999999</v>
      </c>
      <c r="AK14" s="2">
        <f>SUM(Q14:T14)</f>
        <v>977.9</v>
      </c>
      <c r="AL14" s="2">
        <f>+AL13*0.07</f>
        <v>724.13250000000005</v>
      </c>
      <c r="AM14" s="2">
        <f t="shared" ref="AM14:AX14" si="38">+AM13*0.07</f>
        <v>763.8347500000001</v>
      </c>
      <c r="AN14" s="2">
        <f t="shared" si="38"/>
        <v>970.47083980000014</v>
      </c>
      <c r="AO14" s="2">
        <f t="shared" si="38"/>
        <v>1310.7830119160005</v>
      </c>
      <c r="AP14" s="2">
        <f t="shared" si="38"/>
        <v>1511.7377519423205</v>
      </c>
      <c r="AQ14" s="2">
        <f t="shared" si="38"/>
        <v>1712.969578790367</v>
      </c>
      <c r="AR14" s="2">
        <f t="shared" si="38"/>
        <v>1914.7887949944543</v>
      </c>
      <c r="AS14" s="2">
        <f t="shared" si="38"/>
        <v>2117.1728576597952</v>
      </c>
      <c r="AT14" s="2">
        <f t="shared" si="38"/>
        <v>2201.8022019478981</v>
      </c>
      <c r="AU14" s="2">
        <f t="shared" si="38"/>
        <v>2229.9169577447319</v>
      </c>
      <c r="AV14" s="2">
        <f t="shared" si="38"/>
        <v>2258.6822649515398</v>
      </c>
      <c r="AW14" s="2">
        <f t="shared" si="38"/>
        <v>1846.6800919854552</v>
      </c>
      <c r="AX14" s="2">
        <f t="shared" si="38"/>
        <v>1477.4122366840115</v>
      </c>
      <c r="AY14" s="2">
        <f t="shared" ref="AY14:BC14" si="39">+AY13*0.07</f>
        <v>1452.2101932311348</v>
      </c>
      <c r="AZ14" s="2">
        <f t="shared" si="39"/>
        <v>1461.6522484036459</v>
      </c>
      <c r="BA14" s="2">
        <f t="shared" si="39"/>
        <v>1474.7865790516571</v>
      </c>
      <c r="BB14" s="2">
        <f t="shared" si="39"/>
        <v>1488.5094572145299</v>
      </c>
      <c r="BC14" s="2">
        <f t="shared" si="39"/>
        <v>226.41047667686345</v>
      </c>
    </row>
    <row r="15" spans="1:55" s="2" customFormat="1" x14ac:dyDescent="0.2">
      <c r="B15" s="2" t="s">
        <v>59</v>
      </c>
      <c r="C15" s="12">
        <f t="shared" ref="C15:J15" si="40">+C13-C14</f>
        <v>671.745</v>
      </c>
      <c r="D15" s="12">
        <f t="shared" si="40"/>
        <v>747.64400000000001</v>
      </c>
      <c r="E15" s="12">
        <f t="shared" si="40"/>
        <v>763.09</v>
      </c>
      <c r="F15" s="12">
        <f t="shared" si="40"/>
        <v>805.173</v>
      </c>
      <c r="G15" s="12">
        <f t="shared" si="40"/>
        <v>818.08600000000001</v>
      </c>
      <c r="H15" s="12">
        <f t="shared" si="40"/>
        <v>1071.9880000000001</v>
      </c>
      <c r="I15" s="12">
        <f t="shared" si="40"/>
        <v>1352.5029999999999</v>
      </c>
      <c r="J15" s="12">
        <f t="shared" si="40"/>
        <v>1339.9</v>
      </c>
      <c r="K15" s="12">
        <f t="shared" ref="K15:L15" si="41">+K13-K14</f>
        <v>1351.818</v>
      </c>
      <c r="L15" s="12">
        <f t="shared" si="41"/>
        <v>1423.9</v>
      </c>
      <c r="M15" s="12">
        <f>+M13-M14</f>
        <v>1531</v>
      </c>
      <c r="N15" s="12">
        <f>+N13-N14</f>
        <v>1566</v>
      </c>
      <c r="O15" s="12">
        <f>+O13-O14</f>
        <v>1747.4880000000001</v>
      </c>
      <c r="P15" s="12">
        <f>+P13-P14</f>
        <v>1824.6</v>
      </c>
      <c r="Q15" s="12">
        <f>+Q13-Q14</f>
        <v>1951.7</v>
      </c>
      <c r="R15" s="12">
        <f t="shared" ref="R15:T15" si="42">+R13-R14</f>
        <v>1935.2</v>
      </c>
      <c r="S15" s="12">
        <f>+S13-S14</f>
        <v>2044.8999999999996</v>
      </c>
      <c r="T15" s="12">
        <f t="shared" si="42"/>
        <v>2022.1</v>
      </c>
      <c r="U15" s="12">
        <f>+U13-U14</f>
        <v>2109.7999999999997</v>
      </c>
      <c r="V15" s="2">
        <f>+V13*0.9</f>
        <v>1909.53</v>
      </c>
      <c r="W15" s="2">
        <f>+W13*0.9</f>
        <v>1932.03</v>
      </c>
      <c r="X15" s="2">
        <f>+X13-X14</f>
        <v>2153.5000000000005</v>
      </c>
      <c r="Y15" s="2">
        <f>+Y13-Y14</f>
        <v>2354.7999999999997</v>
      </c>
      <c r="AI15" s="2">
        <f t="shared" ref="AI15" si="43">+AI13-AI14</f>
        <v>0</v>
      </c>
      <c r="AJ15" s="2">
        <f>+AJ13-AJ14</f>
        <v>6669.0879999999997</v>
      </c>
      <c r="AK15" s="2">
        <f>+AK13-AK14</f>
        <v>7953.9</v>
      </c>
      <c r="AL15" s="2">
        <f>+AL13-AL14</f>
        <v>9620.6175000000003</v>
      </c>
      <c r="AM15" s="2">
        <f t="shared" ref="AM15:AX15" si="44">+AM13-AM14</f>
        <v>10148.090250000001</v>
      </c>
      <c r="AN15" s="2">
        <f t="shared" si="44"/>
        <v>12893.3983002</v>
      </c>
      <c r="AO15" s="2">
        <f t="shared" si="44"/>
        <v>17414.688586884007</v>
      </c>
      <c r="AP15" s="2">
        <f t="shared" si="44"/>
        <v>20084.515847233684</v>
      </c>
      <c r="AQ15" s="2">
        <f t="shared" si="44"/>
        <v>22758.024403929161</v>
      </c>
      <c r="AR15" s="2">
        <f t="shared" si="44"/>
        <v>25439.336847783459</v>
      </c>
      <c r="AS15" s="2">
        <f t="shared" si="44"/>
        <v>28128.153680337276</v>
      </c>
      <c r="AT15" s="2">
        <f t="shared" si="44"/>
        <v>29252.514968736356</v>
      </c>
      <c r="AU15" s="2">
        <f t="shared" si="44"/>
        <v>29626.039581465724</v>
      </c>
      <c r="AV15" s="2">
        <f t="shared" si="44"/>
        <v>30008.207234356167</v>
      </c>
      <c r="AW15" s="2">
        <f t="shared" si="44"/>
        <v>24534.464079235331</v>
      </c>
      <c r="AX15" s="2">
        <f t="shared" si="44"/>
        <v>19628.476858801863</v>
      </c>
      <c r="AY15" s="2">
        <f t="shared" ref="AY15:BC15" si="45">+AY13-AY14</f>
        <v>19293.649710070789</v>
      </c>
      <c r="AZ15" s="2">
        <f t="shared" si="45"/>
        <v>19419.094157362721</v>
      </c>
      <c r="BA15" s="2">
        <f t="shared" si="45"/>
        <v>19593.593121686303</v>
      </c>
      <c r="BB15" s="2">
        <f t="shared" si="45"/>
        <v>19775.911360135899</v>
      </c>
      <c r="BC15" s="2">
        <f t="shared" si="45"/>
        <v>3008.024904421186</v>
      </c>
    </row>
    <row r="16" spans="1:55" s="2" customFormat="1" x14ac:dyDescent="0.2">
      <c r="B16" s="2" t="s">
        <v>60</v>
      </c>
      <c r="C16" s="12">
        <v>137.29499999999999</v>
      </c>
      <c r="D16" s="12">
        <v>153.21</v>
      </c>
      <c r="E16" s="12">
        <v>147.04499999999999</v>
      </c>
      <c r="F16" s="12">
        <v>156.50200000000001</v>
      </c>
      <c r="G16" s="12">
        <v>159.67400000000001</v>
      </c>
      <c r="H16" s="12">
        <v>195.27699999999999</v>
      </c>
      <c r="I16" s="12">
        <v>182.25800000000001</v>
      </c>
      <c r="J16" s="12">
        <v>191.8</v>
      </c>
      <c r="K16" s="12">
        <v>184.55099999999999</v>
      </c>
      <c r="L16" s="12">
        <v>175</v>
      </c>
      <c r="M16" s="12">
        <v>151</v>
      </c>
      <c r="N16" s="12">
        <v>194.6</v>
      </c>
      <c r="O16" s="12">
        <v>198.18899999999999</v>
      </c>
      <c r="P16" s="12">
        <v>210</v>
      </c>
      <c r="Q16" s="12">
        <v>167</v>
      </c>
      <c r="R16" s="12">
        <v>215.3</v>
      </c>
      <c r="S16" s="12">
        <v>246.8</v>
      </c>
      <c r="T16" s="12">
        <v>225.6</v>
      </c>
      <c r="U16" s="12">
        <v>196.9</v>
      </c>
      <c r="V16" s="2">
        <f>+R16</f>
        <v>215.3</v>
      </c>
      <c r="W16" s="2">
        <f>+S16</f>
        <v>246.8</v>
      </c>
      <c r="X16" s="2">
        <v>285.60000000000002</v>
      </c>
      <c r="Y16" s="2">
        <v>272</v>
      </c>
      <c r="AI16" s="2">
        <v>609</v>
      </c>
      <c r="AJ16" s="2">
        <v>673</v>
      </c>
      <c r="AK16" s="2">
        <f t="shared" ref="AK16:AK17" si="46">SUM(Q16:T16)</f>
        <v>854.7</v>
      </c>
      <c r="AL16" s="2">
        <f>+AL13*0.1</f>
        <v>1034.4750000000001</v>
      </c>
      <c r="AM16" s="2">
        <f t="shared" ref="AM16:AX16" si="47">+AM13*0.1</f>
        <v>1091.1925000000001</v>
      </c>
      <c r="AN16" s="2">
        <f t="shared" si="47"/>
        <v>1386.3869140000002</v>
      </c>
      <c r="AO16" s="2">
        <f t="shared" si="47"/>
        <v>1872.5471598800007</v>
      </c>
      <c r="AP16" s="2">
        <f t="shared" si="47"/>
        <v>2159.6253599176007</v>
      </c>
      <c r="AQ16" s="2">
        <f t="shared" si="47"/>
        <v>2447.0993982719529</v>
      </c>
      <c r="AR16" s="2">
        <f t="shared" si="47"/>
        <v>2735.4125642777917</v>
      </c>
      <c r="AS16" s="2">
        <f t="shared" si="47"/>
        <v>3024.5326537997075</v>
      </c>
      <c r="AT16" s="2">
        <f t="shared" si="47"/>
        <v>3145.4317170684258</v>
      </c>
      <c r="AU16" s="2">
        <f t="shared" si="47"/>
        <v>3185.5956539210456</v>
      </c>
      <c r="AV16" s="2">
        <f t="shared" si="47"/>
        <v>3226.6889499307708</v>
      </c>
      <c r="AW16" s="2">
        <f t="shared" si="47"/>
        <v>2638.1144171220785</v>
      </c>
      <c r="AX16" s="2">
        <f t="shared" si="47"/>
        <v>2110.5889095485877</v>
      </c>
      <c r="AY16" s="2">
        <f t="shared" ref="AY16:BC16" si="48">+AY13*0.1</f>
        <v>2074.5859903301925</v>
      </c>
      <c r="AZ16" s="2">
        <f t="shared" si="48"/>
        <v>2088.0746405766367</v>
      </c>
      <c r="BA16" s="2">
        <f t="shared" si="48"/>
        <v>2106.837970073796</v>
      </c>
      <c r="BB16" s="2">
        <f t="shared" si="48"/>
        <v>2126.4420817350428</v>
      </c>
      <c r="BC16" s="2">
        <f t="shared" si="48"/>
        <v>323.44353810980493</v>
      </c>
    </row>
    <row r="17" spans="2:115" s="2" customFormat="1" x14ac:dyDescent="0.2">
      <c r="B17" s="2" t="s">
        <v>61</v>
      </c>
      <c r="C17" s="12">
        <v>330.51</v>
      </c>
      <c r="D17" s="12">
        <v>437.88099999999997</v>
      </c>
      <c r="E17" s="12">
        <v>339.49</v>
      </c>
      <c r="F17" s="12">
        <v>379.09100000000001</v>
      </c>
      <c r="G17" s="12">
        <v>555.94799999999998</v>
      </c>
      <c r="H17" s="12">
        <v>480.01100000000002</v>
      </c>
      <c r="I17" s="12">
        <v>448.52800000000002</v>
      </c>
      <c r="J17" s="12">
        <v>420.9</v>
      </c>
      <c r="K17" s="12">
        <v>493.49700000000001</v>
      </c>
      <c r="L17" s="12">
        <v>364</v>
      </c>
      <c r="M17" s="12">
        <v>380</v>
      </c>
      <c r="N17" s="12">
        <v>448.7</v>
      </c>
      <c r="O17" s="12">
        <v>493.75099999999998</v>
      </c>
      <c r="P17" s="12">
        <v>493</v>
      </c>
      <c r="Q17" s="12">
        <v>520</v>
      </c>
      <c r="R17" s="12">
        <v>600.1</v>
      </c>
      <c r="S17" s="12">
        <v>645</v>
      </c>
      <c r="T17" s="12">
        <v>623.20000000000005</v>
      </c>
      <c r="U17" s="12">
        <v>663.5</v>
      </c>
      <c r="V17" s="2">
        <f>+U17</f>
        <v>663.5</v>
      </c>
      <c r="W17" s="2">
        <f>+V17</f>
        <v>663.5</v>
      </c>
      <c r="X17" s="2">
        <v>698.8</v>
      </c>
      <c r="Y17" s="2">
        <v>669.7</v>
      </c>
      <c r="AI17" s="2">
        <v>1372</v>
      </c>
      <c r="AJ17" s="2">
        <v>1658</v>
      </c>
      <c r="AK17" s="2">
        <f t="shared" si="46"/>
        <v>2388.3000000000002</v>
      </c>
    </row>
    <row r="18" spans="2:115" s="2" customFormat="1" x14ac:dyDescent="0.2">
      <c r="B18" s="2" t="s">
        <v>62</v>
      </c>
      <c r="C18" s="12">
        <f t="shared" ref="C18:D18" si="49">SUM(C16:C17)</f>
        <v>467.80499999999995</v>
      </c>
      <c r="D18" s="12">
        <f t="shared" si="49"/>
        <v>591.09100000000001</v>
      </c>
      <c r="E18" s="12">
        <f t="shared" ref="E18:G18" si="50">SUM(E16:E17)</f>
        <v>486.53499999999997</v>
      </c>
      <c r="F18" s="12">
        <f t="shared" si="50"/>
        <v>535.59300000000007</v>
      </c>
      <c r="G18" s="12">
        <f t="shared" si="50"/>
        <v>715.62199999999996</v>
      </c>
      <c r="H18" s="12">
        <f t="shared" ref="H18:I18" si="51">SUM(H16:H17)</f>
        <v>675.28800000000001</v>
      </c>
      <c r="I18" s="12">
        <f t="shared" si="51"/>
        <v>630.78600000000006</v>
      </c>
      <c r="J18" s="12">
        <f t="shared" ref="J18" si="52">SUM(J16:J17)</f>
        <v>612.70000000000005</v>
      </c>
      <c r="K18" s="12">
        <f t="shared" ref="K18:L18" si="53">SUM(K16:K17)</f>
        <v>678.048</v>
      </c>
      <c r="L18" s="12">
        <f t="shared" si="53"/>
        <v>539</v>
      </c>
      <c r="M18" s="12">
        <f>SUM(M16:M17)</f>
        <v>531</v>
      </c>
      <c r="N18" s="12">
        <f t="shared" ref="N18:Q18" si="54">SUM(N16:N17)</f>
        <v>643.29999999999995</v>
      </c>
      <c r="O18" s="12">
        <f t="shared" si="54"/>
        <v>691.93999999999994</v>
      </c>
      <c r="P18" s="12">
        <f>SUM(P16:P17)</f>
        <v>703</v>
      </c>
      <c r="Q18" s="12">
        <f t="shared" si="54"/>
        <v>687</v>
      </c>
      <c r="R18" s="12">
        <f>SUM(R16:R17)</f>
        <v>815.40000000000009</v>
      </c>
      <c r="S18" s="12">
        <f>SUM(S16:S17)</f>
        <v>891.8</v>
      </c>
      <c r="T18" s="12">
        <f t="shared" ref="T18:U18" si="55">SUM(T16:T17)</f>
        <v>848.80000000000007</v>
      </c>
      <c r="U18" s="12">
        <f t="shared" si="55"/>
        <v>860.4</v>
      </c>
      <c r="V18" s="12">
        <f t="shared" ref="V18:Y18" si="56">SUM(V16:V17)</f>
        <v>878.8</v>
      </c>
      <c r="W18" s="12">
        <f t="shared" si="56"/>
        <v>910.3</v>
      </c>
      <c r="X18" s="12">
        <f t="shared" si="56"/>
        <v>984.4</v>
      </c>
      <c r="Y18" s="12">
        <f t="shared" si="56"/>
        <v>941.7</v>
      </c>
      <c r="Z18" s="12"/>
      <c r="AA18" s="12"/>
      <c r="AB18" s="12"/>
      <c r="AI18" s="12">
        <f t="shared" ref="AI18:AK18" si="57">SUM(AI16:AI17)</f>
        <v>1981</v>
      </c>
      <c r="AJ18" s="12">
        <f t="shared" si="57"/>
        <v>2331</v>
      </c>
      <c r="AK18" s="12">
        <f t="shared" si="57"/>
        <v>3243</v>
      </c>
      <c r="AL18" s="12">
        <f t="shared" ref="AL18:AX18" si="58">SUM(AL16:AL17)</f>
        <v>1034.4750000000001</v>
      </c>
      <c r="AM18" s="12">
        <f t="shared" si="58"/>
        <v>1091.1925000000001</v>
      </c>
      <c r="AN18" s="12">
        <f t="shared" si="58"/>
        <v>1386.3869140000002</v>
      </c>
      <c r="AO18" s="12">
        <f t="shared" si="58"/>
        <v>1872.5471598800007</v>
      </c>
      <c r="AP18" s="12">
        <f t="shared" si="58"/>
        <v>2159.6253599176007</v>
      </c>
      <c r="AQ18" s="12">
        <f t="shared" si="58"/>
        <v>2447.0993982719529</v>
      </c>
      <c r="AR18" s="12">
        <f t="shared" si="58"/>
        <v>2735.4125642777917</v>
      </c>
      <c r="AS18" s="12">
        <f t="shared" si="58"/>
        <v>3024.5326537997075</v>
      </c>
      <c r="AT18" s="12">
        <f t="shared" si="58"/>
        <v>3145.4317170684258</v>
      </c>
      <c r="AU18" s="12">
        <f t="shared" si="58"/>
        <v>3185.5956539210456</v>
      </c>
      <c r="AV18" s="12">
        <f t="shared" si="58"/>
        <v>3226.6889499307708</v>
      </c>
      <c r="AW18" s="12">
        <f t="shared" si="58"/>
        <v>2638.1144171220785</v>
      </c>
      <c r="AX18" s="12">
        <f t="shared" si="58"/>
        <v>2110.5889095485877</v>
      </c>
      <c r="AY18" s="12">
        <f t="shared" ref="AY18:BC18" si="59">SUM(AY16:AY17)</f>
        <v>2074.5859903301925</v>
      </c>
      <c r="AZ18" s="12">
        <f t="shared" si="59"/>
        <v>2088.0746405766367</v>
      </c>
      <c r="BA18" s="12">
        <f t="shared" si="59"/>
        <v>2106.837970073796</v>
      </c>
      <c r="BB18" s="12">
        <f t="shared" si="59"/>
        <v>2126.4420817350428</v>
      </c>
      <c r="BC18" s="12">
        <f t="shared" si="59"/>
        <v>323.44353810980493</v>
      </c>
    </row>
    <row r="19" spans="2:115" x14ac:dyDescent="0.2">
      <c r="B19" s="2" t="s">
        <v>63</v>
      </c>
      <c r="C19" s="12">
        <f t="shared" ref="C19:D19" si="60">C15-C18</f>
        <v>203.94000000000005</v>
      </c>
      <c r="D19" s="12">
        <f t="shared" si="60"/>
        <v>156.553</v>
      </c>
      <c r="E19" s="12">
        <f t="shared" ref="E19:G19" si="61">E15-E18</f>
        <v>276.55500000000006</v>
      </c>
      <c r="F19" s="12">
        <f t="shared" si="61"/>
        <v>269.57999999999993</v>
      </c>
      <c r="G19" s="12">
        <f t="shared" si="61"/>
        <v>102.46400000000006</v>
      </c>
      <c r="H19" s="12">
        <f t="shared" ref="H19:I19" si="62">H15-H18</f>
        <v>396.70000000000005</v>
      </c>
      <c r="I19" s="12">
        <f t="shared" si="62"/>
        <v>721.71699999999987</v>
      </c>
      <c r="J19" s="12">
        <f t="shared" ref="J19" si="63">J15-J18</f>
        <v>727.2</v>
      </c>
      <c r="K19" s="12">
        <f t="shared" ref="K19:L19" si="64">K15-K18</f>
        <v>673.77</v>
      </c>
      <c r="L19" s="12">
        <f t="shared" si="64"/>
        <v>884.90000000000009</v>
      </c>
      <c r="M19" s="12">
        <f>M15-M18</f>
        <v>1000</v>
      </c>
      <c r="N19" s="12">
        <f t="shared" ref="N19:Q19" si="65">N15-N18</f>
        <v>922.7</v>
      </c>
      <c r="O19" s="12">
        <f t="shared" si="65"/>
        <v>1055.5480000000002</v>
      </c>
      <c r="P19" s="12">
        <f>P15-P18</f>
        <v>1121.5999999999999</v>
      </c>
      <c r="Q19" s="12">
        <f t="shared" si="65"/>
        <v>1264.7</v>
      </c>
      <c r="R19" s="12">
        <f>R15-R18</f>
        <v>1119.8</v>
      </c>
      <c r="S19" s="12">
        <f>S15-S18</f>
        <v>1153.0999999999997</v>
      </c>
      <c r="T19" s="12">
        <f t="shared" ref="T19:U19" si="66">T15-T18</f>
        <v>1173.2999999999997</v>
      </c>
      <c r="U19" s="12">
        <f t="shared" si="66"/>
        <v>1249.3999999999996</v>
      </c>
      <c r="V19" s="12">
        <f t="shared" ref="V19:Y19" si="67">V15-V18</f>
        <v>1030.73</v>
      </c>
      <c r="W19" s="12">
        <f t="shared" si="67"/>
        <v>1021.73</v>
      </c>
      <c r="X19" s="12">
        <f>X15-X18</f>
        <v>1169.1000000000004</v>
      </c>
      <c r="Y19" s="12">
        <f t="shared" si="67"/>
        <v>1413.0999999999997</v>
      </c>
      <c r="Z19" s="12"/>
      <c r="AA19" s="12"/>
      <c r="AB19" s="12"/>
      <c r="AI19" s="12">
        <f t="shared" ref="AI19:AK19" si="68">AI15-AI18</f>
        <v>-1981</v>
      </c>
      <c r="AJ19" s="12">
        <f t="shared" si="68"/>
        <v>4338.0879999999997</v>
      </c>
      <c r="AK19" s="12">
        <f t="shared" si="68"/>
        <v>4710.8999999999996</v>
      </c>
      <c r="AL19" s="12">
        <f t="shared" ref="AL19:AX19" si="69">AL15-AL18</f>
        <v>8586.1424999999999</v>
      </c>
      <c r="AM19" s="12">
        <f t="shared" si="69"/>
        <v>9056.8977500000001</v>
      </c>
      <c r="AN19" s="12">
        <f t="shared" si="69"/>
        <v>11507.0113862</v>
      </c>
      <c r="AO19" s="12">
        <f t="shared" si="69"/>
        <v>15542.141427004006</v>
      </c>
      <c r="AP19" s="12">
        <f t="shared" si="69"/>
        <v>17924.890487316083</v>
      </c>
      <c r="AQ19" s="12">
        <f t="shared" si="69"/>
        <v>20310.925005657209</v>
      </c>
      <c r="AR19" s="12">
        <f t="shared" si="69"/>
        <v>22703.924283505668</v>
      </c>
      <c r="AS19" s="12">
        <f t="shared" si="69"/>
        <v>25103.62102653757</v>
      </c>
      <c r="AT19" s="12">
        <f t="shared" si="69"/>
        <v>26107.083251667929</v>
      </c>
      <c r="AU19" s="12">
        <f t="shared" si="69"/>
        <v>26440.443927544678</v>
      </c>
      <c r="AV19" s="12">
        <f t="shared" si="69"/>
        <v>26781.518284425394</v>
      </c>
      <c r="AW19" s="12">
        <f t="shared" si="69"/>
        <v>21896.349662113251</v>
      </c>
      <c r="AX19" s="12">
        <f t="shared" si="69"/>
        <v>17517.887949253276</v>
      </c>
      <c r="AY19" s="12">
        <f t="shared" ref="AY19:BC19" si="70">AY15-AY18</f>
        <v>17219.063719740596</v>
      </c>
      <c r="AZ19" s="12">
        <f t="shared" si="70"/>
        <v>17331.019516786084</v>
      </c>
      <c r="BA19" s="12">
        <f t="shared" si="70"/>
        <v>17486.755151612506</v>
      </c>
      <c r="BB19" s="12">
        <f t="shared" si="70"/>
        <v>17649.469278400855</v>
      </c>
      <c r="BC19" s="12">
        <f t="shared" si="70"/>
        <v>2684.5813663113809</v>
      </c>
    </row>
    <row r="20" spans="2:115" s="2" customFormat="1" x14ac:dyDescent="0.2">
      <c r="B20" s="2" t="s">
        <v>122</v>
      </c>
      <c r="C20" s="12">
        <f>10.543-18.686</f>
        <v>-8.1430000000000007</v>
      </c>
      <c r="D20" s="12">
        <f>13.971-18.744</f>
        <v>-4.7729999999999997</v>
      </c>
      <c r="E20" s="12">
        <f>15.615-14.868</f>
        <v>0.74699999999999989</v>
      </c>
      <c r="F20" s="12">
        <f>18.076-14.837</f>
        <v>3.2390000000000008</v>
      </c>
      <c r="G20" s="12">
        <f>17.628-14.548</f>
        <v>3.08</v>
      </c>
      <c r="H20" s="12">
        <f>12.359-14.249</f>
        <v>-1.8900000000000006</v>
      </c>
      <c r="I20" s="12">
        <f>12.576-14.136</f>
        <v>-1.5599999999999987</v>
      </c>
      <c r="J20" s="12">
        <f>4.243-13.871</f>
        <v>-9.6280000000000001</v>
      </c>
      <c r="K20" s="12">
        <f>3.1-13.856</f>
        <v>-10.756</v>
      </c>
      <c r="L20" s="12">
        <f>2.3-16.3</f>
        <v>-14</v>
      </c>
      <c r="M20" s="12">
        <f>1.5-15.7</f>
        <v>-14.2</v>
      </c>
      <c r="N20" s="12">
        <f>1.1-15.5</f>
        <v>-14.4</v>
      </c>
      <c r="O20" s="12">
        <f>1.116-15.255</f>
        <v>-14.139000000000001</v>
      </c>
      <c r="P20" s="12">
        <f>1.2-15.1</f>
        <v>-13.9</v>
      </c>
      <c r="Q20" s="12">
        <f>1.6-14.9</f>
        <v>-13.3</v>
      </c>
      <c r="R20" s="12">
        <f>10.8-14.6</f>
        <v>-3.7999999999999989</v>
      </c>
      <c r="S20" s="12">
        <f>46-13.7</f>
        <v>32.299999999999997</v>
      </c>
      <c r="T20" s="12">
        <f>86-11.6</f>
        <v>74.400000000000006</v>
      </c>
      <c r="U20" s="12">
        <v>122.6</v>
      </c>
      <c r="V20" s="2">
        <f>+U20</f>
        <v>122.6</v>
      </c>
      <c r="W20" s="2">
        <f>+V20</f>
        <v>122.6</v>
      </c>
      <c r="X20" s="2">
        <f>179.5-10.6-9.8</f>
        <v>159.1</v>
      </c>
      <c r="Y20" s="2">
        <v>-4.2</v>
      </c>
      <c r="AK20" s="2">
        <f t="shared" ref="AK20:AK22" si="71">SUM(Q20:T20)</f>
        <v>89.6</v>
      </c>
      <c r="AL20" s="2">
        <f t="shared" ref="AL20:AZ20" si="72">+AK32*$BF$30</f>
        <v>0</v>
      </c>
      <c r="AM20" s="2">
        <f t="shared" si="72"/>
        <v>68.689139999999995</v>
      </c>
      <c r="AN20" s="2">
        <f t="shared" si="72"/>
        <v>141.69383512000002</v>
      </c>
      <c r="AO20" s="2">
        <f t="shared" si="72"/>
        <v>234.88347689056002</v>
      </c>
      <c r="AP20" s="2">
        <f t="shared" si="72"/>
        <v>361.09967612171653</v>
      </c>
      <c r="AQ20" s="2">
        <f t="shared" si="72"/>
        <v>507.38759742921894</v>
      </c>
      <c r="AR20" s="2">
        <f t="shared" si="72"/>
        <v>673.93409825391041</v>
      </c>
      <c r="AS20" s="2">
        <f t="shared" si="72"/>
        <v>860.95696530798705</v>
      </c>
      <c r="AT20" s="2">
        <f t="shared" si="72"/>
        <v>1068.6735892427514</v>
      </c>
      <c r="AU20" s="2">
        <f t="shared" si="72"/>
        <v>1286.0796439700371</v>
      </c>
      <c r="AV20" s="2">
        <f t="shared" si="72"/>
        <v>1507.8918325421546</v>
      </c>
      <c r="AW20" s="2">
        <f t="shared" si="72"/>
        <v>1734.2071134778951</v>
      </c>
      <c r="AX20" s="2">
        <f t="shared" si="72"/>
        <v>1923.2515676826242</v>
      </c>
      <c r="AY20" s="2">
        <f t="shared" si="72"/>
        <v>2078.7806838181114</v>
      </c>
      <c r="AZ20" s="2">
        <f t="shared" si="72"/>
        <v>2233.1634390465811</v>
      </c>
      <c r="BA20" s="2">
        <f t="shared" ref="BA20:BC20" si="73">+AZ32*$BF$30</f>
        <v>2389.6769026932425</v>
      </c>
      <c r="BB20" s="2">
        <f>+BA32*$BF$30</f>
        <v>2548.6883591276883</v>
      </c>
      <c r="BC20" s="2">
        <f t="shared" si="73"/>
        <v>2710.2736202279166</v>
      </c>
    </row>
    <row r="21" spans="2:115" x14ac:dyDescent="0.2">
      <c r="B21" s="2" t="s">
        <v>123</v>
      </c>
      <c r="C21" s="12">
        <f t="shared" ref="C21:D21" si="74">+C19+C20</f>
        <v>195.79700000000005</v>
      </c>
      <c r="D21" s="12">
        <f t="shared" si="74"/>
        <v>151.78</v>
      </c>
      <c r="E21" s="12">
        <f t="shared" ref="E21:F21" si="75">+E19+E20</f>
        <v>277.30200000000008</v>
      </c>
      <c r="F21" s="12">
        <f t="shared" si="75"/>
        <v>272.8189999999999</v>
      </c>
      <c r="G21" s="12">
        <f t="shared" ref="G21:J21" si="76">+G19+G20</f>
        <v>105.54400000000005</v>
      </c>
      <c r="H21" s="12">
        <f t="shared" si="76"/>
        <v>394.81000000000006</v>
      </c>
      <c r="I21" s="12">
        <f t="shared" si="76"/>
        <v>720.15699999999993</v>
      </c>
      <c r="J21" s="12">
        <f t="shared" si="76"/>
        <v>717.572</v>
      </c>
      <c r="K21" s="12">
        <f>+K19+K20</f>
        <v>663.01400000000001</v>
      </c>
      <c r="L21" s="12">
        <f>+L19+L20</f>
        <v>870.90000000000009</v>
      </c>
      <c r="M21" s="12">
        <f>+M19+M20</f>
        <v>985.8</v>
      </c>
      <c r="N21" s="12">
        <f t="shared" ref="N21:Q21" si="77">+N19+N20</f>
        <v>908.30000000000007</v>
      </c>
      <c r="O21" s="12">
        <f t="shared" si="77"/>
        <v>1041.4090000000003</v>
      </c>
      <c r="P21" s="12">
        <f t="shared" si="77"/>
        <v>1107.6999999999998</v>
      </c>
      <c r="Q21" s="12">
        <f t="shared" si="77"/>
        <v>1251.4000000000001</v>
      </c>
      <c r="R21" s="12">
        <f t="shared" ref="R21" si="78">+R19+R20</f>
        <v>1116</v>
      </c>
      <c r="S21" s="12">
        <f t="shared" ref="S21" si="79">+S19+S20</f>
        <v>1185.3999999999996</v>
      </c>
      <c r="T21" s="12">
        <f t="shared" ref="T21:Y21" si="80">+T19+T20</f>
        <v>1247.6999999999998</v>
      </c>
      <c r="U21" s="12">
        <f t="shared" si="80"/>
        <v>1371.9999999999995</v>
      </c>
      <c r="V21" s="12">
        <f t="shared" si="80"/>
        <v>1153.33</v>
      </c>
      <c r="W21" s="12">
        <f t="shared" si="80"/>
        <v>1144.33</v>
      </c>
      <c r="X21" s="12">
        <f t="shared" si="80"/>
        <v>1328.2000000000003</v>
      </c>
      <c r="Y21" s="12">
        <f t="shared" si="80"/>
        <v>1408.8999999999996</v>
      </c>
      <c r="Z21" s="12"/>
      <c r="AA21" s="12"/>
      <c r="AB21" s="12"/>
      <c r="AK21" s="2">
        <f>+AK19+AK20</f>
        <v>4800.5</v>
      </c>
      <c r="AL21" s="2">
        <f t="shared" ref="AL21:AX21" si="81">+AL19+AL20</f>
        <v>8586.1424999999999</v>
      </c>
      <c r="AM21" s="2">
        <f t="shared" si="81"/>
        <v>9125.5868900000005</v>
      </c>
      <c r="AN21" s="2">
        <f t="shared" si="81"/>
        <v>11648.70522132</v>
      </c>
      <c r="AO21" s="2">
        <f t="shared" si="81"/>
        <v>15777.024903894566</v>
      </c>
      <c r="AP21" s="2">
        <f t="shared" si="81"/>
        <v>18285.9901634378</v>
      </c>
      <c r="AQ21" s="2">
        <f t="shared" si="81"/>
        <v>20818.31260308643</v>
      </c>
      <c r="AR21" s="2">
        <f t="shared" si="81"/>
        <v>23377.858381759579</v>
      </c>
      <c r="AS21" s="2">
        <f t="shared" si="81"/>
        <v>25964.577991845559</v>
      </c>
      <c r="AT21" s="2">
        <f t="shared" si="81"/>
        <v>27175.756840910683</v>
      </c>
      <c r="AU21" s="2">
        <f t="shared" si="81"/>
        <v>27726.523571514714</v>
      </c>
      <c r="AV21" s="2">
        <f t="shared" si="81"/>
        <v>28289.410116967549</v>
      </c>
      <c r="AW21" s="2">
        <f t="shared" si="81"/>
        <v>23630.556775591147</v>
      </c>
      <c r="AX21" s="2">
        <f t="shared" si="81"/>
        <v>19441.139516935902</v>
      </c>
      <c r="AY21" s="2">
        <f t="shared" ref="AY21:BC21" si="82">+AY19+AY20</f>
        <v>19297.844403558709</v>
      </c>
      <c r="AZ21" s="2">
        <f t="shared" si="82"/>
        <v>19564.182955832664</v>
      </c>
      <c r="BA21" s="2">
        <f t="shared" si="82"/>
        <v>19876.432054305747</v>
      </c>
      <c r="BB21" s="2">
        <f t="shared" si="82"/>
        <v>20198.157637528544</v>
      </c>
      <c r="BC21" s="2">
        <f t="shared" si="82"/>
        <v>5394.8549865392979</v>
      </c>
    </row>
    <row r="22" spans="2:115" s="2" customFormat="1" x14ac:dyDescent="0.2">
      <c r="B22" s="2" t="s">
        <v>124</v>
      </c>
      <c r="C22" s="12">
        <v>8.0549999999999997</v>
      </c>
      <c r="D22" s="12">
        <v>0</v>
      </c>
      <c r="E22" s="12">
        <v>51.533999999999999</v>
      </c>
      <c r="F22" s="12">
        <v>59.710999999999999</v>
      </c>
      <c r="G22" s="12">
        <v>13.148</v>
      </c>
      <c r="H22" s="12">
        <v>93.715999999999994</v>
      </c>
      <c r="I22" s="12">
        <v>54.780999999999999</v>
      </c>
      <c r="J22" s="12">
        <v>-12.5</v>
      </c>
      <c r="K22" s="12">
        <v>78.436999999999998</v>
      </c>
      <c r="L22" s="12">
        <v>198</v>
      </c>
      <c r="M22" s="12">
        <v>206</v>
      </c>
      <c r="N22" s="12">
        <v>10.9</v>
      </c>
      <c r="O22" s="12">
        <v>230.81299999999999</v>
      </c>
      <c r="P22" s="12">
        <v>239</v>
      </c>
      <c r="Q22" s="12">
        <v>249</v>
      </c>
      <c r="R22" s="12">
        <v>258.60000000000002</v>
      </c>
      <c r="S22" s="12">
        <v>245.9</v>
      </c>
      <c r="T22" s="12">
        <v>257.89999999999998</v>
      </c>
      <c r="U22" s="12">
        <v>191.7</v>
      </c>
      <c r="V22" s="2">
        <f>+V21*0.15</f>
        <v>172.99949999999998</v>
      </c>
      <c r="W22" s="2">
        <f>+W21*0.15</f>
        <v>171.64949999999999</v>
      </c>
      <c r="X22" s="2">
        <v>178.8</v>
      </c>
      <c r="Y22" s="2">
        <v>261.10000000000002</v>
      </c>
      <c r="AK22" s="2">
        <f t="shared" si="71"/>
        <v>1011.4</v>
      </c>
      <c r="AL22" s="2">
        <f>+AL21*0.2</f>
        <v>1717.2285000000002</v>
      </c>
      <c r="AM22" s="2">
        <f t="shared" ref="AM22:AX22" si="83">+AM21*0.2</f>
        <v>1825.1173780000001</v>
      </c>
      <c r="AN22" s="2">
        <f t="shared" si="83"/>
        <v>2329.7410442640003</v>
      </c>
      <c r="AO22" s="2">
        <f t="shared" si="83"/>
        <v>3155.4049807789133</v>
      </c>
      <c r="AP22" s="2">
        <f t="shared" si="83"/>
        <v>3657.19803268756</v>
      </c>
      <c r="AQ22" s="2">
        <f t="shared" si="83"/>
        <v>4163.6625206172857</v>
      </c>
      <c r="AR22" s="2">
        <f t="shared" si="83"/>
        <v>4675.5716763519158</v>
      </c>
      <c r="AS22" s="2">
        <f t="shared" si="83"/>
        <v>5192.9155983691126</v>
      </c>
      <c r="AT22" s="2">
        <f t="shared" si="83"/>
        <v>5435.151368182137</v>
      </c>
      <c r="AU22" s="2">
        <f t="shared" si="83"/>
        <v>5545.3047143029435</v>
      </c>
      <c r="AV22" s="2">
        <f t="shared" si="83"/>
        <v>5657.8820233935103</v>
      </c>
      <c r="AW22" s="2">
        <f t="shared" si="83"/>
        <v>4726.1113551182298</v>
      </c>
      <c r="AX22" s="2">
        <f t="shared" si="83"/>
        <v>3888.2279033871805</v>
      </c>
      <c r="AY22" s="2">
        <f t="shared" ref="AY22:BC22" si="84">+AY21*0.2</f>
        <v>3859.5688807117422</v>
      </c>
      <c r="AZ22" s="2">
        <f t="shared" si="84"/>
        <v>3912.8365911665333</v>
      </c>
      <c r="BA22" s="2">
        <f>+BA21*0.2</f>
        <v>3975.2864108611498</v>
      </c>
      <c r="BB22" s="2">
        <f>+BB21*0.2</f>
        <v>4039.6315275057091</v>
      </c>
      <c r="BC22" s="2">
        <f t="shared" si="84"/>
        <v>1078.9709973078595</v>
      </c>
    </row>
    <row r="23" spans="2:115" x14ac:dyDescent="0.2">
      <c r="B23" s="2" t="s">
        <v>125</v>
      </c>
      <c r="C23" s="12">
        <f t="shared" ref="C23:D23" si="85">+C21-C22</f>
        <v>187.74200000000005</v>
      </c>
      <c r="D23" s="12">
        <f t="shared" si="85"/>
        <v>151.78</v>
      </c>
      <c r="E23" s="12">
        <f t="shared" ref="E23:F23" si="86">+E21-E22</f>
        <v>225.76800000000009</v>
      </c>
      <c r="F23" s="12">
        <f t="shared" si="86"/>
        <v>213.10799999999989</v>
      </c>
      <c r="G23" s="12">
        <f t="shared" ref="G23:J23" si="87">+G21-G22</f>
        <v>92.396000000000058</v>
      </c>
      <c r="H23" s="12">
        <f t="shared" si="87"/>
        <v>301.09400000000005</v>
      </c>
      <c r="I23" s="12">
        <f t="shared" si="87"/>
        <v>665.37599999999998</v>
      </c>
      <c r="J23" s="12">
        <f t="shared" si="87"/>
        <v>730.072</v>
      </c>
      <c r="K23" s="12">
        <f>+K21-K22</f>
        <v>584.577</v>
      </c>
      <c r="L23" s="12">
        <f>+L21-L22</f>
        <v>672.90000000000009</v>
      </c>
      <c r="M23" s="12">
        <f>+M21-M22</f>
        <v>779.8</v>
      </c>
      <c r="N23" s="12">
        <f t="shared" ref="N23:Y23" si="88">+N21-N22</f>
        <v>897.40000000000009</v>
      </c>
      <c r="O23" s="12">
        <f t="shared" si="88"/>
        <v>810.59600000000034</v>
      </c>
      <c r="P23" s="12">
        <f t="shared" si="88"/>
        <v>868.69999999999982</v>
      </c>
      <c r="Q23" s="12">
        <f t="shared" si="88"/>
        <v>1002.4000000000001</v>
      </c>
      <c r="R23" s="12">
        <f t="shared" si="88"/>
        <v>857.4</v>
      </c>
      <c r="S23" s="12">
        <f t="shared" si="88"/>
        <v>939.49999999999966</v>
      </c>
      <c r="T23" s="12">
        <f t="shared" si="88"/>
        <v>989.79999999999984</v>
      </c>
      <c r="U23" s="12">
        <f t="shared" si="88"/>
        <v>1180.2999999999995</v>
      </c>
      <c r="V23" s="12">
        <f t="shared" si="88"/>
        <v>980.33049999999992</v>
      </c>
      <c r="W23" s="12">
        <f t="shared" si="88"/>
        <v>972.68049999999994</v>
      </c>
      <c r="X23" s="12">
        <f t="shared" si="88"/>
        <v>1149.4000000000003</v>
      </c>
      <c r="Y23" s="12">
        <f t="shared" si="88"/>
        <v>1147.7999999999997</v>
      </c>
      <c r="Z23" s="12"/>
      <c r="AA23" s="12"/>
      <c r="AB23" s="12"/>
      <c r="AK23" s="2">
        <f>+AK21-AK22</f>
        <v>3789.1</v>
      </c>
      <c r="AL23" s="2">
        <f t="shared" ref="AL23:AR23" si="89">+AL21-AL22</f>
        <v>6868.9139999999998</v>
      </c>
      <c r="AM23" s="2">
        <f t="shared" si="89"/>
        <v>7300.4695120000006</v>
      </c>
      <c r="AN23" s="2">
        <f t="shared" si="89"/>
        <v>9318.9641770560011</v>
      </c>
      <c r="AO23" s="2">
        <f t="shared" si="89"/>
        <v>12621.619923115653</v>
      </c>
      <c r="AP23" s="2">
        <f t="shared" si="89"/>
        <v>14628.79213075024</v>
      </c>
      <c r="AQ23" s="2">
        <f t="shared" si="89"/>
        <v>16654.650082469143</v>
      </c>
      <c r="AR23" s="2">
        <f t="shared" si="89"/>
        <v>18702.286705407663</v>
      </c>
      <c r="AS23" s="2">
        <f t="shared" ref="AS23:AX23" si="90">+AS21-AS22</f>
        <v>20771.662393476447</v>
      </c>
      <c r="AT23" s="2">
        <f t="shared" si="90"/>
        <v>21740.605472728545</v>
      </c>
      <c r="AU23" s="2">
        <f t="shared" si="90"/>
        <v>22181.21885721177</v>
      </c>
      <c r="AV23" s="2">
        <f t="shared" si="90"/>
        <v>22631.528093574037</v>
      </c>
      <c r="AW23" s="2">
        <f t="shared" si="90"/>
        <v>18904.445420472919</v>
      </c>
      <c r="AX23" s="2">
        <f t="shared" si="90"/>
        <v>15552.911613548722</v>
      </c>
      <c r="AY23" s="2">
        <f t="shared" ref="AY23:BC23" si="91">+AY21-AY22</f>
        <v>15438.275522846967</v>
      </c>
      <c r="AZ23" s="2">
        <f t="shared" si="91"/>
        <v>15651.346364666131</v>
      </c>
      <c r="BA23" s="2">
        <f t="shared" si="91"/>
        <v>15901.145643444597</v>
      </c>
      <c r="BB23" s="2">
        <f t="shared" si="91"/>
        <v>16158.526110022834</v>
      </c>
      <c r="BC23" s="2">
        <f t="shared" si="91"/>
        <v>4315.8839892314381</v>
      </c>
      <c r="BD23" s="2">
        <f t="shared" ref="BD23:CI23" si="92">+BC23*(1+$BF$28)</f>
        <v>4100.089789769866</v>
      </c>
      <c r="BE23" s="2">
        <f t="shared" si="92"/>
        <v>3895.0853002813724</v>
      </c>
      <c r="BF23" s="2">
        <f t="shared" si="92"/>
        <v>3700.3310352673034</v>
      </c>
      <c r="BG23" s="2">
        <f t="shared" si="92"/>
        <v>3515.3144835039379</v>
      </c>
      <c r="BH23" s="2">
        <f t="shared" si="92"/>
        <v>3339.5487593287407</v>
      </c>
      <c r="BI23" s="2">
        <f t="shared" si="92"/>
        <v>3172.5713213623035</v>
      </c>
      <c r="BJ23" s="2">
        <f t="shared" si="92"/>
        <v>3013.9427552941884</v>
      </c>
      <c r="BK23" s="2">
        <f t="shared" si="92"/>
        <v>2863.2456175294787</v>
      </c>
      <c r="BL23" s="2">
        <f t="shared" si="92"/>
        <v>2720.0833366530046</v>
      </c>
      <c r="BM23" s="2">
        <f t="shared" si="92"/>
        <v>2584.0791698203543</v>
      </c>
      <c r="BN23" s="2">
        <f t="shared" si="92"/>
        <v>2454.8752113293363</v>
      </c>
      <c r="BO23" s="2">
        <f t="shared" si="92"/>
        <v>2332.1314507628695</v>
      </c>
      <c r="BP23" s="2">
        <f t="shared" si="92"/>
        <v>2215.5248782247259</v>
      </c>
      <c r="BQ23" s="2">
        <f t="shared" si="92"/>
        <v>2104.7486343134897</v>
      </c>
      <c r="BR23" s="2">
        <f t="shared" si="92"/>
        <v>1999.5112025978151</v>
      </c>
      <c r="BS23" s="2">
        <f t="shared" si="92"/>
        <v>1899.5356424679242</v>
      </c>
      <c r="BT23" s="2">
        <f t="shared" si="92"/>
        <v>1804.5588603445278</v>
      </c>
      <c r="BU23" s="2">
        <f t="shared" si="92"/>
        <v>1714.3309173273014</v>
      </c>
      <c r="BV23" s="2">
        <f t="shared" si="92"/>
        <v>1628.6143714609364</v>
      </c>
      <c r="BW23" s="2">
        <f t="shared" si="92"/>
        <v>1547.1836528878894</v>
      </c>
      <c r="BX23" s="2">
        <f t="shared" si="92"/>
        <v>1469.8244702434947</v>
      </c>
      <c r="BY23" s="2">
        <f t="shared" si="92"/>
        <v>1396.3332467313198</v>
      </c>
      <c r="BZ23" s="2">
        <f t="shared" si="92"/>
        <v>1326.5165843947539</v>
      </c>
      <c r="CA23" s="2">
        <f t="shared" si="92"/>
        <v>1260.1907551750162</v>
      </c>
      <c r="CB23" s="2">
        <f t="shared" si="92"/>
        <v>1197.1812174162653</v>
      </c>
      <c r="CC23" s="2">
        <f t="shared" si="92"/>
        <v>1137.3221565454521</v>
      </c>
      <c r="CD23" s="2">
        <f t="shared" si="92"/>
        <v>1080.4560487181795</v>
      </c>
      <c r="CE23" s="2">
        <f t="shared" si="92"/>
        <v>1026.4332462822706</v>
      </c>
      <c r="CF23" s="2">
        <f t="shared" si="92"/>
        <v>975.11158396815699</v>
      </c>
      <c r="CG23" s="2">
        <f t="shared" si="92"/>
        <v>926.35600476974912</v>
      </c>
      <c r="CH23" s="2">
        <f t="shared" si="92"/>
        <v>880.03820453126161</v>
      </c>
      <c r="CI23" s="2">
        <f t="shared" si="92"/>
        <v>836.03629430469846</v>
      </c>
      <c r="CJ23" s="2">
        <f t="shared" ref="CJ23:DK23" si="93">+CI23*(1+$BF$28)</f>
        <v>794.23447958946349</v>
      </c>
      <c r="CK23" s="2">
        <f t="shared" si="93"/>
        <v>754.52275560999033</v>
      </c>
      <c r="CL23" s="2">
        <f t="shared" si="93"/>
        <v>716.79661782949074</v>
      </c>
      <c r="CM23" s="2">
        <f t="shared" si="93"/>
        <v>680.95678693801619</v>
      </c>
      <c r="CN23" s="2">
        <f t="shared" si="93"/>
        <v>646.90894759111541</v>
      </c>
      <c r="CO23" s="2">
        <f t="shared" si="93"/>
        <v>614.56350021155959</v>
      </c>
      <c r="CP23" s="2">
        <f t="shared" si="93"/>
        <v>583.83532520098163</v>
      </c>
      <c r="CQ23" s="2">
        <f t="shared" si="93"/>
        <v>554.64355894093251</v>
      </c>
      <c r="CR23" s="2">
        <f t="shared" si="93"/>
        <v>526.91138099388581</v>
      </c>
      <c r="CS23" s="2">
        <f t="shared" si="93"/>
        <v>500.56581194419152</v>
      </c>
      <c r="CT23" s="2">
        <f t="shared" si="93"/>
        <v>475.53752134698192</v>
      </c>
      <c r="CU23" s="2">
        <f t="shared" si="93"/>
        <v>451.7606452796328</v>
      </c>
      <c r="CV23" s="2">
        <f t="shared" si="93"/>
        <v>429.17261301565111</v>
      </c>
      <c r="CW23" s="2">
        <f t="shared" si="93"/>
        <v>407.71398236486851</v>
      </c>
      <c r="CX23" s="2">
        <f t="shared" si="93"/>
        <v>387.32828324662506</v>
      </c>
      <c r="CY23" s="2">
        <f t="shared" si="93"/>
        <v>367.96186908429377</v>
      </c>
      <c r="CZ23" s="2">
        <f t="shared" si="93"/>
        <v>349.56377563007908</v>
      </c>
      <c r="DA23" s="2">
        <f t="shared" si="93"/>
        <v>332.08558684857513</v>
      </c>
      <c r="DB23" s="2">
        <f t="shared" si="93"/>
        <v>315.48130750614638</v>
      </c>
      <c r="DC23" s="2">
        <f t="shared" si="93"/>
        <v>299.70724213083906</v>
      </c>
      <c r="DD23" s="2">
        <f t="shared" si="93"/>
        <v>284.72188002429709</v>
      </c>
      <c r="DE23" s="2">
        <f t="shared" si="93"/>
        <v>270.4857860230822</v>
      </c>
      <c r="DF23" s="2">
        <f t="shared" si="93"/>
        <v>256.96149672192809</v>
      </c>
      <c r="DG23" s="2">
        <f t="shared" si="93"/>
        <v>244.11342188583166</v>
      </c>
      <c r="DH23" s="2">
        <f t="shared" si="93"/>
        <v>231.90775079154005</v>
      </c>
      <c r="DI23" s="2">
        <f t="shared" si="93"/>
        <v>220.31236325196303</v>
      </c>
      <c r="DJ23" s="2">
        <f t="shared" si="93"/>
        <v>209.29674508936486</v>
      </c>
      <c r="DK23" s="2">
        <f t="shared" si="93"/>
        <v>198.83190783489661</v>
      </c>
    </row>
    <row r="24" spans="2:115" s="1" customFormat="1" x14ac:dyDescent="0.2">
      <c r="B24" s="1" t="s">
        <v>126</v>
      </c>
      <c r="C24" s="21">
        <f t="shared" ref="C24:D24" si="94">+C23/C25</f>
        <v>0.72267387254222692</v>
      </c>
      <c r="D24" s="21">
        <f t="shared" si="94"/>
        <v>0.58419164626730091</v>
      </c>
      <c r="E24" s="21">
        <f t="shared" ref="E24:G24" si="95">+E23/E25</f>
        <v>0.86775439607956217</v>
      </c>
      <c r="F24" s="21">
        <f t="shared" si="95"/>
        <v>0.82020768064290128</v>
      </c>
      <c r="G24" s="21">
        <f t="shared" si="95"/>
        <v>0.35472390612462734</v>
      </c>
      <c r="H24" s="21">
        <f t="shared" ref="H24:I24" si="96">+H23/H25</f>
        <v>1.1487402139576055</v>
      </c>
      <c r="I24" s="21">
        <f t="shared" si="96"/>
        <v>2.5250023717814924</v>
      </c>
      <c r="J24" s="21">
        <f t="shared" ref="J24:K24" si="97">+J23/J25</f>
        <v>2.771692046028329</v>
      </c>
      <c r="K24" s="21">
        <f t="shared" si="97"/>
        <v>2.2136444018645935</v>
      </c>
      <c r="L24" s="21">
        <f t="shared" ref="L24:P24" si="98">+L23/L25</f>
        <v>2.5575826681870013</v>
      </c>
      <c r="M24" s="21">
        <f t="shared" si="98"/>
        <v>2.9774723176785032</v>
      </c>
      <c r="N24" s="21">
        <f t="shared" si="98"/>
        <v>3.438314176245211</v>
      </c>
      <c r="O24" s="21">
        <f t="shared" si="98"/>
        <v>3.1211942689261374</v>
      </c>
      <c r="P24" s="21">
        <f t="shared" si="98"/>
        <v>3.3801556420233454</v>
      </c>
      <c r="Q24" s="21">
        <f>+Q23/Q25</f>
        <v>3.8867778208607993</v>
      </c>
      <c r="R24" s="21">
        <f t="shared" ref="R24:Y24" si="99">+R23/R25</f>
        <v>3.3142636258214146</v>
      </c>
      <c r="S24" s="21">
        <f t="shared" si="99"/>
        <v>3.6204238921001912</v>
      </c>
      <c r="T24" s="21">
        <f t="shared" si="99"/>
        <v>3.8025355359200916</v>
      </c>
      <c r="U24" s="21">
        <f t="shared" si="99"/>
        <v>4.5343834037648847</v>
      </c>
      <c r="V24" s="21">
        <f t="shared" si="99"/>
        <v>3.7661563580484052</v>
      </c>
      <c r="W24" s="21">
        <f t="shared" si="99"/>
        <v>3.7367671917018819</v>
      </c>
      <c r="X24" s="21">
        <f t="shared" si="99"/>
        <v>4.4055193560751258</v>
      </c>
      <c r="Y24" s="21">
        <f t="shared" si="99"/>
        <v>4.3960168517809253</v>
      </c>
      <c r="Z24" s="21"/>
      <c r="AA24" s="21"/>
      <c r="AB24" s="21"/>
      <c r="AK24" s="1">
        <f>+AK23/AK25</f>
        <v>14.624083365495949</v>
      </c>
      <c r="AL24" s="1">
        <f t="shared" ref="AL24:AX24" si="100">+AL23/AL25</f>
        <v>26.510667695870325</v>
      </c>
      <c r="AM24" s="1">
        <f t="shared" si="100"/>
        <v>28.176262107294487</v>
      </c>
      <c r="AN24" s="1">
        <f t="shared" si="100"/>
        <v>35.966669923025869</v>
      </c>
      <c r="AO24" s="1">
        <f t="shared" si="100"/>
        <v>48.713315025533213</v>
      </c>
      <c r="AP24" s="1">
        <f t="shared" si="100"/>
        <v>56.460023661714558</v>
      </c>
      <c r="AQ24" s="1">
        <f t="shared" si="100"/>
        <v>64.278850183207823</v>
      </c>
      <c r="AR24" s="1">
        <f t="shared" si="100"/>
        <v>72.181731784668727</v>
      </c>
      <c r="AS24" s="1">
        <f t="shared" si="100"/>
        <v>80.168515605852761</v>
      </c>
      <c r="AT24" s="1">
        <f t="shared" si="100"/>
        <v>83.908164695980503</v>
      </c>
      <c r="AU24" s="1">
        <f t="shared" si="100"/>
        <v>85.608718090358053</v>
      </c>
      <c r="AV24" s="1">
        <f t="shared" si="100"/>
        <v>87.346692757908301</v>
      </c>
      <c r="AW24" s="1">
        <f t="shared" si="100"/>
        <v>72.961966115294956</v>
      </c>
      <c r="AX24" s="1">
        <f t="shared" si="100"/>
        <v>60.026675467189207</v>
      </c>
      <c r="AY24" s="1">
        <f t="shared" ref="AY24:BC24" si="101">+AY23/AY25</f>
        <v>59.584235904465338</v>
      </c>
      <c r="AZ24" s="1">
        <f t="shared" si="101"/>
        <v>60.406585737808314</v>
      </c>
      <c r="BA24" s="1">
        <f t="shared" si="101"/>
        <v>61.370689476822072</v>
      </c>
      <c r="BB24" s="1">
        <f t="shared" si="101"/>
        <v>62.364052914020981</v>
      </c>
      <c r="BC24" s="1">
        <f t="shared" si="101"/>
        <v>16.657213389546271</v>
      </c>
    </row>
    <row r="25" spans="2:115" s="2" customFormat="1" x14ac:dyDescent="0.2">
      <c r="B25" s="2" t="s">
        <v>1</v>
      </c>
      <c r="C25" s="12">
        <v>259.78800000000001</v>
      </c>
      <c r="D25" s="12">
        <v>259.81200000000001</v>
      </c>
      <c r="E25" s="12">
        <v>260.17500000000001</v>
      </c>
      <c r="F25" s="12">
        <v>259.822</v>
      </c>
      <c r="G25" s="12">
        <v>260.47300000000001</v>
      </c>
      <c r="H25" s="12">
        <v>262.108</v>
      </c>
      <c r="I25" s="12">
        <v>263.51499999999999</v>
      </c>
      <c r="J25" s="12">
        <v>263.40300000000002</v>
      </c>
      <c r="K25" s="12">
        <v>264.07900000000001</v>
      </c>
      <c r="L25" s="12">
        <v>263.10000000000002</v>
      </c>
      <c r="M25" s="12">
        <v>261.89999999999998</v>
      </c>
      <c r="N25" s="12">
        <v>261</v>
      </c>
      <c r="O25" s="12">
        <v>259.70699999999999</v>
      </c>
      <c r="P25" s="12">
        <v>257</v>
      </c>
      <c r="Q25" s="12">
        <v>257.89999999999998</v>
      </c>
      <c r="R25" s="12">
        <v>258.7</v>
      </c>
      <c r="S25" s="12">
        <v>259.5</v>
      </c>
      <c r="T25" s="12">
        <v>260.3</v>
      </c>
      <c r="U25" s="12">
        <v>260.3</v>
      </c>
      <c r="V25" s="2">
        <f>+U25</f>
        <v>260.3</v>
      </c>
      <c r="W25" s="2">
        <f>+V25</f>
        <v>260.3</v>
      </c>
      <c r="X25" s="2">
        <v>260.89999999999998</v>
      </c>
      <c r="Y25" s="2">
        <v>261.10000000000002</v>
      </c>
      <c r="AK25" s="2">
        <f>AVERAGE(Q25:T25)</f>
        <v>259.09999999999997</v>
      </c>
      <c r="AL25" s="2">
        <f>+AK25</f>
        <v>259.09999999999997</v>
      </c>
      <c r="AM25" s="2">
        <f t="shared" ref="AM25:AX25" si="102">+AL25</f>
        <v>259.09999999999997</v>
      </c>
      <c r="AN25" s="2">
        <f t="shared" si="102"/>
        <v>259.09999999999997</v>
      </c>
      <c r="AO25" s="2">
        <f t="shared" si="102"/>
        <v>259.09999999999997</v>
      </c>
      <c r="AP25" s="2">
        <f t="shared" si="102"/>
        <v>259.09999999999997</v>
      </c>
      <c r="AQ25" s="2">
        <f t="shared" si="102"/>
        <v>259.09999999999997</v>
      </c>
      <c r="AR25" s="2">
        <f t="shared" si="102"/>
        <v>259.09999999999997</v>
      </c>
      <c r="AS25" s="2">
        <f t="shared" si="102"/>
        <v>259.09999999999997</v>
      </c>
      <c r="AT25" s="2">
        <f t="shared" si="102"/>
        <v>259.09999999999997</v>
      </c>
      <c r="AU25" s="2">
        <f t="shared" si="102"/>
        <v>259.09999999999997</v>
      </c>
      <c r="AV25" s="2">
        <f t="shared" si="102"/>
        <v>259.09999999999997</v>
      </c>
      <c r="AW25" s="2">
        <f t="shared" si="102"/>
        <v>259.09999999999997</v>
      </c>
      <c r="AX25" s="2">
        <f t="shared" si="102"/>
        <v>259.09999999999997</v>
      </c>
      <c r="AY25" s="2">
        <f t="shared" ref="AY25" si="103">+AX25</f>
        <v>259.09999999999997</v>
      </c>
      <c r="AZ25" s="2">
        <f t="shared" ref="AZ25" si="104">+AY25</f>
        <v>259.09999999999997</v>
      </c>
      <c r="BA25" s="2">
        <f t="shared" ref="BA25" si="105">+AZ25</f>
        <v>259.09999999999997</v>
      </c>
      <c r="BB25" s="2">
        <f t="shared" ref="BB25" si="106">+BA25</f>
        <v>259.09999999999997</v>
      </c>
      <c r="BC25" s="2">
        <f t="shared" ref="BC25" si="107">+BB25</f>
        <v>259.09999999999997</v>
      </c>
    </row>
    <row r="27" spans="2:115" s="26" customFormat="1" x14ac:dyDescent="0.2">
      <c r="B27" s="13" t="s">
        <v>302</v>
      </c>
      <c r="C27" s="24"/>
      <c r="D27" s="24"/>
      <c r="E27" s="24"/>
      <c r="F27" s="24"/>
      <c r="G27" s="25">
        <f t="shared" ref="G27:P27" si="108">+G13/C13-1</f>
        <v>0.21328224776500648</v>
      </c>
      <c r="H27" s="25">
        <f t="shared" si="108"/>
        <v>0.44493886310784858</v>
      </c>
      <c r="I27" s="25">
        <f t="shared" si="108"/>
        <v>0.76535979547461963</v>
      </c>
      <c r="J27" s="25">
        <f t="shared" si="108"/>
        <v>0.62012853473169161</v>
      </c>
      <c r="K27" s="25">
        <f t="shared" si="108"/>
        <v>0.61894736842105269</v>
      </c>
      <c r="L27" s="25">
        <f t="shared" si="108"/>
        <v>0.29435163086714389</v>
      </c>
      <c r="M27" s="25">
        <f t="shared" si="108"/>
        <v>0.13749174917491747</v>
      </c>
      <c r="N27" s="25">
        <f t="shared" si="108"/>
        <v>0.176856468118604</v>
      </c>
      <c r="O27" s="25">
        <f t="shared" si="108"/>
        <v>0.28998699609882972</v>
      </c>
      <c r="P27" s="25">
        <f t="shared" si="108"/>
        <v>0.27350952673632456</v>
      </c>
      <c r="Q27" s="25">
        <f t="shared" ref="Q27:T27" si="109">+Q13/M13-1</f>
        <v>0.21714153078396103</v>
      </c>
      <c r="R27" s="25">
        <f t="shared" si="109"/>
        <v>0.2246376811594204</v>
      </c>
      <c r="S27" s="25">
        <f t="shared" si="109"/>
        <v>0.17656249999999996</v>
      </c>
      <c r="T27" s="25">
        <f t="shared" si="109"/>
        <v>0.1114864864864864</v>
      </c>
      <c r="U27" s="25">
        <f t="shared" ref="U27" si="110">+U13/Q13-1</f>
        <v>0.13220500595947549</v>
      </c>
      <c r="V27" s="25">
        <f t="shared" ref="V27" si="111">+V13/R13-1</f>
        <v>-3.4274010013655043E-2</v>
      </c>
      <c r="W27" s="25">
        <f t="shared" ref="W27" si="112">+W13/S13-1</f>
        <v>-8.0366705222122192E-2</v>
      </c>
      <c r="X27" s="25">
        <f t="shared" ref="X27:Y27" si="113">+X13/T13-1</f>
        <v>9.3226226660877209E-2</v>
      </c>
      <c r="Y27" s="25">
        <f t="shared" si="113"/>
        <v>0.13297961933636526</v>
      </c>
      <c r="Z27" s="25"/>
      <c r="AA27" s="25"/>
      <c r="AB27" s="25"/>
    </row>
    <row r="28" spans="2:115" x14ac:dyDescent="0.2">
      <c r="B28" s="2" t="s">
        <v>180</v>
      </c>
      <c r="C28" s="19">
        <f t="shared" ref="C28" si="114">C15/C13</f>
        <v>0.85791187739463604</v>
      </c>
      <c r="D28" s="19">
        <f t="shared" ref="D28:H28" si="115">D15/D13</f>
        <v>0.8594271053058109</v>
      </c>
      <c r="E28" s="19">
        <f t="shared" si="115"/>
        <v>0.88919366754371454</v>
      </c>
      <c r="F28" s="19">
        <f t="shared" si="115"/>
        <v>0.8557358650587249</v>
      </c>
      <c r="G28" s="19">
        <f t="shared" si="115"/>
        <v>0.86114315789473683</v>
      </c>
      <c r="H28" s="19">
        <f t="shared" si="115"/>
        <v>0.8528146380270486</v>
      </c>
      <c r="I28" s="19">
        <f t="shared" ref="I28:J28" si="116">I15/I13</f>
        <v>0.8927412541254125</v>
      </c>
      <c r="J28" s="19">
        <f t="shared" si="116"/>
        <v>0.87896877459984257</v>
      </c>
      <c r="K28" s="19">
        <f t="shared" ref="K28:L28" si="117">K15/K13</f>
        <v>0.87894538361508456</v>
      </c>
      <c r="L28" s="19">
        <f t="shared" si="117"/>
        <v>0.87516902274124164</v>
      </c>
      <c r="M28" s="19">
        <f t="shared" ref="M28:P28" si="118">M15/M13</f>
        <v>0.888411768119306</v>
      </c>
      <c r="N28" s="19">
        <f t="shared" si="118"/>
        <v>0.87290969899665549</v>
      </c>
      <c r="O28" s="19">
        <f t="shared" si="118"/>
        <v>0.88079032258064516</v>
      </c>
      <c r="P28" s="19">
        <f t="shared" si="118"/>
        <v>0.88059845559845551</v>
      </c>
      <c r="Q28" s="19">
        <f t="shared" ref="Q28:R28" si="119">Q15/Q13</f>
        <v>0.93048867699642435</v>
      </c>
      <c r="R28" s="19">
        <f t="shared" si="119"/>
        <v>0.88083750568957675</v>
      </c>
      <c r="S28" s="19">
        <f>S15/S13</f>
        <v>0.87602279055819732</v>
      </c>
      <c r="T28" s="19">
        <f>T15/T13</f>
        <v>0.87802865827181931</v>
      </c>
      <c r="U28" s="19">
        <f t="shared" ref="U28:X28" si="120">U15/U13</f>
        <v>0.88841165571837633</v>
      </c>
      <c r="V28" s="19">
        <f t="shared" si="120"/>
        <v>0.9</v>
      </c>
      <c r="W28" s="19">
        <f t="shared" si="120"/>
        <v>0.9</v>
      </c>
      <c r="X28" s="19">
        <f t="shared" si="120"/>
        <v>0.85534416332366847</v>
      </c>
      <c r="Y28" s="19">
        <f t="shared" ref="Y28" si="121">Y15/Y13</f>
        <v>0.87519512376421604</v>
      </c>
      <c r="Z28" s="19"/>
      <c r="AA28" s="19"/>
      <c r="AB28" s="19"/>
      <c r="AJ28" s="19">
        <f t="shared" ref="AJ28:AK28" si="122">AJ15/AJ13</f>
        <v>0.88060528435424446</v>
      </c>
      <c r="AK28" s="19">
        <f t="shared" si="122"/>
        <v>0.89051478985198951</v>
      </c>
      <c r="AL28" s="19">
        <f t="shared" ref="AL28:AX28" si="123">AL15/AL13</f>
        <v>0.93</v>
      </c>
      <c r="AM28" s="19">
        <f t="shared" si="123"/>
        <v>0.93</v>
      </c>
      <c r="AN28" s="19">
        <f t="shared" si="123"/>
        <v>0.92999999999999994</v>
      </c>
      <c r="AO28" s="19">
        <f t="shared" si="123"/>
        <v>0.93</v>
      </c>
      <c r="AP28" s="19">
        <f t="shared" si="123"/>
        <v>0.92999999999999994</v>
      </c>
      <c r="AQ28" s="19">
        <f t="shared" si="123"/>
        <v>0.93</v>
      </c>
      <c r="AR28" s="19">
        <f t="shared" si="123"/>
        <v>0.92999999999999994</v>
      </c>
      <c r="AS28" s="19">
        <f t="shared" si="123"/>
        <v>0.92999999999999994</v>
      </c>
      <c r="AT28" s="19">
        <f t="shared" si="123"/>
        <v>0.92999999999999994</v>
      </c>
      <c r="AU28" s="19">
        <f t="shared" si="123"/>
        <v>0.93</v>
      </c>
      <c r="AV28" s="19">
        <f t="shared" si="123"/>
        <v>0.93</v>
      </c>
      <c r="AW28" s="19">
        <f t="shared" si="123"/>
        <v>0.93</v>
      </c>
      <c r="AX28" s="19">
        <f t="shared" si="123"/>
        <v>0.92999999999999994</v>
      </c>
      <c r="BE28" t="s">
        <v>296</v>
      </c>
      <c r="BF28" s="23">
        <v>-0.05</v>
      </c>
    </row>
    <row r="29" spans="2:115" x14ac:dyDescent="0.2">
      <c r="B29" s="2" t="s">
        <v>292</v>
      </c>
      <c r="C29" s="19">
        <f t="shared" ref="C29" si="124">+C16/C13</f>
        <v>0.17534482758620687</v>
      </c>
      <c r="D29" s="19">
        <f t="shared" ref="D29:H29" si="125">+D16/D13</f>
        <v>0.17611701131006641</v>
      </c>
      <c r="E29" s="19">
        <f t="shared" si="125"/>
        <v>0.1713447730201752</v>
      </c>
      <c r="F29" s="19">
        <f t="shared" si="125"/>
        <v>0.16632993698673523</v>
      </c>
      <c r="G29" s="19">
        <f t="shared" si="125"/>
        <v>0.16807789473684212</v>
      </c>
      <c r="H29" s="19">
        <f t="shared" si="125"/>
        <v>0.15535163086714399</v>
      </c>
      <c r="I29" s="19">
        <f t="shared" ref="I29:J29" si="126">+I16/I13</f>
        <v>0.12030231023102311</v>
      </c>
      <c r="J29" s="19">
        <f t="shared" si="126"/>
        <v>0.12581999475203359</v>
      </c>
      <c r="K29" s="19">
        <f t="shared" ref="K29:S29" si="127">+K16/K13</f>
        <v>0.11999414824447334</v>
      </c>
      <c r="L29" s="19">
        <f t="shared" si="127"/>
        <v>0.107559926244622</v>
      </c>
      <c r="M29" s="19">
        <f t="shared" si="127"/>
        <v>8.7622584576103987E-2</v>
      </c>
      <c r="N29" s="19">
        <f t="shared" si="127"/>
        <v>0.1084726867335563</v>
      </c>
      <c r="O29" s="19">
        <f t="shared" si="127"/>
        <v>9.9893649193548387E-2</v>
      </c>
      <c r="P29" s="19">
        <f t="shared" si="127"/>
        <v>0.10135135135135136</v>
      </c>
      <c r="Q29" s="19">
        <f t="shared" si="127"/>
        <v>7.9618593563766382E-2</v>
      </c>
      <c r="R29" s="19">
        <f t="shared" si="127"/>
        <v>9.7997269003186172E-2</v>
      </c>
      <c r="S29" s="19">
        <f t="shared" si="127"/>
        <v>0.105727627125905</v>
      </c>
      <c r="T29" s="19">
        <f>+T16/T13</f>
        <v>9.7959183673469383E-2</v>
      </c>
      <c r="U29" s="19">
        <f t="shared" ref="U29:X29" si="128">+U16/U13</f>
        <v>8.2912245241704582E-2</v>
      </c>
      <c r="V29" s="19">
        <f t="shared" si="128"/>
        <v>0.10147523212518265</v>
      </c>
      <c r="W29" s="19">
        <f t="shared" si="128"/>
        <v>0.11496715889504823</v>
      </c>
      <c r="X29" s="19">
        <f t="shared" si="128"/>
        <v>0.11343686698176907</v>
      </c>
      <c r="Y29" s="19">
        <f t="shared" ref="Y29" si="129">+Y16/Y13</f>
        <v>0.1010926930796105</v>
      </c>
      <c r="Z29" s="19"/>
      <c r="AA29" s="19"/>
      <c r="AB29" s="19"/>
      <c r="AJ29" s="19"/>
      <c r="AK29" s="19">
        <f>+AK16/AK13</f>
        <v>9.5691797845898929E-2</v>
      </c>
      <c r="AL29" s="19">
        <f t="shared" ref="AL29:AX29" si="130">+AL16/AL13</f>
        <v>0.10000000000000002</v>
      </c>
      <c r="AM29" s="19">
        <f t="shared" si="130"/>
        <v>0.1</v>
      </c>
      <c r="AN29" s="19">
        <f t="shared" si="130"/>
        <v>0.1</v>
      </c>
      <c r="AO29" s="19">
        <f t="shared" si="130"/>
        <v>0.1</v>
      </c>
      <c r="AP29" s="19">
        <f t="shared" si="130"/>
        <v>0.1</v>
      </c>
      <c r="AQ29" s="19">
        <f t="shared" si="130"/>
        <v>0.1</v>
      </c>
      <c r="AR29" s="19">
        <f t="shared" si="130"/>
        <v>0.1</v>
      </c>
      <c r="AS29" s="19">
        <f t="shared" si="130"/>
        <v>0.1</v>
      </c>
      <c r="AT29" s="19">
        <f t="shared" si="130"/>
        <v>0.1</v>
      </c>
      <c r="AU29" s="19">
        <f t="shared" si="130"/>
        <v>0.1</v>
      </c>
      <c r="AV29" s="19">
        <f t="shared" si="130"/>
        <v>0.1</v>
      </c>
      <c r="AW29" s="19">
        <f t="shared" si="130"/>
        <v>0.1</v>
      </c>
      <c r="AX29" s="19">
        <f t="shared" si="130"/>
        <v>0.1</v>
      </c>
      <c r="BE29" t="s">
        <v>294</v>
      </c>
      <c r="BF29" s="23">
        <v>7.0000000000000007E-2</v>
      </c>
    </row>
    <row r="30" spans="2:115" x14ac:dyDescent="0.2">
      <c r="B30" s="2" t="s">
        <v>183</v>
      </c>
      <c r="C30" s="19">
        <f t="shared" ref="C30" si="131">C22/C21</f>
        <v>4.1139547592659732E-2</v>
      </c>
      <c r="D30" s="19">
        <f t="shared" ref="D30:H30" si="132">D22/D21</f>
        <v>0</v>
      </c>
      <c r="E30" s="19">
        <f t="shared" si="132"/>
        <v>0.18584070796460173</v>
      </c>
      <c r="F30" s="19">
        <f t="shared" si="132"/>
        <v>0.21886672115945011</v>
      </c>
      <c r="G30" s="19">
        <f t="shared" si="132"/>
        <v>0.1245736375350564</v>
      </c>
      <c r="H30" s="19">
        <f t="shared" si="132"/>
        <v>0.23736987411666366</v>
      </c>
      <c r="I30" s="19">
        <f t="shared" ref="I30:J30" si="133">I22/I21</f>
        <v>7.6068135142753596E-2</v>
      </c>
      <c r="J30" s="19">
        <f t="shared" si="133"/>
        <v>-1.7419854732347417E-2</v>
      </c>
      <c r="K30" s="19">
        <f t="shared" ref="K30:L30" si="134">K22/K21</f>
        <v>0.1183036858950188</v>
      </c>
      <c r="L30" s="19">
        <f t="shared" si="134"/>
        <v>0.22735101619014811</v>
      </c>
      <c r="M30" s="19">
        <f>M22/M21</f>
        <v>0.20896733617366606</v>
      </c>
      <c r="N30" s="19">
        <f t="shared" ref="N30:T30" si="135">N22/N21</f>
        <v>1.2000440383133325E-2</v>
      </c>
      <c r="O30" s="19">
        <f t="shared" si="135"/>
        <v>0.22163530370872531</v>
      </c>
      <c r="P30" s="19">
        <f t="shared" si="135"/>
        <v>0.21576239053895463</v>
      </c>
      <c r="Q30" s="19">
        <f t="shared" si="135"/>
        <v>0.19897714559693142</v>
      </c>
      <c r="R30" s="19">
        <f t="shared" si="135"/>
        <v>0.23172043010752691</v>
      </c>
      <c r="S30" s="19">
        <f t="shared" si="135"/>
        <v>0.20744052640458924</v>
      </c>
      <c r="T30" s="19">
        <f t="shared" si="135"/>
        <v>0.20670032860463253</v>
      </c>
      <c r="U30" s="19">
        <f t="shared" ref="U30:X30" si="136">U22/U21</f>
        <v>0.13972303206997089</v>
      </c>
      <c r="V30" s="19">
        <f t="shared" si="136"/>
        <v>0.15</v>
      </c>
      <c r="W30" s="19">
        <f t="shared" si="136"/>
        <v>0.15</v>
      </c>
      <c r="X30" s="19">
        <f t="shared" si="136"/>
        <v>0.13461828037946091</v>
      </c>
      <c r="Y30" s="19">
        <f t="shared" ref="Y30" si="137">Y22/Y21</f>
        <v>0.18532188231954014</v>
      </c>
      <c r="Z30" s="19"/>
      <c r="AA30" s="19"/>
      <c r="AB30" s="19"/>
      <c r="AK30" s="23">
        <f>+AK22/AK21</f>
        <v>0.21068638683470473</v>
      </c>
      <c r="AL30" s="23">
        <f t="shared" ref="AL30:AX30" si="138">+AL22/AL21</f>
        <v>0.2</v>
      </c>
      <c r="AM30" s="23">
        <f t="shared" si="138"/>
        <v>0.2</v>
      </c>
      <c r="AN30" s="23">
        <f t="shared" si="138"/>
        <v>0.2</v>
      </c>
      <c r="AO30" s="23">
        <f t="shared" si="138"/>
        <v>0.2</v>
      </c>
      <c r="AP30" s="23">
        <f t="shared" si="138"/>
        <v>0.2</v>
      </c>
      <c r="AQ30" s="23">
        <f t="shared" si="138"/>
        <v>0.19999999999999998</v>
      </c>
      <c r="AR30" s="23">
        <f t="shared" si="138"/>
        <v>0.2</v>
      </c>
      <c r="AS30" s="23">
        <f t="shared" si="138"/>
        <v>0.20000000000000004</v>
      </c>
      <c r="AT30" s="23">
        <f t="shared" si="138"/>
        <v>0.2</v>
      </c>
      <c r="AU30" s="23">
        <f t="shared" si="138"/>
        <v>0.20000000000000004</v>
      </c>
      <c r="AV30" s="23">
        <f t="shared" si="138"/>
        <v>0.2</v>
      </c>
      <c r="AW30" s="23">
        <f t="shared" si="138"/>
        <v>0.2</v>
      </c>
      <c r="AX30" s="23">
        <f t="shared" si="138"/>
        <v>0.2</v>
      </c>
      <c r="BE30" t="s">
        <v>293</v>
      </c>
      <c r="BF30" s="23">
        <v>0.01</v>
      </c>
    </row>
    <row r="31" spans="2:115" x14ac:dyDescent="0.2">
      <c r="BE31" t="s">
        <v>295</v>
      </c>
      <c r="BF31" s="2">
        <f>NPV(BF29,AN23:CK23)+Main!M5-Main!M6</f>
        <v>180072.46127652677</v>
      </c>
    </row>
    <row r="32" spans="2:115" s="2" customFormat="1" x14ac:dyDescent="0.2">
      <c r="B32" s="2" t="s">
        <v>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>
        <f>7600.1+638</f>
        <v>8238.1</v>
      </c>
      <c r="R32" s="12"/>
      <c r="S32" s="12">
        <f>9171.5+599.2</f>
        <v>9770.7000000000007</v>
      </c>
      <c r="T32" s="12"/>
      <c r="U32" s="12">
        <f>9289.9+1124.2+1081.5</f>
        <v>11495.6</v>
      </c>
      <c r="AK32" s="2">
        <f>+T32</f>
        <v>0</v>
      </c>
      <c r="AL32" s="2">
        <f>+AK32+AL23</f>
        <v>6868.9139999999998</v>
      </c>
      <c r="AM32" s="2">
        <f t="shared" ref="AM32:AX32" si="139">+AL32+AM23</f>
        <v>14169.383512</v>
      </c>
      <c r="AN32" s="2">
        <f t="shared" si="139"/>
        <v>23488.347689056001</v>
      </c>
      <c r="AO32" s="2">
        <f t="shared" si="139"/>
        <v>36109.967612171655</v>
      </c>
      <c r="AP32" s="2">
        <f t="shared" si="139"/>
        <v>50738.759742921895</v>
      </c>
      <c r="AQ32" s="2">
        <f t="shared" si="139"/>
        <v>67393.409825391034</v>
      </c>
      <c r="AR32" s="2">
        <f t="shared" si="139"/>
        <v>86095.696530798697</v>
      </c>
      <c r="AS32" s="2">
        <f t="shared" si="139"/>
        <v>106867.35892427515</v>
      </c>
      <c r="AT32" s="2">
        <f t="shared" si="139"/>
        <v>128607.9643970037</v>
      </c>
      <c r="AU32" s="2">
        <f t="shared" si="139"/>
        <v>150789.18325421546</v>
      </c>
      <c r="AV32" s="2">
        <f t="shared" si="139"/>
        <v>173420.7113477895</v>
      </c>
      <c r="AW32" s="2">
        <f t="shared" si="139"/>
        <v>192325.15676826242</v>
      </c>
      <c r="AX32" s="2">
        <f t="shared" si="139"/>
        <v>207878.06838181114</v>
      </c>
      <c r="AY32" s="2">
        <f t="shared" ref="AY32" si="140">+AX32+AY23</f>
        <v>223316.3439046581</v>
      </c>
      <c r="AZ32" s="2">
        <f t="shared" ref="AZ32" si="141">+AY32+AZ23</f>
        <v>238967.69026932423</v>
      </c>
      <c r="BA32" s="2">
        <f t="shared" ref="BA32" si="142">+AZ32+BA23</f>
        <v>254868.83591276882</v>
      </c>
      <c r="BB32" s="2">
        <f t="shared" ref="BB32" si="143">+BA32+BB23</f>
        <v>271027.36202279164</v>
      </c>
      <c r="BC32" s="2">
        <f t="shared" ref="BC32" si="144">+BB32+BC23</f>
        <v>275343.24601202307</v>
      </c>
      <c r="BE32" s="2" t="s">
        <v>297</v>
      </c>
      <c r="BF32" s="1">
        <f>BF31/Main!M3</f>
        <v>689.93280182577303</v>
      </c>
    </row>
    <row r="33" spans="2:21" s="2" customFormat="1" x14ac:dyDescent="0.2">
      <c r="B33" s="2" t="s">
        <v>262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>
        <v>1292.8</v>
      </c>
      <c r="R33" s="12"/>
      <c r="S33" s="12">
        <v>1385.2</v>
      </c>
      <c r="T33" s="12"/>
      <c r="U33" s="12">
        <v>1547.8</v>
      </c>
    </row>
    <row r="34" spans="2:21" s="2" customFormat="1" x14ac:dyDescent="0.2">
      <c r="B34" s="2" t="s">
        <v>263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>
        <v>338.9</v>
      </c>
      <c r="R34" s="12"/>
      <c r="S34" s="12">
        <v>388.2</v>
      </c>
      <c r="T34" s="12"/>
      <c r="U34" s="12">
        <v>535.1</v>
      </c>
    </row>
    <row r="35" spans="2:21" s="2" customFormat="1" x14ac:dyDescent="0.2">
      <c r="B35" s="2" t="s">
        <v>264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>
        <v>491.5</v>
      </c>
      <c r="R35" s="12"/>
      <c r="S35" s="12">
        <v>726.9</v>
      </c>
      <c r="T35" s="12"/>
      <c r="U35" s="12">
        <v>468.7</v>
      </c>
    </row>
    <row r="36" spans="2:21" s="2" customFormat="1" x14ac:dyDescent="0.2">
      <c r="B36" s="2" t="s">
        <v>265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>
        <v>1107.4000000000001</v>
      </c>
      <c r="R36" s="12"/>
      <c r="S36" s="12">
        <v>1118.7</v>
      </c>
      <c r="T36" s="12"/>
      <c r="U36" s="12">
        <v>1111.7</v>
      </c>
    </row>
    <row r="37" spans="2:21" s="2" customFormat="1" x14ac:dyDescent="0.2">
      <c r="B37" s="2" t="s">
        <v>266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>
        <f>1002.2+400</f>
        <v>1402.2</v>
      </c>
      <c r="R37" s="12"/>
      <c r="S37" s="12">
        <f>1075.2+603.6</f>
        <v>1678.8000000000002</v>
      </c>
      <c r="T37" s="12"/>
      <c r="U37" s="12">
        <f>1088+603.6</f>
        <v>1691.6</v>
      </c>
    </row>
    <row r="38" spans="2:21" s="2" customFormat="1" x14ac:dyDescent="0.2">
      <c r="B38" s="2" t="s">
        <v>124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>
        <v>945.5</v>
      </c>
      <c r="R38" s="12"/>
      <c r="S38" s="12">
        <v>1162.7</v>
      </c>
      <c r="T38" s="12"/>
      <c r="U38" s="12">
        <v>1359.9</v>
      </c>
    </row>
    <row r="39" spans="2:21" s="2" customFormat="1" x14ac:dyDescent="0.2">
      <c r="B39" s="2" t="s">
        <v>267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>
        <v>329</v>
      </c>
      <c r="R39" s="12"/>
      <c r="S39" s="12">
        <v>342.7</v>
      </c>
      <c r="T39" s="12"/>
      <c r="U39" s="12">
        <v>336.3</v>
      </c>
    </row>
    <row r="40" spans="2:21" s="2" customFormat="1" x14ac:dyDescent="0.2">
      <c r="B40" s="2" t="s">
        <v>268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>
        <v>110.7</v>
      </c>
      <c r="R40" s="12"/>
      <c r="S40" s="12">
        <v>132.5</v>
      </c>
      <c r="T40" s="12"/>
      <c r="U40" s="12">
        <v>427.5</v>
      </c>
    </row>
    <row r="41" spans="2:21" s="2" customFormat="1" x14ac:dyDescent="0.2">
      <c r="B41" s="2" t="s">
        <v>261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>
        <f>SUM(Q32:Q40)</f>
        <v>14256.1</v>
      </c>
      <c r="R41" s="12"/>
      <c r="S41" s="12">
        <f t="shared" ref="S41:U41" si="145">SUM(S32:S40)</f>
        <v>16706.400000000005</v>
      </c>
      <c r="T41" s="12"/>
      <c r="U41" s="12">
        <f t="shared" si="145"/>
        <v>18974.2</v>
      </c>
    </row>
    <row r="43" spans="2:21" s="2" customFormat="1" x14ac:dyDescent="0.2">
      <c r="B43" s="2" t="s">
        <v>269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>
        <v>173.6</v>
      </c>
      <c r="R43" s="12"/>
      <c r="S43" s="12">
        <v>126.9</v>
      </c>
      <c r="T43" s="12"/>
      <c r="U43" s="12">
        <v>323.2</v>
      </c>
    </row>
    <row r="44" spans="2:21" s="2" customFormat="1" x14ac:dyDescent="0.2">
      <c r="B44" s="2" t="s">
        <v>270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>
        <v>1720.5</v>
      </c>
      <c r="R44" s="12"/>
      <c r="S44" s="12">
        <v>2264.4</v>
      </c>
      <c r="T44" s="12"/>
      <c r="U44" s="12">
        <v>2326</v>
      </c>
    </row>
    <row r="45" spans="2:21" s="2" customFormat="1" x14ac:dyDescent="0.2">
      <c r="B45" s="2" t="s">
        <v>271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>
        <v>286.10000000000002</v>
      </c>
      <c r="R45" s="12"/>
      <c r="S45" s="12">
        <v>218</v>
      </c>
      <c r="T45" s="12"/>
      <c r="U45" s="12">
        <v>377</v>
      </c>
    </row>
    <row r="46" spans="2:21" s="2" customFormat="1" x14ac:dyDescent="0.2">
      <c r="B46" s="2" t="s">
        <v>267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>
        <f>495.5+377</f>
        <v>872.5</v>
      </c>
      <c r="R46" s="12"/>
      <c r="S46" s="12">
        <f>442.3+382.3</f>
        <v>824.6</v>
      </c>
      <c r="T46" s="12"/>
      <c r="U46" s="12">
        <f>417.6+371.6</f>
        <v>789.2</v>
      </c>
    </row>
    <row r="47" spans="2:21" s="2" customFormat="1" x14ac:dyDescent="0.2">
      <c r="B47" s="2" t="s">
        <v>272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>
        <v>179</v>
      </c>
      <c r="R47" s="12"/>
      <c r="S47" s="12">
        <v>127.2</v>
      </c>
      <c r="T47" s="12"/>
      <c r="U47" s="12">
        <v>0</v>
      </c>
    </row>
    <row r="48" spans="2:21" s="2" customFormat="1" x14ac:dyDescent="0.2">
      <c r="B48" s="2" t="s">
        <v>273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>
        <v>117.4</v>
      </c>
      <c r="R48" s="12"/>
      <c r="S48" s="12">
        <v>115.7</v>
      </c>
      <c r="T48" s="12"/>
      <c r="U48" s="12">
        <v>726.5</v>
      </c>
    </row>
    <row r="49" spans="2:21" s="2" customFormat="1" x14ac:dyDescent="0.2">
      <c r="B49" s="2" t="s">
        <v>275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>
        <v>10907</v>
      </c>
      <c r="R49" s="12"/>
      <c r="S49" s="12">
        <v>13029.6</v>
      </c>
      <c r="T49" s="12"/>
      <c r="U49" s="12">
        <v>14432.3</v>
      </c>
    </row>
    <row r="50" spans="2:21" s="2" customFormat="1" x14ac:dyDescent="0.2">
      <c r="B50" s="2" t="s">
        <v>274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f>SUM(Q43:Q49)</f>
        <v>14256.1</v>
      </c>
      <c r="R50" s="12"/>
      <c r="S50" s="12">
        <f t="shared" ref="S50:U50" si="146">SUM(S43:S49)</f>
        <v>16706.400000000001</v>
      </c>
      <c r="T50" s="12"/>
      <c r="U50" s="12">
        <f t="shared" si="146"/>
        <v>18974.199999999997</v>
      </c>
    </row>
    <row r="52" spans="2:21" s="2" customFormat="1" x14ac:dyDescent="0.2">
      <c r="B52" s="2" t="s">
        <v>276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>
        <f>+Q23</f>
        <v>1002.4000000000001</v>
      </c>
      <c r="R52" s="12"/>
      <c r="S52" s="12">
        <f>+S23</f>
        <v>939.49999999999966</v>
      </c>
      <c r="T52" s="12"/>
      <c r="U52" s="12"/>
    </row>
    <row r="53" spans="2:21" s="2" customFormat="1" x14ac:dyDescent="0.2">
      <c r="B53" s="2" t="s">
        <v>277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>
        <v>762.1</v>
      </c>
      <c r="R53" s="12"/>
      <c r="S53" s="12"/>
      <c r="T53" s="12"/>
      <c r="U53" s="12"/>
    </row>
    <row r="54" spans="2:21" s="2" customFormat="1" x14ac:dyDescent="0.2">
      <c r="B54" s="2" t="s">
        <v>278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>
        <v>130.30000000000001</v>
      </c>
      <c r="R54" s="12"/>
      <c r="S54" s="12"/>
      <c r="T54" s="12"/>
      <c r="U54" s="12"/>
    </row>
    <row r="55" spans="2:21" s="2" customFormat="1" x14ac:dyDescent="0.2">
      <c r="B55" s="2" t="s">
        <v>279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>
        <v>35.9</v>
      </c>
      <c r="R55" s="12"/>
      <c r="S55" s="12"/>
      <c r="T55" s="12"/>
      <c r="U55" s="12"/>
    </row>
    <row r="56" spans="2:21" s="2" customFormat="1" x14ac:dyDescent="0.2">
      <c r="B56" s="2" t="s">
        <v>272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>
        <v>-7.5</v>
      </c>
      <c r="R56" s="12"/>
      <c r="S56" s="12"/>
      <c r="T56" s="12"/>
      <c r="U56" s="12"/>
    </row>
    <row r="57" spans="2:21" s="2" customFormat="1" x14ac:dyDescent="0.2">
      <c r="B57" s="2" t="s">
        <v>124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>
        <v>-12.3</v>
      </c>
      <c r="R57" s="12"/>
      <c r="S57" s="12"/>
      <c r="T57" s="12"/>
      <c r="U57" s="12"/>
    </row>
    <row r="58" spans="2:21" s="2" customFormat="1" x14ac:dyDescent="0.2">
      <c r="B58" s="2" t="s">
        <v>280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>
        <v>75.599999999999994</v>
      </c>
      <c r="R58" s="12"/>
      <c r="S58" s="12"/>
      <c r="T58" s="12"/>
      <c r="U58" s="12"/>
    </row>
    <row r="59" spans="2:21" s="2" customFormat="1" x14ac:dyDescent="0.2">
      <c r="B59" s="2" t="s">
        <v>281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>
        <v>4.9000000000000004</v>
      </c>
      <c r="R59" s="12"/>
      <c r="S59" s="12"/>
      <c r="T59" s="12"/>
      <c r="U59" s="12"/>
    </row>
    <row r="60" spans="2:21" s="2" customFormat="1" x14ac:dyDescent="0.2">
      <c r="B60" s="2" t="s">
        <v>282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>
        <f>-165.2+2+67.6-14.5+61.6+15.7</f>
        <v>-32.799999999999997</v>
      </c>
      <c r="R60" s="12"/>
      <c r="S60" s="12"/>
      <c r="T60" s="12"/>
      <c r="U60" s="12"/>
    </row>
    <row r="61" spans="2:21" s="2" customFormat="1" x14ac:dyDescent="0.2">
      <c r="B61" s="2" t="s">
        <v>286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>
        <f>SUM(Q53:Q60)</f>
        <v>956.20000000000016</v>
      </c>
      <c r="R61" s="12"/>
      <c r="S61" s="12"/>
      <c r="T61" s="12"/>
      <c r="U61" s="12"/>
    </row>
    <row r="63" spans="2:21" s="2" customFormat="1" x14ac:dyDescent="0.2">
      <c r="B63" s="2" t="s">
        <v>283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>
        <v>-63.6</v>
      </c>
      <c r="R63" s="12"/>
      <c r="S63" s="12"/>
      <c r="T63" s="12"/>
      <c r="U63" s="12"/>
    </row>
    <row r="64" spans="2:21" s="2" customFormat="1" x14ac:dyDescent="0.2">
      <c r="B64" s="2" t="s">
        <v>284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>
        <f>-117.1+129.7</f>
        <v>12.599999999999994</v>
      </c>
      <c r="R64" s="12"/>
      <c r="S64" s="12"/>
      <c r="T64" s="12"/>
      <c r="U64" s="12"/>
    </row>
    <row r="65" spans="2:21" s="2" customFormat="1" x14ac:dyDescent="0.2">
      <c r="B65" s="2" t="s">
        <v>285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>
        <f>Q63+Q64</f>
        <v>-51.000000000000007</v>
      </c>
      <c r="R65" s="12"/>
      <c r="S65" s="12"/>
      <c r="T65" s="12"/>
      <c r="U65" s="12"/>
    </row>
    <row r="67" spans="2:21" s="2" customFormat="1" x14ac:dyDescent="0.2">
      <c r="B67" s="2" t="s">
        <v>290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>
        <v>33.700000000000003</v>
      </c>
      <c r="R67" s="12"/>
      <c r="S67" s="12"/>
      <c r="T67" s="12"/>
      <c r="U67" s="12"/>
    </row>
    <row r="68" spans="2:21" s="2" customFormat="1" x14ac:dyDescent="0.2">
      <c r="B68" s="2" t="s">
        <v>291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>
        <v>-117.5</v>
      </c>
      <c r="R68" s="12"/>
      <c r="S68" s="12"/>
      <c r="T68" s="12"/>
      <c r="U68" s="12"/>
    </row>
    <row r="69" spans="2:21" s="2" customFormat="1" x14ac:dyDescent="0.2">
      <c r="B69" s="2" t="s">
        <v>267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>
        <v>-12.9</v>
      </c>
      <c r="R69" s="12"/>
      <c r="S69" s="12"/>
      <c r="T69" s="12"/>
      <c r="U69" s="12"/>
    </row>
    <row r="70" spans="2:21" s="2" customFormat="1" x14ac:dyDescent="0.2">
      <c r="B70" s="2" t="s">
        <v>268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>
        <v>1.3</v>
      </c>
      <c r="R70" s="12"/>
      <c r="S70" s="12"/>
      <c r="T70" s="12"/>
      <c r="U70" s="12"/>
    </row>
    <row r="71" spans="2:21" s="2" customFormat="1" x14ac:dyDescent="0.2">
      <c r="B71" s="2" t="s">
        <v>289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>
        <f>SUM(Q67:Q70)</f>
        <v>-95.4</v>
      </c>
      <c r="R71" s="12"/>
      <c r="S71" s="12"/>
      <c r="T71" s="12"/>
      <c r="U71" s="12"/>
    </row>
    <row r="72" spans="2:21" s="2" customFormat="1" x14ac:dyDescent="0.2">
      <c r="B72" s="2" t="s">
        <v>288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>
        <v>-5.9</v>
      </c>
      <c r="R72" s="12"/>
      <c r="S72" s="12"/>
      <c r="T72" s="12"/>
      <c r="U72" s="12"/>
    </row>
    <row r="73" spans="2:21" s="2" customFormat="1" x14ac:dyDescent="0.2">
      <c r="B73" s="2" t="s">
        <v>287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>
        <f>+Q71+Q72+Q65+Q61</f>
        <v>803.90000000000009</v>
      </c>
      <c r="R73" s="12"/>
      <c r="S73" s="12"/>
      <c r="T73" s="12"/>
      <c r="U73" s="12"/>
    </row>
    <row r="74" spans="2:21" s="2" customFormat="1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160</v>
      </c>
    </row>
    <row r="4" spans="1:3" x14ac:dyDescent="0.2">
      <c r="B4" t="s">
        <v>9</v>
      </c>
      <c r="C4" t="s">
        <v>159</v>
      </c>
    </row>
    <row r="5" spans="1:3" x14ac:dyDescent="0.2">
      <c r="B5" t="s">
        <v>121</v>
      </c>
      <c r="C5" t="s">
        <v>182</v>
      </c>
    </row>
    <row r="6" spans="1:3" x14ac:dyDescent="0.2">
      <c r="B6" t="s">
        <v>194</v>
      </c>
      <c r="C6" t="s">
        <v>195</v>
      </c>
    </row>
    <row r="7" spans="1:3" x14ac:dyDescent="0.2">
      <c r="B7" t="s">
        <v>184</v>
      </c>
      <c r="C7" t="s">
        <v>185</v>
      </c>
    </row>
    <row r="8" spans="1:3" x14ac:dyDescent="0.2">
      <c r="B8" t="s">
        <v>186</v>
      </c>
      <c r="C8" t="s">
        <v>187</v>
      </c>
    </row>
    <row r="9" spans="1:3" x14ac:dyDescent="0.2">
      <c r="B9" t="s">
        <v>191</v>
      </c>
      <c r="C9" t="s">
        <v>192</v>
      </c>
    </row>
    <row r="10" spans="1:3" x14ac:dyDescent="0.2">
      <c r="B10" t="s">
        <v>193</v>
      </c>
      <c r="C10" t="s">
        <v>192</v>
      </c>
    </row>
    <row r="11" spans="1:3" x14ac:dyDescent="0.2">
      <c r="B11" t="s">
        <v>136</v>
      </c>
    </row>
    <row r="12" spans="1:3" x14ac:dyDescent="0.2">
      <c r="C12" s="18" t="s">
        <v>188</v>
      </c>
    </row>
    <row r="13" spans="1:3" x14ac:dyDescent="0.2">
      <c r="C13" t="s">
        <v>189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115</v>
      </c>
    </row>
    <row r="4" spans="1:3" x14ac:dyDescent="0.2">
      <c r="B4" t="s">
        <v>121</v>
      </c>
      <c r="C4" t="s">
        <v>190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121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93</v>
      </c>
      <c r="C5" t="s">
        <v>94</v>
      </c>
    </row>
    <row r="6" spans="1:3" x14ac:dyDescent="0.2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6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3.140625" customWidth="1"/>
  </cols>
  <sheetData>
    <row r="1" spans="1:9" x14ac:dyDescent="0.2">
      <c r="A1" s="11" t="s">
        <v>20</v>
      </c>
    </row>
    <row r="2" spans="1:9" x14ac:dyDescent="0.2">
      <c r="B2" t="s">
        <v>7</v>
      </c>
      <c r="C2" t="s">
        <v>328</v>
      </c>
    </row>
    <row r="3" spans="1:9" x14ac:dyDescent="0.2">
      <c r="B3" t="s">
        <v>8</v>
      </c>
      <c r="C3" t="s">
        <v>142</v>
      </c>
    </row>
    <row r="4" spans="1:9" x14ac:dyDescent="0.2">
      <c r="B4" t="s">
        <v>9</v>
      </c>
      <c r="C4" t="s">
        <v>143</v>
      </c>
    </row>
    <row r="5" spans="1:9" x14ac:dyDescent="0.2">
      <c r="B5" t="s">
        <v>18</v>
      </c>
      <c r="C5" t="s">
        <v>38</v>
      </c>
    </row>
    <row r="6" spans="1:9" x14ac:dyDescent="0.2">
      <c r="B6" t="s">
        <v>10</v>
      </c>
      <c r="C6" t="s">
        <v>202</v>
      </c>
    </row>
    <row r="7" spans="1:9" x14ac:dyDescent="0.2">
      <c r="B7" t="s">
        <v>134</v>
      </c>
      <c r="C7" t="s">
        <v>144</v>
      </c>
    </row>
    <row r="8" spans="1:9" x14ac:dyDescent="0.2">
      <c r="B8" t="s">
        <v>121</v>
      </c>
      <c r="C8" t="s">
        <v>203</v>
      </c>
    </row>
    <row r="9" spans="1:9" x14ac:dyDescent="0.2">
      <c r="B9" t="s">
        <v>136</v>
      </c>
    </row>
    <row r="10" spans="1:9" x14ac:dyDescent="0.2">
      <c r="C10" s="18" t="s">
        <v>154</v>
      </c>
    </row>
    <row r="11" spans="1:9" x14ac:dyDescent="0.2">
      <c r="C11" t="s">
        <v>151</v>
      </c>
      <c r="I11" s="11" t="s">
        <v>174</v>
      </c>
    </row>
    <row r="12" spans="1:9" x14ac:dyDescent="0.2">
      <c r="C12" t="s">
        <v>148</v>
      </c>
    </row>
    <row r="13" spans="1:9" x14ac:dyDescent="0.2">
      <c r="C13" t="s">
        <v>145</v>
      </c>
    </row>
    <row r="14" spans="1:9" x14ac:dyDescent="0.2">
      <c r="C14" t="s">
        <v>146</v>
      </c>
    </row>
    <row r="15" spans="1:9" x14ac:dyDescent="0.2">
      <c r="C15" t="s">
        <v>147</v>
      </c>
    </row>
    <row r="16" spans="1:9" x14ac:dyDescent="0.2">
      <c r="C16" t="s">
        <v>149</v>
      </c>
    </row>
    <row r="17" spans="3:3" x14ac:dyDescent="0.2">
      <c r="C17" t="s">
        <v>155</v>
      </c>
    </row>
    <row r="19" spans="3:3" x14ac:dyDescent="0.2">
      <c r="C19" s="18" t="s">
        <v>153</v>
      </c>
    </row>
    <row r="20" spans="3:3" x14ac:dyDescent="0.2">
      <c r="C20" t="s">
        <v>155</v>
      </c>
    </row>
    <row r="22" spans="3:3" x14ac:dyDescent="0.2">
      <c r="C22" s="18" t="s">
        <v>152</v>
      </c>
    </row>
    <row r="24" spans="3:3" x14ac:dyDescent="0.2">
      <c r="C24" s="18" t="s">
        <v>156</v>
      </c>
    </row>
    <row r="26" spans="3:3" x14ac:dyDescent="0.2">
      <c r="C26" s="18" t="s">
        <v>157</v>
      </c>
    </row>
  </sheetData>
  <hyperlinks>
    <hyperlink ref="A1" location="Main!A1" display="Main" xr:uid="{B7375EF0-5582-4E12-AC44-5AB9BFB39A26}"/>
    <hyperlink ref="I11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5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4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52</v>
      </c>
    </row>
    <row r="3" spans="1:3" x14ac:dyDescent="0.2">
      <c r="B3" t="s">
        <v>9</v>
      </c>
      <c r="C3" t="s">
        <v>132</v>
      </c>
    </row>
    <row r="4" spans="1:3" x14ac:dyDescent="0.2">
      <c r="B4" t="s">
        <v>10</v>
      </c>
      <c r="C4" t="s">
        <v>133</v>
      </c>
    </row>
    <row r="5" spans="1:3" x14ac:dyDescent="0.2">
      <c r="B5" t="s">
        <v>134</v>
      </c>
      <c r="C5" t="s">
        <v>135</v>
      </c>
    </row>
    <row r="6" spans="1:3" x14ac:dyDescent="0.2">
      <c r="B6" t="s">
        <v>136</v>
      </c>
    </row>
    <row r="7" spans="1:3" x14ac:dyDescent="0.2">
      <c r="C7" s="18" t="s">
        <v>137</v>
      </c>
    </row>
    <row r="8" spans="1:3" x14ac:dyDescent="0.2">
      <c r="C8" t="s">
        <v>168</v>
      </c>
    </row>
    <row r="9" spans="1:3" x14ac:dyDescent="0.2">
      <c r="C9" t="s">
        <v>170</v>
      </c>
    </row>
    <row r="10" spans="1:3" x14ac:dyDescent="0.2">
      <c r="C10" t="s">
        <v>169</v>
      </c>
    </row>
    <row r="11" spans="1:3" x14ac:dyDescent="0.2">
      <c r="C11" t="s">
        <v>138</v>
      </c>
    </row>
    <row r="12" spans="1:3" x14ac:dyDescent="0.2">
      <c r="C12" t="s">
        <v>139</v>
      </c>
    </row>
    <row r="14" spans="1:3" x14ac:dyDescent="0.2">
      <c r="C14" t="s">
        <v>339</v>
      </c>
    </row>
    <row r="15" spans="1:3" x14ac:dyDescent="0.2">
      <c r="C15" t="s">
        <v>340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13"/>
  <sheetViews>
    <sheetView zoomScale="220" zoomScaleNormal="220" workbookViewId="0"/>
  </sheetViews>
  <sheetFormatPr defaultRowHeight="12.75" x14ac:dyDescent="0.2"/>
  <cols>
    <col min="1" max="1" width="5" bestFit="1" customWidth="1"/>
    <col min="2" max="2" width="12.85546875" customWidth="1"/>
    <col min="3" max="3" width="12.28515625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46</v>
      </c>
    </row>
    <row r="3" spans="1:3" x14ac:dyDescent="0.2">
      <c r="B3" t="s">
        <v>8</v>
      </c>
      <c r="C3" t="s">
        <v>325</v>
      </c>
    </row>
    <row r="4" spans="1:3" x14ac:dyDescent="0.2">
      <c r="B4" t="s">
        <v>9</v>
      </c>
      <c r="C4" t="s">
        <v>15</v>
      </c>
    </row>
    <row r="5" spans="1:3" x14ac:dyDescent="0.2">
      <c r="B5" t="s">
        <v>136</v>
      </c>
    </row>
    <row r="6" spans="1:3" x14ac:dyDescent="0.2">
      <c r="C6" s="18" t="s">
        <v>196</v>
      </c>
    </row>
    <row r="7" spans="1:3" x14ac:dyDescent="0.2">
      <c r="C7" t="s">
        <v>198</v>
      </c>
    </row>
    <row r="9" spans="1:3" x14ac:dyDescent="0.2">
      <c r="C9" t="s">
        <v>197</v>
      </c>
    </row>
    <row r="13" spans="1:3" x14ac:dyDescent="0.2">
      <c r="C13" s="18" t="s">
        <v>330</v>
      </c>
    </row>
  </sheetData>
  <hyperlinks>
    <hyperlink ref="A1" location="Main!A1" display="Main" xr:uid="{D27BB88E-1A8F-41E5-B99C-BA493095D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Model</vt:lpstr>
      <vt:lpstr>Trikafta</vt:lpstr>
      <vt:lpstr>Orkambi</vt:lpstr>
      <vt:lpstr>Symdeko</vt:lpstr>
      <vt:lpstr>Kalydeco</vt:lpstr>
      <vt:lpstr>Casgevy</vt:lpstr>
      <vt:lpstr>VX-880</vt:lpstr>
      <vt:lpstr>vanzacaftor</vt:lpstr>
      <vt:lpstr>VX-548</vt:lpstr>
      <vt:lpstr>VX-522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2024-05-23T17:27:15Z</dcterms:modified>
</cp:coreProperties>
</file>