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8AEA355F-AF22-4884-881D-E4FB3B24D346}" xr6:coauthVersionLast="47" xr6:coauthVersionMax="47" xr10:uidLastSave="{00000000-0000-0000-0000-000000000000}"/>
  <bookViews>
    <workbookView xWindow="73800" yWindow="30" windowWidth="29460" windowHeight="20460" tabRatio="566" firstSheet="5" activeTab="6"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Ponvory" sheetId="81" r:id="rId13"/>
    <sheet name="Xarelto" sheetId="35" r:id="rId14"/>
    <sheet name="Tecvayli" sheetId="84" r:id="rId15"/>
    <sheet name="Invega" sheetId="19" r:id="rId16"/>
    <sheet name="Sustenna" sheetId="34" r:id="rId17"/>
    <sheet name="Simponi" sheetId="29" r:id="rId18"/>
    <sheet name="Consta" sheetId="20" r:id="rId19"/>
    <sheet name="Procrit" sheetId="5" r:id="rId20"/>
    <sheet name="Velcade" sheetId="15" r:id="rId21"/>
    <sheet name="Topamax" sheetId="10" r:id="rId22"/>
    <sheet name="Prezista" sheetId="28" r:id="rId23"/>
    <sheet name="Intelence" sheetId="33" r:id="rId24"/>
    <sheet name="Concerta" sheetId="14" r:id="rId25"/>
    <sheet name="Contraceptives" sheetId="24" r:id="rId26"/>
    <sheet name="riplivirine" sheetId="65" r:id="rId27"/>
    <sheet name="canagliflozin" sheetId="73" r:id="rId28"/>
    <sheet name="abiraterone" sheetId="72" r:id="rId29"/>
    <sheet name="Consumer" sheetId="68" r:id="rId30"/>
    <sheet name="telaprevir" sheetId="75" r:id="rId31"/>
    <sheet name="Consumer Model" sheetId="22" r:id="rId32"/>
    <sheet name="MD&amp;D" sheetId="40" r:id="rId33"/>
    <sheet name="DePuy" sheetId="69" r:id="rId34"/>
    <sheet name="DePuy Model" sheetId="43" r:id="rId35"/>
    <sheet name="LifeScan" sheetId="37" r:id="rId36"/>
    <sheet name="Vision" sheetId="38" r:id="rId37"/>
    <sheet name="Interventional" sheetId="42" r:id="rId38"/>
    <sheet name="EndoSurgery" sheetId="44" r:id="rId39"/>
    <sheet name="Ethicon" sheetId="45" r:id="rId40"/>
    <sheet name="Ultram" sheetId="17" r:id="rId41"/>
    <sheet name="Acquisitions" sheetId="46" r:id="rId42"/>
    <sheet name="Levaquin" sheetId="12" r:id="rId43"/>
    <sheet name="Aciphex" sheetId="11" r:id="rId44"/>
    <sheet name="Doripenem" sheetId="27" r:id="rId45"/>
    <sheet name="Tapentadol" sheetId="64" r:id="rId46"/>
    <sheet name="Comfyde" sheetId="26" r:id="rId47"/>
    <sheet name="Natrecor" sheetId="18" r:id="rId48"/>
    <sheet name="Diagnostics" sheetId="36" r:id="rId49"/>
    <sheet name="Risperdal" sheetId="6" r:id="rId50"/>
    <sheet name="Duragesic" sheetId="13" r:id="rId51"/>
  </sheets>
  <externalReferences>
    <externalReference r:id="rId52"/>
    <externalReference r:id="rId53"/>
    <externalReference r:id="rId54"/>
    <externalReference r:id="rId55"/>
    <externalReference r:id="rId56"/>
    <externalReference r:id="rId57"/>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1">'Consumer Model'!$B$1:$BI$21</definedName>
    <definedName name="_xlnm.Print_Area" localSheetId="34">'DePuy Model'!$B$1:$AS$20</definedName>
    <definedName name="_xlnm.Print_Area" localSheetId="32">'MD&amp;D'!$B$1:$AI$36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A138" i="71" l="1"/>
  <c r="CZ138" i="71"/>
  <c r="CZ159" i="71"/>
  <c r="CZ157" i="71"/>
  <c r="CZ162" i="71" s="1"/>
  <c r="CZ168" i="71" s="1"/>
  <c r="CZ146" i="71"/>
  <c r="CZ139" i="71"/>
  <c r="CZ144" i="71"/>
  <c r="CZ149" i="71" s="1"/>
  <c r="Q6" i="3"/>
  <c r="DA168" i="71"/>
  <c r="DA161" i="71"/>
  <c r="DA162" i="71"/>
  <c r="DA157" i="71"/>
  <c r="DA144" i="71"/>
  <c r="DA149" i="71" s="1"/>
  <c r="DA146" i="71"/>
  <c r="DA139" i="71"/>
  <c r="DA73" i="71"/>
  <c r="DA58" i="71"/>
  <c r="CT86" i="71"/>
  <c r="CS86" i="71"/>
  <c r="CR86" i="71"/>
  <c r="CQ86" i="71"/>
  <c r="CP86" i="71"/>
  <c r="CO86" i="71"/>
  <c r="CN86" i="71"/>
  <c r="CM86" i="71"/>
  <c r="CT84" i="71"/>
  <c r="CS84" i="71"/>
  <c r="CR84" i="71"/>
  <c r="CQ84" i="71"/>
  <c r="CP84" i="71"/>
  <c r="CO84" i="71"/>
  <c r="CN84" i="71"/>
  <c r="CM84" i="71"/>
  <c r="CT83" i="71"/>
  <c r="CS83" i="71"/>
  <c r="CR83" i="71"/>
  <c r="CQ83" i="71"/>
  <c r="CP83" i="71"/>
  <c r="CO83" i="71"/>
  <c r="CN83" i="71"/>
  <c r="CM83" i="71"/>
  <c r="CT82" i="71"/>
  <c r="CS82" i="71"/>
  <c r="CR82" i="71"/>
  <c r="CQ82" i="71"/>
  <c r="CP82" i="71"/>
  <c r="CO82" i="71"/>
  <c r="CN82" i="71"/>
  <c r="CM82" i="71"/>
  <c r="CI63" i="71"/>
  <c r="CI61" i="71"/>
  <c r="CM63" i="71"/>
  <c r="CM61" i="71"/>
  <c r="CM81" i="71"/>
  <c r="CM80" i="71"/>
  <c r="CM79" i="71"/>
  <c r="CM78" i="71"/>
  <c r="CM77" i="71"/>
  <c r="CM76" i="71"/>
  <c r="CM74" i="71"/>
  <c r="CM73" i="71"/>
  <c r="CN81" i="71"/>
  <c r="CN80" i="71"/>
  <c r="CN79" i="71"/>
  <c r="CN78" i="71"/>
  <c r="CN77" i="71"/>
  <c r="CN76" i="71"/>
  <c r="CN74" i="71"/>
  <c r="CN73" i="71"/>
  <c r="CJ61" i="71"/>
  <c r="CN61" i="71"/>
  <c r="CJ49" i="71"/>
  <c r="CJ56" i="71" s="1"/>
  <c r="CJ58" i="71" s="1"/>
  <c r="CN49" i="71"/>
  <c r="CR85" i="71" s="1"/>
  <c r="CI49" i="71"/>
  <c r="CI56" i="71" s="1"/>
  <c r="CI58" i="71" s="1"/>
  <c r="CM49" i="71"/>
  <c r="CQ85" i="71" s="1"/>
  <c r="CL63" i="71"/>
  <c r="CL59" i="71"/>
  <c r="CL61" i="71" s="1"/>
  <c r="CP59" i="71"/>
  <c r="CT74" i="71" s="1"/>
  <c r="CT81" i="71"/>
  <c r="CS81" i="71"/>
  <c r="CR81" i="71"/>
  <c r="CQ81" i="71"/>
  <c r="CP81" i="71"/>
  <c r="CO81" i="71"/>
  <c r="CT80" i="71"/>
  <c r="CS80" i="71"/>
  <c r="CR80" i="71"/>
  <c r="CQ80" i="71"/>
  <c r="CP80" i="71"/>
  <c r="CO80" i="71"/>
  <c r="CT79" i="71"/>
  <c r="CS79" i="71"/>
  <c r="CR79" i="71"/>
  <c r="CQ79" i="71"/>
  <c r="CP79" i="71"/>
  <c r="CO79" i="71"/>
  <c r="CT78" i="71"/>
  <c r="CS78" i="71"/>
  <c r="CR78" i="71"/>
  <c r="CQ78" i="71"/>
  <c r="CP78" i="71"/>
  <c r="CO78" i="71"/>
  <c r="CT77" i="71"/>
  <c r="CS77" i="71"/>
  <c r="CR77" i="71"/>
  <c r="CQ77" i="71"/>
  <c r="CP77" i="71"/>
  <c r="CO77" i="71"/>
  <c r="CT76" i="71"/>
  <c r="CS76" i="71"/>
  <c r="CR76" i="71"/>
  <c r="CQ76" i="71"/>
  <c r="CP76" i="71"/>
  <c r="CO76" i="71"/>
  <c r="CR74" i="71"/>
  <c r="CQ74" i="71"/>
  <c r="CT73" i="71"/>
  <c r="CS73" i="71"/>
  <c r="CR73" i="71"/>
  <c r="CQ73" i="71"/>
  <c r="CP73" i="71"/>
  <c r="CO73" i="71"/>
  <c r="CP63" i="71"/>
  <c r="CL49" i="71"/>
  <c r="CP49" i="71"/>
  <c r="CT85" i="71" s="1"/>
  <c r="CJ62" i="71" l="1"/>
  <c r="CJ65" i="71" s="1"/>
  <c r="CJ67" i="71" s="1"/>
  <c r="CJ68" i="71" s="1"/>
  <c r="CM85" i="71"/>
  <c r="CP61" i="71"/>
  <c r="CN85" i="71"/>
  <c r="CP85" i="71"/>
  <c r="CL62" i="71"/>
  <c r="CL65" i="71" s="1"/>
  <c r="CL67" i="71" s="1"/>
  <c r="CL68" i="71" s="1"/>
  <c r="CP74" i="71"/>
  <c r="CI62" i="71"/>
  <c r="CI65" i="71" s="1"/>
  <c r="CI67" i="71" s="1"/>
  <c r="CI68" i="71" s="1"/>
  <c r="CK63" i="71"/>
  <c r="CK66" i="71"/>
  <c r="CO66" i="71"/>
  <c r="CK59" i="71"/>
  <c r="CK61" i="71" s="1"/>
  <c r="CO59" i="71"/>
  <c r="CO61" i="71" s="1"/>
  <c r="CO63" i="71"/>
  <c r="CL56" i="71"/>
  <c r="CL58" i="71" s="1"/>
  <c r="CM56" i="71"/>
  <c r="CN56" i="71"/>
  <c r="CP56" i="71"/>
  <c r="CK49" i="71"/>
  <c r="CK56" i="71" s="1"/>
  <c r="CO49" i="71"/>
  <c r="CO56" i="71" s="1"/>
  <c r="CO58" i="71" s="1"/>
  <c r="CV56" i="71"/>
  <c r="CV58" i="71" s="1"/>
  <c r="CV89" i="71" s="1"/>
  <c r="CV63" i="71"/>
  <c r="CZ63" i="71"/>
  <c r="CZ61" i="71"/>
  <c r="EM55" i="71"/>
  <c r="EM53" i="71"/>
  <c r="EM50" i="71"/>
  <c r="EM49" i="71"/>
  <c r="EM46" i="71"/>
  <c r="EM45" i="71"/>
  <c r="EM44" i="71"/>
  <c r="EM43" i="71"/>
  <c r="EM42" i="71"/>
  <c r="EM41" i="71"/>
  <c r="EM39" i="71"/>
  <c r="EM38" i="71"/>
  <c r="EM37" i="71"/>
  <c r="EM36" i="71"/>
  <c r="EM35" i="71"/>
  <c r="EM34" i="71"/>
  <c r="EM33" i="71"/>
  <c r="EM32" i="71"/>
  <c r="EM31" i="71"/>
  <c r="EM30" i="71"/>
  <c r="EM29" i="71"/>
  <c r="EM28" i="71"/>
  <c r="EM27" i="71"/>
  <c r="EM26" i="71"/>
  <c r="EM25" i="71"/>
  <c r="EM24" i="71"/>
  <c r="EM23" i="71"/>
  <c r="EM22" i="71"/>
  <c r="EM21" i="71"/>
  <c r="EM20" i="71"/>
  <c r="EM19" i="71"/>
  <c r="EM18" i="71"/>
  <c r="EM17" i="71"/>
  <c r="EM13" i="71"/>
  <c r="EM12" i="71"/>
  <c r="EM11" i="71"/>
  <c r="EM10" i="71"/>
  <c r="EM7" i="71"/>
  <c r="EM6" i="71"/>
  <c r="EM5" i="71"/>
  <c r="EM4" i="71"/>
  <c r="EM3" i="71"/>
  <c r="CX159" i="71"/>
  <c r="CX167" i="71"/>
  <c r="CX157" i="71"/>
  <c r="CX146" i="71"/>
  <c r="CX139" i="71"/>
  <c r="CX138" i="71" s="1"/>
  <c r="CX144" i="71"/>
  <c r="CY167" i="71"/>
  <c r="CY159" i="71"/>
  <c r="CY157" i="71"/>
  <c r="CY146" i="71"/>
  <c r="CY139" i="71"/>
  <c r="EW63" i="71"/>
  <c r="EV63" i="71"/>
  <c r="EU63" i="71"/>
  <c r="ET63" i="71"/>
  <c r="ES63" i="71"/>
  <c r="EN59" i="71"/>
  <c r="EN69" i="71"/>
  <c r="EN66" i="71"/>
  <c r="EN57" i="71"/>
  <c r="EN60" i="71"/>
  <c r="EN73" i="71" s="1"/>
  <c r="EW48" i="71"/>
  <c r="EV48" i="71"/>
  <c r="EU48" i="71"/>
  <c r="ET48" i="71"/>
  <c r="ES48" i="71"/>
  <c r="ER48" i="71"/>
  <c r="EQ48" i="71"/>
  <c r="EP48" i="71"/>
  <c r="EW47" i="71"/>
  <c r="EV47" i="71"/>
  <c r="EU47" i="71"/>
  <c r="ET47" i="71"/>
  <c r="ES47" i="71"/>
  <c r="ER47" i="71"/>
  <c r="EQ47" i="71"/>
  <c r="EP47" i="71"/>
  <c r="EO48" i="71"/>
  <c r="EO47" i="71"/>
  <c r="EO39" i="71"/>
  <c r="EO38" i="71"/>
  <c r="EO37" i="71"/>
  <c r="EO36" i="71"/>
  <c r="EO35" i="71"/>
  <c r="EO34" i="71"/>
  <c r="EO24" i="71"/>
  <c r="EP24" i="71" s="1"/>
  <c r="EQ24" i="71" s="1"/>
  <c r="ER24" i="71" s="1"/>
  <c r="ES24" i="71" s="1"/>
  <c r="ET24" i="71" s="1"/>
  <c r="EU24" i="71" s="1"/>
  <c r="EV24" i="71" s="1"/>
  <c r="EW24" i="71" s="1"/>
  <c r="EO23" i="71"/>
  <c r="EO22" i="71"/>
  <c r="EO21" i="71"/>
  <c r="EO20" i="71"/>
  <c r="EO19" i="71"/>
  <c r="EN7" i="71"/>
  <c r="EN55" i="71"/>
  <c r="EN53" i="71"/>
  <c r="EN50" i="71"/>
  <c r="EN49" i="71"/>
  <c r="EN46" i="71"/>
  <c r="EN45" i="71"/>
  <c r="EN43" i="71"/>
  <c r="EN42" i="71"/>
  <c r="EN41" i="71"/>
  <c r="EN39" i="71"/>
  <c r="EN38" i="71"/>
  <c r="EN37" i="71"/>
  <c r="EN36" i="71"/>
  <c r="EN35" i="71"/>
  <c r="EN34" i="71"/>
  <c r="EN33" i="71"/>
  <c r="EN32" i="71"/>
  <c r="EN31" i="71"/>
  <c r="EN30" i="71"/>
  <c r="EN29" i="71"/>
  <c r="EN28" i="71"/>
  <c r="EN27" i="71"/>
  <c r="EN26" i="71"/>
  <c r="EN25" i="71"/>
  <c r="EN24" i="71"/>
  <c r="EN23" i="71"/>
  <c r="EN22" i="71"/>
  <c r="EN21" i="71"/>
  <c r="EN20" i="71"/>
  <c r="EN19" i="71"/>
  <c r="EN18" i="71"/>
  <c r="EN17" i="71"/>
  <c r="EN13" i="71"/>
  <c r="EN12" i="71"/>
  <c r="EN11" i="71"/>
  <c r="EN10" i="71"/>
  <c r="EN6" i="71"/>
  <c r="EN5" i="71"/>
  <c r="EN4" i="71"/>
  <c r="EN3" i="71"/>
  <c r="CX86" i="71"/>
  <c r="CW86" i="71"/>
  <c r="CV86" i="71"/>
  <c r="CU86" i="71"/>
  <c r="CX85" i="71"/>
  <c r="CW85" i="71"/>
  <c r="CV85" i="71"/>
  <c r="CU85" i="71"/>
  <c r="CY86" i="71"/>
  <c r="CY85" i="71"/>
  <c r="CX84" i="71"/>
  <c r="CW84" i="71"/>
  <c r="CV84" i="71"/>
  <c r="CU84" i="71"/>
  <c r="CY84" i="71"/>
  <c r="CX83" i="71"/>
  <c r="CW83" i="71"/>
  <c r="CV83" i="71"/>
  <c r="CU83" i="71"/>
  <c r="CY83" i="71"/>
  <c r="DB69" i="71"/>
  <c r="DC69" i="71" s="1"/>
  <c r="DD69" i="71" s="1"/>
  <c r="DE69" i="71" s="1"/>
  <c r="DF69" i="71" s="1"/>
  <c r="DC53" i="71"/>
  <c r="DB53" i="71"/>
  <c r="DF53" i="71" s="1"/>
  <c r="DE53" i="71"/>
  <c r="DD53" i="71"/>
  <c r="DC50" i="71"/>
  <c r="DC86" i="71" s="1"/>
  <c r="DB50" i="71"/>
  <c r="DF50" i="71" s="1"/>
  <c r="DF86" i="71" s="1"/>
  <c r="DE50" i="71"/>
  <c r="DE86" i="71" s="1"/>
  <c r="DD50" i="71"/>
  <c r="DD86" i="71" s="1"/>
  <c r="DC49" i="71"/>
  <c r="DC85" i="71" s="1"/>
  <c r="DB49" i="71"/>
  <c r="DF49" i="71" s="1"/>
  <c r="DF85" i="71" s="1"/>
  <c r="DA85" i="71"/>
  <c r="CZ85" i="71"/>
  <c r="DC46" i="71"/>
  <c r="DC84" i="71" s="1"/>
  <c r="DB46" i="71"/>
  <c r="DF46" i="71" s="1"/>
  <c r="DF84" i="71" s="1"/>
  <c r="DE46" i="71"/>
  <c r="DE84" i="71" s="1"/>
  <c r="CZ84" i="71"/>
  <c r="DC45" i="71"/>
  <c r="DC83" i="71" s="1"/>
  <c r="DB45" i="71"/>
  <c r="DF45" i="71" s="1"/>
  <c r="DF83" i="71" s="1"/>
  <c r="DE45" i="71"/>
  <c r="DE83" i="71" s="1"/>
  <c r="DD45" i="71"/>
  <c r="DD83" i="71" s="1"/>
  <c r="DC44" i="71"/>
  <c r="DB44" i="71"/>
  <c r="DF44" i="71" s="1"/>
  <c r="DE44" i="71"/>
  <c r="DD44" i="71"/>
  <c r="DC43" i="71"/>
  <c r="DB43" i="71"/>
  <c r="DF43" i="71" s="1"/>
  <c r="DE43" i="71"/>
  <c r="DD43" i="71"/>
  <c r="DC17" i="71"/>
  <c r="DB17" i="71"/>
  <c r="DF17" i="71" s="1"/>
  <c r="DE17" i="71"/>
  <c r="DD17" i="71"/>
  <c r="DC18" i="71"/>
  <c r="DB18" i="71"/>
  <c r="DF18" i="71" s="1"/>
  <c r="DE18" i="71"/>
  <c r="DD18" i="71"/>
  <c r="DC42" i="71"/>
  <c r="DB42" i="71"/>
  <c r="DF42" i="71" s="1"/>
  <c r="DE42" i="71"/>
  <c r="DD42" i="71"/>
  <c r="DB41" i="71"/>
  <c r="DC41" i="71" s="1"/>
  <c r="DD41" i="71" s="1"/>
  <c r="DE41" i="71" s="1"/>
  <c r="DF41" i="71" s="1"/>
  <c r="DC33" i="71"/>
  <c r="DB33" i="71"/>
  <c r="DF33" i="71" s="1"/>
  <c r="DE33" i="71"/>
  <c r="DD33" i="71"/>
  <c r="DC32" i="71"/>
  <c r="DB32" i="71"/>
  <c r="DF32" i="71" s="1"/>
  <c r="DE32" i="71"/>
  <c r="DD32" i="71"/>
  <c r="DC31" i="71"/>
  <c r="DB31" i="71"/>
  <c r="DF31" i="71" s="1"/>
  <c r="DE31" i="71"/>
  <c r="DD31" i="71"/>
  <c r="DB30" i="71"/>
  <c r="DC30" i="71" s="1"/>
  <c r="DD30" i="71" s="1"/>
  <c r="DE30" i="71" s="1"/>
  <c r="DF30" i="71" s="1"/>
  <c r="DB29" i="71"/>
  <c r="DC29" i="71" s="1"/>
  <c r="DD29" i="71" s="1"/>
  <c r="DE29" i="71" s="1"/>
  <c r="DF29" i="71" s="1"/>
  <c r="DB28" i="71"/>
  <c r="DC28" i="71" s="1"/>
  <c r="DD28" i="71" s="1"/>
  <c r="DE28" i="71" s="1"/>
  <c r="DF28" i="71" s="1"/>
  <c r="DD27" i="71"/>
  <c r="DC27" i="71"/>
  <c r="DB27" i="71"/>
  <c r="DF27" i="71"/>
  <c r="DE27" i="71"/>
  <c r="DC26" i="71"/>
  <c r="DB26" i="71"/>
  <c r="DF26" i="71" s="1"/>
  <c r="DE26" i="71"/>
  <c r="DD26" i="71"/>
  <c r="DC25" i="71"/>
  <c r="DB25" i="71"/>
  <c r="DF25" i="71" s="1"/>
  <c r="DE25" i="71"/>
  <c r="DD25" i="71"/>
  <c r="DC13" i="71"/>
  <c r="DB13" i="71"/>
  <c r="DF13" i="71" s="1"/>
  <c r="DE13" i="71"/>
  <c r="DD13" i="71"/>
  <c r="DC12" i="71"/>
  <c r="DB12" i="71"/>
  <c r="DF12" i="71" s="1"/>
  <c r="DE12" i="71"/>
  <c r="DD12" i="71"/>
  <c r="DC11" i="71"/>
  <c r="DC80" i="71" s="1"/>
  <c r="DB11" i="71"/>
  <c r="DF11" i="71" s="1"/>
  <c r="DF80" i="71" s="1"/>
  <c r="DE11" i="71"/>
  <c r="DE80" i="71" s="1"/>
  <c r="DD11" i="71"/>
  <c r="DD80" i="71" s="1"/>
  <c r="DC10" i="71"/>
  <c r="DB10" i="71"/>
  <c r="DF10" i="71" s="1"/>
  <c r="DE10" i="71"/>
  <c r="DD10" i="71"/>
  <c r="CX81" i="71"/>
  <c r="CW81" i="71"/>
  <c r="CV81" i="71"/>
  <c r="CU81" i="71"/>
  <c r="CY81" i="71"/>
  <c r="CX80" i="71"/>
  <c r="CW80" i="71"/>
  <c r="CV80" i="71"/>
  <c r="CU80" i="71"/>
  <c r="CY80" i="71"/>
  <c r="DC3" i="71"/>
  <c r="DC76" i="71" s="1"/>
  <c r="DB3" i="71"/>
  <c r="DF3" i="71" s="1"/>
  <c r="DF76" i="71" s="1"/>
  <c r="DE3" i="71"/>
  <c r="DE76" i="71" s="1"/>
  <c r="DD4" i="71"/>
  <c r="DC4" i="71"/>
  <c r="DC77" i="71" s="1"/>
  <c r="DB4" i="71"/>
  <c r="DB77" i="71" s="1"/>
  <c r="DF4" i="71"/>
  <c r="CZ77" i="71"/>
  <c r="DC5" i="71"/>
  <c r="DC79" i="71" s="1"/>
  <c r="DB5" i="71"/>
  <c r="DF5" i="71" s="1"/>
  <c r="DF79" i="71" s="1"/>
  <c r="DE5" i="71"/>
  <c r="DE79" i="71" s="1"/>
  <c r="CZ79" i="71"/>
  <c r="CZ76" i="71"/>
  <c r="CZ73" i="71"/>
  <c r="CX79" i="71"/>
  <c r="CW79" i="71"/>
  <c r="CV79" i="71"/>
  <c r="CU79" i="71"/>
  <c r="CY79" i="71"/>
  <c r="DC6" i="71"/>
  <c r="DC78" i="71" s="1"/>
  <c r="DB6" i="71"/>
  <c r="DF6" i="71" s="1"/>
  <c r="DF78" i="71" s="1"/>
  <c r="DE6" i="71"/>
  <c r="DE78" i="71" s="1"/>
  <c r="CZ78" i="71"/>
  <c r="CU82" i="71"/>
  <c r="CU78" i="71"/>
  <c r="CU77" i="71"/>
  <c r="CU76" i="71"/>
  <c r="CU74" i="71"/>
  <c r="CU73" i="71"/>
  <c r="CQ61" i="71"/>
  <c r="CU44" i="71"/>
  <c r="CU56" i="71" s="1"/>
  <c r="CQ56" i="71"/>
  <c r="CQ58" i="71" s="1"/>
  <c r="CQ89" i="71" s="1"/>
  <c r="CX82" i="71"/>
  <c r="CW82" i="71"/>
  <c r="CV82" i="71"/>
  <c r="CY82" i="71"/>
  <c r="DC55" i="71"/>
  <c r="DC82" i="71" s="1"/>
  <c r="DB55" i="71"/>
  <c r="DF55" i="71" s="1"/>
  <c r="DF82" i="71" s="1"/>
  <c r="DE55" i="71"/>
  <c r="DE82" i="71" s="1"/>
  <c r="CZ82" i="71"/>
  <c r="CV78" i="71"/>
  <c r="CV77" i="71"/>
  <c r="CV76" i="71"/>
  <c r="CV74" i="71"/>
  <c r="CV73" i="71"/>
  <c r="CR63" i="71"/>
  <c r="CR61" i="71"/>
  <c r="CX78" i="71"/>
  <c r="CW78" i="71"/>
  <c r="CY78" i="71"/>
  <c r="CX77" i="71"/>
  <c r="CW77" i="71"/>
  <c r="CY77" i="71"/>
  <c r="CX76" i="71"/>
  <c r="CW76" i="71"/>
  <c r="CY76" i="71"/>
  <c r="CX74" i="71"/>
  <c r="CW74" i="71"/>
  <c r="CY74" i="71"/>
  <c r="CX73" i="71"/>
  <c r="CW73" i="71"/>
  <c r="CY73" i="71"/>
  <c r="CW61" i="71"/>
  <c r="CV61" i="71"/>
  <c r="CU61" i="71"/>
  <c r="CT61" i="71"/>
  <c r="CS61" i="71"/>
  <c r="CX63" i="71"/>
  <c r="CX61" i="71"/>
  <c r="CX56" i="71"/>
  <c r="CX58" i="71" s="1"/>
  <c r="CX89" i="71" s="1"/>
  <c r="CW56" i="71"/>
  <c r="CW58" i="71" s="1"/>
  <c r="CW89" i="71" s="1"/>
  <c r="CT56" i="71"/>
  <c r="CT58" i="71" s="1"/>
  <c r="CT89" i="71" s="1"/>
  <c r="CS56" i="71"/>
  <c r="CS58" i="71" s="1"/>
  <c r="CS89" i="71" s="1"/>
  <c r="CR56" i="71"/>
  <c r="CR58" i="71" s="1"/>
  <c r="CR89" i="71" s="1"/>
  <c r="CU63" i="71"/>
  <c r="CY63" i="71"/>
  <c r="CY61" i="71"/>
  <c r="CY56" i="71"/>
  <c r="CY58" i="71" s="1"/>
  <c r="CY89" i="71" s="1"/>
  <c r="BV3" i="71"/>
  <c r="BZ3" i="71" s="1"/>
  <c r="BZ76" i="71" s="1"/>
  <c r="BV4" i="71"/>
  <c r="BZ4" i="71" s="1"/>
  <c r="BV6" i="71"/>
  <c r="BV78" i="71" s="1"/>
  <c r="BV10" i="71"/>
  <c r="BZ10" i="71" s="1"/>
  <c r="BR11" i="71"/>
  <c r="BV11" i="71" s="1"/>
  <c r="BZ11" i="71" s="1"/>
  <c r="BV29" i="71"/>
  <c r="BZ29" i="71" s="1"/>
  <c r="BU12" i="71"/>
  <c r="BV12" i="71" s="1"/>
  <c r="BV30" i="71"/>
  <c r="BZ30" i="71" s="1"/>
  <c r="BV17" i="71"/>
  <c r="BZ17" i="71" s="1"/>
  <c r="BU18" i="71"/>
  <c r="BV18" i="71" s="1"/>
  <c r="BU22" i="71"/>
  <c r="BV22" i="71" s="1"/>
  <c r="BW22" i="71" s="1"/>
  <c r="BX22" i="71" s="1"/>
  <c r="BY22" i="71" s="1"/>
  <c r="BZ22" i="71" s="1"/>
  <c r="BV23" i="71"/>
  <c r="BZ23" i="71" s="1"/>
  <c r="BU42" i="71"/>
  <c r="BV42" i="71" s="1"/>
  <c r="BU27" i="71"/>
  <c r="BV27" i="71" s="1"/>
  <c r="BW27" i="71" s="1"/>
  <c r="BX27" i="71" s="1"/>
  <c r="BY27" i="71" s="1"/>
  <c r="BZ27" i="71" s="1"/>
  <c r="BR44" i="71"/>
  <c r="BV44" i="71" s="1"/>
  <c r="BZ44" i="71" s="1"/>
  <c r="BV45" i="71"/>
  <c r="BZ45" i="71" s="1"/>
  <c r="BZ83" i="71" s="1"/>
  <c r="BV46" i="71"/>
  <c r="BZ46" i="71" s="1"/>
  <c r="BZ84" i="71" s="1"/>
  <c r="BR49" i="71"/>
  <c r="BV49" i="71" s="1"/>
  <c r="BZ49" i="71" s="1"/>
  <c r="BV50" i="71"/>
  <c r="BZ50" i="71" s="1"/>
  <c r="BV51" i="71"/>
  <c r="BZ51" i="71" s="1"/>
  <c r="BV53" i="71"/>
  <c r="BZ53" i="71" s="1"/>
  <c r="BZ87" i="71" s="1"/>
  <c r="BV55" i="71"/>
  <c r="BZ55" i="71" s="1"/>
  <c r="BU3" i="71"/>
  <c r="BU4" i="71"/>
  <c r="BY4" i="71" s="1"/>
  <c r="BY77" i="71" s="1"/>
  <c r="BU6" i="71"/>
  <c r="BY6" i="71" s="1"/>
  <c r="BY78" i="71" s="1"/>
  <c r="BU10" i="71"/>
  <c r="BY10" i="71" s="1"/>
  <c r="BQ11" i="71"/>
  <c r="BU11" i="71" s="1"/>
  <c r="BY11" i="71" s="1"/>
  <c r="BU29" i="71"/>
  <c r="BU30" i="71"/>
  <c r="BY30" i="71" s="1"/>
  <c r="BU17" i="71"/>
  <c r="BY17" i="71" s="1"/>
  <c r="BU23" i="71"/>
  <c r="BY23" i="71" s="1"/>
  <c r="BQ44" i="71"/>
  <c r="BU44" i="71" s="1"/>
  <c r="BY44" i="71" s="1"/>
  <c r="BU45" i="71"/>
  <c r="BY45" i="71" s="1"/>
  <c r="BY83" i="71" s="1"/>
  <c r="BU46" i="71"/>
  <c r="BY46" i="71" s="1"/>
  <c r="BY84" i="71" s="1"/>
  <c r="BQ49" i="71"/>
  <c r="BU49" i="71" s="1"/>
  <c r="BY49" i="71" s="1"/>
  <c r="BU50" i="71"/>
  <c r="BY50" i="71" s="1"/>
  <c r="BU51" i="71"/>
  <c r="BY51" i="71" s="1"/>
  <c r="BU53" i="71"/>
  <c r="BU87" i="71" s="1"/>
  <c r="BU55" i="71"/>
  <c r="BY55" i="71" s="1"/>
  <c r="BX3" i="71"/>
  <c r="BX76" i="71" s="1"/>
  <c r="BX4" i="71"/>
  <c r="BX77" i="71" s="1"/>
  <c r="BX6" i="71"/>
  <c r="BX78" i="71" s="1"/>
  <c r="BX10" i="71"/>
  <c r="BT11" i="71"/>
  <c r="BX29" i="71"/>
  <c r="BX30" i="71"/>
  <c r="BX17" i="71"/>
  <c r="BX23" i="71"/>
  <c r="BT44" i="71"/>
  <c r="BX44" i="71" s="1"/>
  <c r="BX45" i="71"/>
  <c r="BX83" i="71" s="1"/>
  <c r="BX46" i="71"/>
  <c r="BX84" i="71" s="1"/>
  <c r="BX49" i="71"/>
  <c r="BX50" i="71"/>
  <c r="BX51" i="71"/>
  <c r="BX53" i="71"/>
  <c r="BX87" i="71" s="1"/>
  <c r="BX55" i="71"/>
  <c r="BW3" i="71"/>
  <c r="BW76" i="71" s="1"/>
  <c r="BW4" i="71"/>
  <c r="BW77" i="71" s="1"/>
  <c r="BW6" i="71"/>
  <c r="BW78" i="71" s="1"/>
  <c r="BW10" i="71"/>
  <c r="BS11" i="71"/>
  <c r="BW11" i="71" s="1"/>
  <c r="BW29" i="71"/>
  <c r="BW30" i="71"/>
  <c r="BW17" i="71"/>
  <c r="BW23" i="71"/>
  <c r="BS44" i="71"/>
  <c r="BW45" i="71"/>
  <c r="BW83" i="71" s="1"/>
  <c r="BW46" i="71"/>
  <c r="BW84" i="71" s="1"/>
  <c r="BW49" i="71"/>
  <c r="BW50" i="71"/>
  <c r="BW51" i="71"/>
  <c r="BW53" i="71"/>
  <c r="BW87" i="71" s="1"/>
  <c r="BW55" i="71"/>
  <c r="BT64" i="71"/>
  <c r="BU69" i="71"/>
  <c r="BV69" i="71" s="1"/>
  <c r="BW69" i="71" s="1"/>
  <c r="BX69" i="71" s="1"/>
  <c r="BY69" i="71" s="1"/>
  <c r="BZ69" i="71" s="1"/>
  <c r="BU60" i="71"/>
  <c r="BY60" i="71" s="1"/>
  <c r="BY73" i="71" s="1"/>
  <c r="BX60" i="71"/>
  <c r="BX73" i="71" s="1"/>
  <c r="BW60" i="71"/>
  <c r="BW73" i="71" s="1"/>
  <c r="BV60" i="71"/>
  <c r="BZ60" i="71" s="1"/>
  <c r="BZ73" i="71" s="1"/>
  <c r="BU59" i="71"/>
  <c r="BY59" i="71" s="1"/>
  <c r="BY74" i="71" s="1"/>
  <c r="BX59" i="71"/>
  <c r="BX74" i="71" s="1"/>
  <c r="BW59" i="71"/>
  <c r="BW74" i="71" s="1"/>
  <c r="BV59" i="71"/>
  <c r="BZ59" i="71" s="1"/>
  <c r="BZ74" i="71" s="1"/>
  <c r="EG21" i="71"/>
  <c r="EH21" i="71" s="1"/>
  <c r="EI21" i="71" s="1"/>
  <c r="EJ21" i="71" s="1"/>
  <c r="EK21" i="71" s="1"/>
  <c r="EL21" i="71" s="1"/>
  <c r="FA71" i="71"/>
  <c r="BM77" i="71"/>
  <c r="BL77" i="71"/>
  <c r="BK77" i="71"/>
  <c r="BS77" i="71"/>
  <c r="BR77" i="71"/>
  <c r="BQ77" i="71"/>
  <c r="BP77" i="71"/>
  <c r="BO77" i="71"/>
  <c r="BN77" i="71"/>
  <c r="BT78" i="71"/>
  <c r="BL78" i="71"/>
  <c r="BK78" i="71"/>
  <c r="BR78" i="71"/>
  <c r="BQ78" i="71"/>
  <c r="BP78" i="71"/>
  <c r="BO78" i="71"/>
  <c r="BN78" i="71"/>
  <c r="BM78" i="71"/>
  <c r="BS78" i="71"/>
  <c r="BS76" i="71"/>
  <c r="BS87" i="71"/>
  <c r="BS84" i="71"/>
  <c r="BS83" i="71"/>
  <c r="BS74" i="71"/>
  <c r="BS73" i="71"/>
  <c r="BG49" i="71"/>
  <c r="BG104" i="71" s="1"/>
  <c r="BM49" i="71"/>
  <c r="BL49" i="71"/>
  <c r="BK49" i="71"/>
  <c r="BJ49" i="71"/>
  <c r="BJ104" i="71" s="1"/>
  <c r="BI49" i="71"/>
  <c r="BI104" i="71" s="1"/>
  <c r="BN49" i="71"/>
  <c r="BO49" i="71"/>
  <c r="BP49" i="71"/>
  <c r="EQ73" i="71"/>
  <c r="EP73" i="71"/>
  <c r="EO73" i="71"/>
  <c r="EM73" i="71"/>
  <c r="EL73" i="71"/>
  <c r="EK73" i="71"/>
  <c r="EJ73" i="71"/>
  <c r="EI73" i="71"/>
  <c r="EH73" i="71"/>
  <c r="EF51" i="71"/>
  <c r="EG51" i="71" s="1"/>
  <c r="EH51" i="71" s="1"/>
  <c r="EI51" i="71" s="1"/>
  <c r="EJ51" i="71" s="1"/>
  <c r="EK51" i="71" s="1"/>
  <c r="EL51" i="71" s="1"/>
  <c r="EF53" i="71"/>
  <c r="EG53" i="71" s="1"/>
  <c r="EH53" i="71" s="1"/>
  <c r="EI53" i="71" s="1"/>
  <c r="EJ53" i="71" s="1"/>
  <c r="EK53" i="71" s="1"/>
  <c r="EL53" i="71" s="1"/>
  <c r="EE53" i="71"/>
  <c r="ED53" i="71"/>
  <c r="EN2" i="71"/>
  <c r="EO2" i="71" s="1"/>
  <c r="EP2" i="71" s="1"/>
  <c r="EQ2" i="71" s="1"/>
  <c r="ER2" i="71" s="1"/>
  <c r="ES2" i="71" s="1"/>
  <c r="ET2" i="71" s="1"/>
  <c r="EU2" i="71" s="1"/>
  <c r="EV2" i="71" s="1"/>
  <c r="EW2" i="71" s="1"/>
  <c r="EF27" i="71"/>
  <c r="EG27" i="71" s="1"/>
  <c r="EH27" i="71" s="1"/>
  <c r="EI27" i="71" s="1"/>
  <c r="EJ27" i="71" s="1"/>
  <c r="EK27" i="71" s="1"/>
  <c r="EL27" i="71" s="1"/>
  <c r="EF69" i="71"/>
  <c r="EG69" i="71" s="1"/>
  <c r="EH69" i="71" s="1"/>
  <c r="EI69" i="71" s="1"/>
  <c r="EJ69" i="71" s="1"/>
  <c r="EK69" i="71" s="1"/>
  <c r="EL69" i="71" s="1"/>
  <c r="EM69" i="71" s="1"/>
  <c r="EE69" i="71"/>
  <c r="EF60" i="71"/>
  <c r="EE59" i="71"/>
  <c r="EE57" i="71"/>
  <c r="EF57" i="71"/>
  <c r="EF55" i="71"/>
  <c r="EG55" i="71" s="1"/>
  <c r="EF52" i="71"/>
  <c r="EF50" i="71"/>
  <c r="EG50" i="71" s="1"/>
  <c r="EH50" i="71" s="1"/>
  <c r="EI50" i="71" s="1"/>
  <c r="EJ50" i="71" s="1"/>
  <c r="EK50" i="71" s="1"/>
  <c r="EL50" i="71" s="1"/>
  <c r="EF46" i="71"/>
  <c r="EG46" i="71" s="1"/>
  <c r="EH46" i="71" s="1"/>
  <c r="EI46" i="71" s="1"/>
  <c r="EJ46" i="71" s="1"/>
  <c r="EK46" i="71" s="1"/>
  <c r="EL46" i="71" s="1"/>
  <c r="EF45" i="71"/>
  <c r="EG45" i="71" s="1"/>
  <c r="EH45" i="71" s="1"/>
  <c r="EI45" i="71" s="1"/>
  <c r="EJ45" i="71" s="1"/>
  <c r="EK45" i="71" s="1"/>
  <c r="EL45" i="71" s="1"/>
  <c r="EF23" i="71"/>
  <c r="EF42" i="71"/>
  <c r="EF17" i="71"/>
  <c r="EF21" i="71"/>
  <c r="EF15" i="71"/>
  <c r="EF30" i="71"/>
  <c r="EF12" i="71"/>
  <c r="EF29" i="71"/>
  <c r="EF10" i="71"/>
  <c r="EF6" i="71"/>
  <c r="EF4" i="71"/>
  <c r="EE3" i="71"/>
  <c r="EF3" i="71"/>
  <c r="BQ198" i="71"/>
  <c r="BR198" i="71" s="1"/>
  <c r="BP177" i="71"/>
  <c r="BP176" i="71" s="1"/>
  <c r="BP197" i="71"/>
  <c r="BQ197" i="71" s="1"/>
  <c r="BR197" i="71" s="1"/>
  <c r="BP196" i="71"/>
  <c r="BQ196" i="71" s="1"/>
  <c r="BR196" i="71" s="1"/>
  <c r="BP194" i="71"/>
  <c r="BQ194" i="71" s="1"/>
  <c r="BP192" i="71"/>
  <c r="BQ192" i="71" s="1"/>
  <c r="BR192" i="71" s="1"/>
  <c r="BP191" i="71"/>
  <c r="BQ191" i="71" s="1"/>
  <c r="BR191" i="71" s="1"/>
  <c r="BP190" i="71"/>
  <c r="BQ190" i="71" s="1"/>
  <c r="BR190" i="71" s="1"/>
  <c r="BP189" i="71"/>
  <c r="BQ189" i="71" s="1"/>
  <c r="BR189" i="71" s="1"/>
  <c r="BP188" i="71"/>
  <c r="BQ188" i="71" s="1"/>
  <c r="BR188" i="71" s="1"/>
  <c r="BP187" i="71"/>
  <c r="BQ187" i="71" s="1"/>
  <c r="BR187" i="71" s="1"/>
  <c r="BP186" i="71"/>
  <c r="BQ186" i="71" s="1"/>
  <c r="BR186" i="71" s="1"/>
  <c r="BP184" i="71"/>
  <c r="BQ184" i="71" s="1"/>
  <c r="BR184" i="71" s="1"/>
  <c r="BP183" i="71"/>
  <c r="BQ183" i="71" s="1"/>
  <c r="BR183" i="71" s="1"/>
  <c r="BP182" i="71"/>
  <c r="BQ182" i="71" s="1"/>
  <c r="BO185" i="71"/>
  <c r="BP185" i="71" s="1"/>
  <c r="BQ185" i="71" s="1"/>
  <c r="BR185" i="71" s="1"/>
  <c r="BN178" i="71"/>
  <c r="BM178" i="71"/>
  <c r="BL178" i="71"/>
  <c r="BK178" i="71"/>
  <c r="BJ178" i="71"/>
  <c r="BO174" i="71"/>
  <c r="BN174" i="71"/>
  <c r="BO176" i="71"/>
  <c r="BN176" i="71"/>
  <c r="BM176" i="71"/>
  <c r="BJ174" i="71"/>
  <c r="BJ146" i="71"/>
  <c r="BJ139" i="71"/>
  <c r="BJ144" i="71" s="1"/>
  <c r="BJ167" i="71"/>
  <c r="BJ157" i="71"/>
  <c r="BJ162" i="71" s="1"/>
  <c r="BK174" i="71"/>
  <c r="BK146" i="71"/>
  <c r="BK139" i="71"/>
  <c r="BK144" i="71" s="1"/>
  <c r="BK167" i="71"/>
  <c r="BK157" i="71"/>
  <c r="BK162" i="71" s="1"/>
  <c r="BL174" i="71"/>
  <c r="BL146" i="71"/>
  <c r="BL139" i="71"/>
  <c r="BL144" i="71" s="1"/>
  <c r="BL167" i="71"/>
  <c r="BL157" i="71"/>
  <c r="BL162" i="71" s="1"/>
  <c r="BM174" i="71"/>
  <c r="BM146" i="71"/>
  <c r="BM167" i="71"/>
  <c r="BM157" i="71"/>
  <c r="BM162" i="71" s="1"/>
  <c r="BM139" i="71"/>
  <c r="BM135" i="71" s="1"/>
  <c r="BP174" i="71"/>
  <c r="BR174" i="71"/>
  <c r="BR146" i="71"/>
  <c r="BR167" i="71"/>
  <c r="BR157" i="71"/>
  <c r="BR162" i="71" s="1"/>
  <c r="BR139" i="71"/>
  <c r="BR144" i="71" s="1"/>
  <c r="BP59" i="71"/>
  <c r="EF59" i="71" s="1"/>
  <c r="BT87" i="71"/>
  <c r="BT84" i="71"/>
  <c r="BT83" i="71"/>
  <c r="BQ174" i="71"/>
  <c r="BQ167" i="71"/>
  <c r="BQ157" i="71"/>
  <c r="BQ162" i="71" s="1"/>
  <c r="BQ146" i="71"/>
  <c r="BQ139" i="71"/>
  <c r="BQ135" i="71" s="1"/>
  <c r="BT76" i="71"/>
  <c r="BT77" i="71"/>
  <c r="BT73" i="71"/>
  <c r="BO178" i="71"/>
  <c r="EE55" i="71"/>
  <c r="EE111" i="71" s="1"/>
  <c r="EE209" i="71" s="1"/>
  <c r="EE52" i="71"/>
  <c r="EE51" i="71"/>
  <c r="EE50" i="71"/>
  <c r="EE46" i="71"/>
  <c r="EE45" i="71"/>
  <c r="ED27" i="71"/>
  <c r="ED23" i="71"/>
  <c r="EE27" i="71"/>
  <c r="EE34" i="71"/>
  <c r="EE23" i="71"/>
  <c r="EE42" i="71"/>
  <c r="EE21" i="71"/>
  <c r="EE17" i="71"/>
  <c r="EE15" i="71"/>
  <c r="EE30" i="71"/>
  <c r="EE12" i="71"/>
  <c r="BN146" i="71"/>
  <c r="BN139" i="71"/>
  <c r="BN144" i="71" s="1"/>
  <c r="BN167" i="71"/>
  <c r="BN157" i="71"/>
  <c r="BN162" i="71" s="1"/>
  <c r="BP167" i="71"/>
  <c r="BP157" i="71"/>
  <c r="BP162" i="71" s="1"/>
  <c r="BP146" i="71"/>
  <c r="BP139" i="71"/>
  <c r="BP144" i="71" s="1"/>
  <c r="EE20" i="71"/>
  <c r="EE29" i="71"/>
  <c r="ED29" i="71"/>
  <c r="ED20" i="71"/>
  <c r="EE10" i="71"/>
  <c r="ED10" i="71"/>
  <c r="EE6" i="71"/>
  <c r="ED6" i="71"/>
  <c r="EE4" i="71"/>
  <c r="ED4" i="71"/>
  <c r="BN64" i="71"/>
  <c r="EE64" i="71" s="1"/>
  <c r="BN44" i="71"/>
  <c r="BP44" i="71"/>
  <c r="BO64" i="71"/>
  <c r="EF64" i="71" s="1"/>
  <c r="BO44" i="71"/>
  <c r="BO11" i="71"/>
  <c r="BO167" i="71"/>
  <c r="BO157" i="71"/>
  <c r="BO162" i="71" s="1"/>
  <c r="BO146" i="71"/>
  <c r="BO139" i="71"/>
  <c r="BO144" i="71" s="1"/>
  <c r="BP11" i="71"/>
  <c r="BN11" i="71"/>
  <c r="ED3" i="71"/>
  <c r="BP84" i="71"/>
  <c r="BN84" i="71"/>
  <c r="BN83" i="71"/>
  <c r="BP87" i="71"/>
  <c r="BN87" i="71"/>
  <c r="BP76" i="71"/>
  <c r="BN76" i="71"/>
  <c r="BL74" i="71"/>
  <c r="BK74" i="71"/>
  <c r="BJ74" i="71"/>
  <c r="BI74" i="71"/>
  <c r="BH74" i="71"/>
  <c r="BG74" i="71"/>
  <c r="BF74" i="71"/>
  <c r="BE74" i="71"/>
  <c r="BD74" i="71"/>
  <c r="BM74" i="71"/>
  <c r="BQ73" i="71"/>
  <c r="BG73" i="71"/>
  <c r="BF73" i="71"/>
  <c r="BE73" i="71"/>
  <c r="BD73" i="71"/>
  <c r="BL73" i="71"/>
  <c r="BK73" i="71"/>
  <c r="BJ73" i="71"/>
  <c r="BI73" i="71"/>
  <c r="BH73" i="71"/>
  <c r="BM73" i="71"/>
  <c r="BP73" i="71"/>
  <c r="BO73" i="71"/>
  <c r="BQ74" i="71"/>
  <c r="BO74" i="71"/>
  <c r="BO87" i="71"/>
  <c r="BR84" i="71"/>
  <c r="BQ84" i="71"/>
  <c r="BR83" i="71"/>
  <c r="BP83" i="71"/>
  <c r="BO83" i="71"/>
  <c r="BM84" i="71"/>
  <c r="BM83" i="71"/>
  <c r="BM76" i="71"/>
  <c r="BM87" i="71"/>
  <c r="BK76" i="71"/>
  <c r="BK63" i="71"/>
  <c r="BG44" i="71"/>
  <c r="BI11" i="71"/>
  <c r="BI44" i="71" s="1"/>
  <c r="BM63" i="71"/>
  <c r="BO76" i="71"/>
  <c r="BQ76" i="71"/>
  <c r="BQ83" i="71"/>
  <c r="BQ87" i="71"/>
  <c r="BO84" i="71"/>
  <c r="BM44" i="71"/>
  <c r="BM11" i="71"/>
  <c r="BL87" i="71"/>
  <c r="BK87" i="71"/>
  <c r="BL84" i="71"/>
  <c r="BK84" i="71"/>
  <c r="BL83" i="71"/>
  <c r="BK83" i="71"/>
  <c r="EC3" i="71"/>
  <c r="EB3" i="71"/>
  <c r="BL66" i="71"/>
  <c r="EE66" i="71" s="1"/>
  <c r="BL76" i="71"/>
  <c r="BL44" i="71"/>
  <c r="BL11" i="71"/>
  <c r="BK11" i="71"/>
  <c r="ED69" i="71"/>
  <c r="ED60" i="71"/>
  <c r="ED59" i="71"/>
  <c r="ED122" i="71"/>
  <c r="EE60" i="71"/>
  <c r="BR73" i="71"/>
  <c r="BN73" i="71"/>
  <c r="BN74" i="71"/>
  <c r="BR74" i="71"/>
  <c r="BJ111" i="71"/>
  <c r="BJ66" i="71"/>
  <c r="ED66" i="71" s="1"/>
  <c r="BJ63" i="71"/>
  <c r="BJ87" i="71"/>
  <c r="BJ86" i="71"/>
  <c r="BJ85" i="71"/>
  <c r="BJ84" i="71"/>
  <c r="BJ83" i="71"/>
  <c r="BJ76" i="71"/>
  <c r="BJ44" i="71"/>
  <c r="BJ97" i="71" s="1"/>
  <c r="BF44" i="71"/>
  <c r="BF97" i="71" s="1"/>
  <c r="EC55" i="71"/>
  <c r="EC111" i="71" s="1"/>
  <c r="EC209" i="71" s="1"/>
  <c r="EC53" i="71"/>
  <c r="EC52" i="71"/>
  <c r="EC51" i="71"/>
  <c r="EC48" i="71"/>
  <c r="EC47" i="71"/>
  <c r="EC46" i="71"/>
  <c r="EC45" i="71"/>
  <c r="EC17" i="71"/>
  <c r="EC16" i="71"/>
  <c r="EC15" i="71"/>
  <c r="EC30" i="71"/>
  <c r="EC14" i="71"/>
  <c r="EC12" i="71"/>
  <c r="EC20" i="71"/>
  <c r="EC29" i="71"/>
  <c r="EC11" i="71"/>
  <c r="EC10" i="71"/>
  <c r="EC9" i="71"/>
  <c r="ED55" i="71"/>
  <c r="ED111" i="71" s="1"/>
  <c r="ED209" i="71" s="1"/>
  <c r="ED52" i="71"/>
  <c r="ED51" i="71"/>
  <c r="ED48" i="71"/>
  <c r="EE86" i="71" s="1"/>
  <c r="ED47" i="71"/>
  <c r="EE85" i="71" s="1"/>
  <c r="ED46" i="71"/>
  <c r="ED45" i="71"/>
  <c r="ED21" i="71"/>
  <c r="ED34" i="71"/>
  <c r="ED17" i="71"/>
  <c r="ED16" i="71"/>
  <c r="ED15" i="71"/>
  <c r="ED30" i="71"/>
  <c r="ED14" i="71"/>
  <c r="ED12" i="71"/>
  <c r="ED9" i="71"/>
  <c r="BE176" i="71"/>
  <c r="BD176" i="71"/>
  <c r="BH198" i="71"/>
  <c r="BI198" i="71" s="1"/>
  <c r="BH197" i="71"/>
  <c r="BI197" i="71" s="1"/>
  <c r="BH196" i="71"/>
  <c r="BI196" i="71" s="1"/>
  <c r="BH192" i="71"/>
  <c r="BI192" i="71" s="1"/>
  <c r="BH191" i="71"/>
  <c r="BI191" i="71" s="1"/>
  <c r="BH190" i="71"/>
  <c r="BI190" i="71" s="1"/>
  <c r="BH189" i="71"/>
  <c r="BI189" i="71" s="1"/>
  <c r="BH188" i="71"/>
  <c r="BI188" i="71" s="1"/>
  <c r="BH187" i="71"/>
  <c r="BI187" i="71" s="1"/>
  <c r="BH186" i="71"/>
  <c r="BI186" i="71" s="1"/>
  <c r="BH184" i="71"/>
  <c r="BI184" i="71" s="1"/>
  <c r="BH183" i="71"/>
  <c r="BI183" i="71" s="1"/>
  <c r="BH182" i="71"/>
  <c r="BI182" i="71" s="1"/>
  <c r="BH177" i="71"/>
  <c r="BH157" i="71"/>
  <c r="BH162" i="71" s="1"/>
  <c r="BH146" i="71"/>
  <c r="BH139" i="71"/>
  <c r="BH135" i="71" s="1"/>
  <c r="BH167" i="71"/>
  <c r="BH170" i="71" s="1"/>
  <c r="BD196" i="71"/>
  <c r="BE196" i="71" s="1"/>
  <c r="BF196" i="71" s="1"/>
  <c r="BG194" i="71"/>
  <c r="BH194" i="71" s="1"/>
  <c r="BG193" i="71"/>
  <c r="BC178" i="71"/>
  <c r="BF177" i="71"/>
  <c r="BG157" i="71"/>
  <c r="BG162" i="71" s="1"/>
  <c r="BG146" i="71"/>
  <c r="BG139" i="71"/>
  <c r="BG167" i="71"/>
  <c r="BI146" i="71"/>
  <c r="BI139" i="71"/>
  <c r="BI135" i="71" s="1"/>
  <c r="BI167" i="71"/>
  <c r="BI157" i="71"/>
  <c r="BI162" i="71" s="1"/>
  <c r="BI111" i="71"/>
  <c r="BH111" i="71"/>
  <c r="BH104" i="71"/>
  <c r="BI87" i="71"/>
  <c r="BI86" i="71"/>
  <c r="BI85" i="71"/>
  <c r="BI84" i="71"/>
  <c r="BI83" i="71"/>
  <c r="BI76" i="71"/>
  <c r="BH83" i="71"/>
  <c r="BH76" i="71"/>
  <c r="BI63" i="71"/>
  <c r="BH44" i="71"/>
  <c r="BH97" i="71" s="1"/>
  <c r="BR76" i="71"/>
  <c r="BH87" i="71"/>
  <c r="BH86" i="71"/>
  <c r="BH85" i="71"/>
  <c r="BH84" i="71"/>
  <c r="BH63" i="71"/>
  <c r="BG63" i="71"/>
  <c r="BG111" i="71"/>
  <c r="BG87" i="71"/>
  <c r="BG86" i="71"/>
  <c r="BG85" i="71"/>
  <c r="BG84" i="71"/>
  <c r="BG83" i="71"/>
  <c r="BG76" i="71"/>
  <c r="BE111" i="71"/>
  <c r="BF111" i="71"/>
  <c r="BD111" i="71"/>
  <c r="BC111" i="71"/>
  <c r="BC113" i="71" s="1"/>
  <c r="BE104" i="71"/>
  <c r="BF104" i="71"/>
  <c r="BD104" i="71"/>
  <c r="BC104" i="71"/>
  <c r="BC106" i="71" s="1"/>
  <c r="BF167" i="71"/>
  <c r="BF170" i="71" s="1"/>
  <c r="BF157" i="71"/>
  <c r="BF162" i="71" s="1"/>
  <c r="BF146" i="71"/>
  <c r="BF139" i="71"/>
  <c r="BF135" i="71" s="1"/>
  <c r="BF87" i="71"/>
  <c r="BF86" i="71"/>
  <c r="BF85" i="71"/>
  <c r="BF84" i="71"/>
  <c r="BF83" i="71"/>
  <c r="BF76" i="71"/>
  <c r="BF66" i="71"/>
  <c r="BF64" i="71"/>
  <c r="EA11" i="71"/>
  <c r="EA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67" i="71"/>
  <c r="BE170" i="71" s="1"/>
  <c r="BL66" i="9"/>
  <c r="BL68" i="9"/>
  <c r="EC63" i="71"/>
  <c r="EC69" i="71"/>
  <c r="EC217" i="71" s="1"/>
  <c r="EC60" i="71"/>
  <c r="EC59" i="71"/>
  <c r="BD198" i="71"/>
  <c r="BE198" i="71" s="1"/>
  <c r="BF198" i="71" s="1"/>
  <c r="BD197" i="71"/>
  <c r="BE197" i="71" s="1"/>
  <c r="BF197" i="71" s="1"/>
  <c r="BD194" i="71"/>
  <c r="BD178" i="71" s="1"/>
  <c r="BD192" i="71"/>
  <c r="BE192" i="71" s="1"/>
  <c r="BF192" i="71" s="1"/>
  <c r="BD191" i="71"/>
  <c r="BE191" i="71" s="1"/>
  <c r="BF191" i="71" s="1"/>
  <c r="BD190" i="71"/>
  <c r="BE190" i="71" s="1"/>
  <c r="BF190" i="71" s="1"/>
  <c r="BD189" i="71"/>
  <c r="BE189" i="71" s="1"/>
  <c r="BF189" i="71" s="1"/>
  <c r="BD188" i="71"/>
  <c r="BE188" i="71" s="1"/>
  <c r="BF188" i="71" s="1"/>
  <c r="BD187" i="71"/>
  <c r="BE187" i="71" s="1"/>
  <c r="BF187" i="71" s="1"/>
  <c r="BD186" i="71"/>
  <c r="BE186" i="71" s="1"/>
  <c r="BF186" i="71" s="1"/>
  <c r="BD185" i="71"/>
  <c r="BE185" i="71" s="1"/>
  <c r="BF185" i="71" s="1"/>
  <c r="BD184" i="71"/>
  <c r="BE184" i="71" s="1"/>
  <c r="BF184" i="71" s="1"/>
  <c r="BD183" i="71"/>
  <c r="BE183" i="71" s="1"/>
  <c r="BF183" i="71" s="1"/>
  <c r="BD182" i="71"/>
  <c r="BE182" i="71" s="1"/>
  <c r="AT170" i="71"/>
  <c r="AU170" i="71"/>
  <c r="AV170" i="71"/>
  <c r="AW170" i="71"/>
  <c r="AX170" i="71"/>
  <c r="AY170" i="71"/>
  <c r="AZ170" i="71"/>
  <c r="BA170" i="71"/>
  <c r="BB170" i="71"/>
  <c r="BC170" i="71"/>
  <c r="BD170" i="71"/>
  <c r="BD146" i="71"/>
  <c r="BD139" i="71"/>
  <c r="BD135" i="71" s="1"/>
  <c r="BD157" i="71"/>
  <c r="BD162" i="71" s="1"/>
  <c r="BD168" i="71" s="1"/>
  <c r="BE157" i="71"/>
  <c r="BE162" i="71" s="1"/>
  <c r="BE146" i="71"/>
  <c r="BE139" i="71"/>
  <c r="BE144" i="71" s="1"/>
  <c r="BE87" i="71"/>
  <c r="BE86" i="71"/>
  <c r="BE85" i="71"/>
  <c r="BE84" i="71"/>
  <c r="BE83" i="71"/>
  <c r="BE76" i="71"/>
  <c r="BE44" i="71"/>
  <c r="BE97" i="71" s="1"/>
  <c r="S15" i="74"/>
  <c r="S16" i="74"/>
  <c r="BD66" i="71"/>
  <c r="AH84" i="71"/>
  <c r="AG84" i="71"/>
  <c r="AF84" i="71"/>
  <c r="AE84" i="71"/>
  <c r="AO84" i="71"/>
  <c r="AN84" i="71"/>
  <c r="AM84" i="71"/>
  <c r="AL84" i="71"/>
  <c r="AK84" i="71"/>
  <c r="AJ84" i="71"/>
  <c r="AI84" i="71"/>
  <c r="AW84" i="71"/>
  <c r="AV84" i="71"/>
  <c r="AU84" i="71"/>
  <c r="AT84" i="71"/>
  <c r="AS84" i="71"/>
  <c r="AR84" i="71"/>
  <c r="AQ84" i="71"/>
  <c r="AP84" i="71"/>
  <c r="BD44" i="71"/>
  <c r="BD97" i="71" s="1"/>
  <c r="BC76" i="71"/>
  <c r="ED214" i="71"/>
  <c r="EC214" i="71"/>
  <c r="EB214" i="71"/>
  <c r="EA214" i="71"/>
  <c r="DZ214" i="71"/>
  <c r="DY214" i="71"/>
  <c r="DX214" i="71"/>
  <c r="DW214" i="71"/>
  <c r="DV214" i="71"/>
  <c r="DU214" i="71"/>
  <c r="DT214" i="71"/>
  <c r="DS214" i="71"/>
  <c r="DR214" i="71"/>
  <c r="DQ214" i="71"/>
  <c r="DP214" i="71"/>
  <c r="DO214" i="71"/>
  <c r="DN214" i="71"/>
  <c r="DM214" i="71"/>
  <c r="DL214" i="71"/>
  <c r="DK214" i="71"/>
  <c r="DJ214" i="71"/>
  <c r="DI214" i="71"/>
  <c r="DY217" i="71"/>
  <c r="DT217" i="71"/>
  <c r="S14" i="74"/>
  <c r="S13" i="74"/>
  <c r="S12" i="74"/>
  <c r="S11" i="74"/>
  <c r="S10" i="74"/>
  <c r="S9" i="74"/>
  <c r="S8" i="74"/>
  <c r="S7" i="74"/>
  <c r="S6" i="74"/>
  <c r="S5" i="74"/>
  <c r="BD86" i="71"/>
  <c r="BD84" i="71"/>
  <c r="BD76" i="71"/>
  <c r="BD87" i="71"/>
  <c r="BD85" i="71"/>
  <c r="BD83" i="71"/>
  <c r="BC238" i="71"/>
  <c r="BB238" i="71"/>
  <c r="BA238" i="71"/>
  <c r="AZ238" i="71"/>
  <c r="AY238" i="71"/>
  <c r="AX238" i="71"/>
  <c r="AW238" i="71"/>
  <c r="AV238" i="71"/>
  <c r="AU238" i="71"/>
  <c r="AY242" i="71"/>
  <c r="AX242" i="71"/>
  <c r="AU242" i="71"/>
  <c r="AT242" i="71"/>
  <c r="AS242" i="71"/>
  <c r="AR242" i="71"/>
  <c r="AQ242" i="71"/>
  <c r="BC242" i="71"/>
  <c r="AU237" i="71"/>
  <c r="AV237" i="71"/>
  <c r="AW237" i="71"/>
  <c r="AX237" i="71"/>
  <c r="BC237" i="71"/>
  <c r="BB237" i="71"/>
  <c r="BA237" i="71"/>
  <c r="AZ237" i="71"/>
  <c r="AY237" i="71"/>
  <c r="BD237" i="71"/>
  <c r="AY178" i="71"/>
  <c r="BC193" i="71"/>
  <c r="BC195" i="71" s="1"/>
  <c r="BC146" i="71"/>
  <c r="BC139" i="71"/>
  <c r="BC135" i="71" s="1"/>
  <c r="BC157" i="71"/>
  <c r="BC162" i="71" s="1"/>
  <c r="BC168" i="71" s="1"/>
  <c r="BC86" i="71"/>
  <c r="BC85" i="71"/>
  <c r="AU37" i="22"/>
  <c r="AU36" i="22"/>
  <c r="AU34" i="22"/>
  <c r="AU33" i="22"/>
  <c r="AU31" i="22"/>
  <c r="AU30" i="22"/>
  <c r="AU28" i="22"/>
  <c r="AU27" i="22"/>
  <c r="AU24" i="22"/>
  <c r="AU23" i="22"/>
  <c r="AU18" i="22"/>
  <c r="AU50" i="22"/>
  <c r="AU15" i="22"/>
  <c r="AU49" i="22"/>
  <c r="AU12" i="22"/>
  <c r="AU48" i="22"/>
  <c r="AU9" i="22"/>
  <c r="AQ6" i="22"/>
  <c r="AU26" i="22"/>
  <c r="AU3" i="22"/>
  <c r="AU45" i="22"/>
  <c r="AT4" i="22"/>
  <c r="BC66" i="71"/>
  <c r="BC64" i="71"/>
  <c r="BC87" i="71"/>
  <c r="BC84" i="71"/>
  <c r="BC83" i="71"/>
  <c r="BC44" i="71"/>
  <c r="BC97" i="71" s="1"/>
  <c r="AZ182" i="71"/>
  <c r="BA182" i="71" s="1"/>
  <c r="BB182" i="71" s="1"/>
  <c r="AY193" i="71"/>
  <c r="AY195" i="71" s="1"/>
  <c r="BB146" i="71"/>
  <c r="BB139" i="71"/>
  <c r="BB144" i="71" s="1"/>
  <c r="BB157" i="71"/>
  <c r="BB162" i="71" s="1"/>
  <c r="BB168" i="71" s="1"/>
  <c r="BA146" i="71"/>
  <c r="BA139" i="71"/>
  <c r="BA135" i="71" s="1"/>
  <c r="BA157" i="71"/>
  <c r="BA162" i="71" s="1"/>
  <c r="BA168" i="71" s="1"/>
  <c r="EA134" i="71"/>
  <c r="DZ134" i="71"/>
  <c r="EB134" i="71"/>
  <c r="EB157" i="71"/>
  <c r="EB162" i="71" s="1"/>
  <c r="EB146" i="71"/>
  <c r="EB139" i="71"/>
  <c r="EB135" i="71" s="1"/>
  <c r="DZ122" i="71"/>
  <c r="EA122" i="71"/>
  <c r="EB122" i="71"/>
  <c r="EB55" i="71"/>
  <c r="EB111" i="71" s="1"/>
  <c r="EB53" i="71"/>
  <c r="EB52" i="71"/>
  <c r="EB51" i="71"/>
  <c r="EB48" i="71"/>
  <c r="EB47" i="71"/>
  <c r="EB46" i="71"/>
  <c r="EB45" i="71"/>
  <c r="BB66" i="71"/>
  <c r="BB64" i="71"/>
  <c r="BB57" i="71"/>
  <c r="BB87" i="71"/>
  <c r="BB86" i="71"/>
  <c r="BB85" i="71"/>
  <c r="BB84" i="71"/>
  <c r="BB83" i="71"/>
  <c r="BB76" i="71"/>
  <c r="BB44" i="71"/>
  <c r="BB56" i="71" s="1"/>
  <c r="BA87" i="71"/>
  <c r="BA86" i="71"/>
  <c r="BA85" i="71"/>
  <c r="BA84" i="71"/>
  <c r="BA83" i="71"/>
  <c r="BA76" i="71"/>
  <c r="BA44" i="71"/>
  <c r="BA56" i="71" s="1"/>
  <c r="BA90" i="71" s="1"/>
  <c r="C55" i="29"/>
  <c r="C56" i="29"/>
  <c r="C57" i="29"/>
  <c r="C58" i="29"/>
  <c r="C59" i="29"/>
  <c r="C60" i="29"/>
  <c r="C61" i="29"/>
  <c r="C62" i="29"/>
  <c r="AZ87" i="71"/>
  <c r="AZ86" i="71"/>
  <c r="AZ85" i="71"/>
  <c r="AZ84" i="71"/>
  <c r="AZ83" i="71"/>
  <c r="AY83" i="71"/>
  <c r="AX83" i="71"/>
  <c r="AY84" i="71"/>
  <c r="AX84" i="71"/>
  <c r="EB9" i="71"/>
  <c r="AE4" i="40"/>
  <c r="AD4" i="40"/>
  <c r="K4" i="40"/>
  <c r="AC4" i="40"/>
  <c r="G4" i="40"/>
  <c r="AB4" i="40"/>
  <c r="AE3" i="40"/>
  <c r="AD3" i="40"/>
  <c r="AC3" i="40"/>
  <c r="AB3" i="40"/>
  <c r="AZ198" i="71"/>
  <c r="BA198" i="71" s="1"/>
  <c r="BB198" i="71" s="1"/>
  <c r="AZ197" i="71"/>
  <c r="BA197" i="71" s="1"/>
  <c r="BB197" i="71" s="1"/>
  <c r="AZ196" i="71"/>
  <c r="BA196" i="71" s="1"/>
  <c r="BB196" i="71" s="1"/>
  <c r="AZ194" i="71"/>
  <c r="BA194" i="71" s="1"/>
  <c r="BB194" i="71" s="1"/>
  <c r="BB178" i="71" s="1"/>
  <c r="AZ192" i="71"/>
  <c r="BA192" i="71" s="1"/>
  <c r="BB192" i="71" s="1"/>
  <c r="AZ191" i="71"/>
  <c r="BA191" i="71" s="1"/>
  <c r="BB191" i="71" s="1"/>
  <c r="AZ190" i="71"/>
  <c r="BA190" i="71" s="1"/>
  <c r="BB190" i="71" s="1"/>
  <c r="AZ189" i="71"/>
  <c r="AZ188" i="71"/>
  <c r="BA188" i="71" s="1"/>
  <c r="BB188" i="71" s="1"/>
  <c r="AZ187" i="71"/>
  <c r="BA187" i="71" s="1"/>
  <c r="BB187" i="71" s="1"/>
  <c r="AZ186" i="71"/>
  <c r="BA186" i="71" s="1"/>
  <c r="BB186" i="71" s="1"/>
  <c r="AZ184" i="71"/>
  <c r="BA184" i="71" s="1"/>
  <c r="AZ183" i="71"/>
  <c r="BA183" i="71" s="1"/>
  <c r="BB183" i="71" s="1"/>
  <c r="AZ157" i="71"/>
  <c r="AZ162" i="71" s="1"/>
  <c r="AZ168" i="71" s="1"/>
  <c r="AZ146" i="71"/>
  <c r="AZ139" i="71"/>
  <c r="AZ135" i="71" s="1"/>
  <c r="AS196" i="71"/>
  <c r="AT196" i="71" s="1"/>
  <c r="AR198" i="71"/>
  <c r="AS198" i="71" s="1"/>
  <c r="AT198" i="71" s="1"/>
  <c r="AR197" i="71"/>
  <c r="AS197" i="71" s="1"/>
  <c r="AT197" i="71" s="1"/>
  <c r="AU196" i="71"/>
  <c r="AV196" i="71" s="1"/>
  <c r="AW196" i="71" s="1"/>
  <c r="AX196" i="71" s="1"/>
  <c r="AV198" i="71"/>
  <c r="AW198" i="71" s="1"/>
  <c r="AX198" i="71" s="1"/>
  <c r="AV197" i="71"/>
  <c r="AW197" i="71" s="1"/>
  <c r="AX197" i="71" s="1"/>
  <c r="AV177" i="71"/>
  <c r="AW177" i="71" s="1"/>
  <c r="AX177" i="71" s="1"/>
  <c r="AY139" i="71"/>
  <c r="AY144" i="71" s="1"/>
  <c r="AW157" i="71"/>
  <c r="AW162" i="71" s="1"/>
  <c r="AW168" i="71" s="1"/>
  <c r="AW146" i="71"/>
  <c r="AW139" i="71"/>
  <c r="AW135" i="71" s="1"/>
  <c r="AX146" i="71"/>
  <c r="AX139" i="71"/>
  <c r="AX135" i="71" s="1"/>
  <c r="AX157" i="71"/>
  <c r="AX162" i="71" s="1"/>
  <c r="AX168" i="71" s="1"/>
  <c r="AY157" i="71"/>
  <c r="AY162" i="71" s="1"/>
  <c r="AY168" i="71" s="1"/>
  <c r="AY146" i="71"/>
  <c r="DY139" i="71"/>
  <c r="DY144" i="71" s="1"/>
  <c r="AM139" i="71"/>
  <c r="AM144" i="71" s="1"/>
  <c r="BB111" i="71"/>
  <c r="BA111" i="71"/>
  <c r="EB63" i="71"/>
  <c r="AZ44" i="71"/>
  <c r="AZ56" i="71" s="1"/>
  <c r="AZ58" i="71" s="1"/>
  <c r="AZ89"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1" i="71"/>
  <c r="AZ233" i="71" s="1"/>
  <c r="AZ104" i="71"/>
  <c r="DQ16" i="71"/>
  <c r="DO29" i="71"/>
  <c r="DN29"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4" i="42"/>
  <c r="D54" i="42" s="1"/>
  <c r="E54" i="42" s="1"/>
  <c r="F54" i="42" s="1"/>
  <c r="G54" i="42" s="1"/>
  <c r="H54" i="42" s="1"/>
  <c r="I54" i="42" s="1"/>
  <c r="J54" i="42" s="1"/>
  <c r="K54" i="42" s="1"/>
  <c r="L54" i="42" s="1"/>
  <c r="M54" i="42" s="1"/>
  <c r="N54" i="42" s="1"/>
  <c r="O54" i="42" s="1"/>
  <c r="P54" i="42" s="1"/>
  <c r="B56" i="42"/>
  <c r="R56" i="42" s="1"/>
  <c r="C56" i="42"/>
  <c r="D56" i="42"/>
  <c r="E56" i="42"/>
  <c r="G56" i="42"/>
  <c r="H56" i="42"/>
  <c r="I56" i="42"/>
  <c r="X56" i="42" s="1"/>
  <c r="N56" i="42"/>
  <c r="O56" i="42"/>
  <c r="AE56" i="42" s="1"/>
  <c r="P56" i="42"/>
  <c r="J57" i="42"/>
  <c r="J69" i="42" s="1"/>
  <c r="K57" i="42"/>
  <c r="K56" i="42" s="1"/>
  <c r="L57" i="42"/>
  <c r="AB57" i="42" s="1"/>
  <c r="R57" i="42"/>
  <c r="S57" i="42"/>
  <c r="T57" i="42"/>
  <c r="U57" i="42"/>
  <c r="V57" i="42"/>
  <c r="W57" i="42"/>
  <c r="X57" i="42"/>
  <c r="AC57" i="42"/>
  <c r="AD57" i="42"/>
  <c r="AE57" i="42"/>
  <c r="F58" i="42"/>
  <c r="V58" i="42" s="1"/>
  <c r="L58" i="42"/>
  <c r="M58" i="42" s="1"/>
  <c r="R58" i="42"/>
  <c r="S58" i="42"/>
  <c r="T58" i="42"/>
  <c r="W58" i="42"/>
  <c r="X58" i="42"/>
  <c r="Y58" i="42"/>
  <c r="Z58" i="42"/>
  <c r="AD58" i="42"/>
  <c r="AE58" i="42"/>
  <c r="B59" i="42"/>
  <c r="R59" i="42" s="1"/>
  <c r="C59" i="42"/>
  <c r="D59" i="42"/>
  <c r="E59" i="42"/>
  <c r="F59" i="42"/>
  <c r="G59" i="42"/>
  <c r="V59" i="42" s="1"/>
  <c r="H59" i="42"/>
  <c r="I59" i="42"/>
  <c r="J59" i="42"/>
  <c r="Z59" i="42" s="1"/>
  <c r="K59" i="42"/>
  <c r="L59" i="42"/>
  <c r="AB59" i="42" s="1"/>
  <c r="M59" i="42"/>
  <c r="N59" i="42"/>
  <c r="O59" i="42"/>
  <c r="P59" i="42"/>
  <c r="R60" i="42"/>
  <c r="S60" i="42"/>
  <c r="T60" i="42"/>
  <c r="U60" i="42"/>
  <c r="V60" i="42"/>
  <c r="W60" i="42"/>
  <c r="X60" i="42"/>
  <c r="Y60" i="42"/>
  <c r="Z60" i="42"/>
  <c r="AA60" i="42"/>
  <c r="AB60" i="42"/>
  <c r="AC60" i="42"/>
  <c r="AD60" i="42"/>
  <c r="AE60" i="42"/>
  <c r="R61" i="42"/>
  <c r="S61" i="42"/>
  <c r="T61" i="42"/>
  <c r="U61" i="42"/>
  <c r="V61" i="42"/>
  <c r="W61" i="42"/>
  <c r="X61" i="42"/>
  <c r="Y61" i="42"/>
  <c r="Z61" i="42"/>
  <c r="AA61" i="42"/>
  <c r="AB61" i="42"/>
  <c r="AC61" i="42"/>
  <c r="AD61" i="42"/>
  <c r="AE61" i="42"/>
  <c r="B62" i="42"/>
  <c r="C62" i="42"/>
  <c r="D62" i="42"/>
  <c r="E62" i="42"/>
  <c r="T62" i="42" s="1"/>
  <c r="F62" i="42"/>
  <c r="U62" i="42" s="1"/>
  <c r="G62" i="42"/>
  <c r="V62" i="42" s="1"/>
  <c r="H62" i="42"/>
  <c r="I62" i="42"/>
  <c r="J62" i="42"/>
  <c r="K62" i="42"/>
  <c r="L62" i="42"/>
  <c r="S63" i="42"/>
  <c r="T63" i="42"/>
  <c r="U63" i="42"/>
  <c r="V63" i="42"/>
  <c r="W63" i="42"/>
  <c r="X63" i="42"/>
  <c r="Y63" i="42"/>
  <c r="Z63" i="42"/>
  <c r="AA63" i="42"/>
  <c r="AB63" i="42"/>
  <c r="AC63" i="42"/>
  <c r="AD63" i="42"/>
  <c r="AE63" i="42"/>
  <c r="M64" i="42"/>
  <c r="N64" i="42" s="1"/>
  <c r="S64" i="42"/>
  <c r="T64" i="42"/>
  <c r="U64" i="42"/>
  <c r="V64" i="42"/>
  <c r="W64" i="42"/>
  <c r="X64" i="42"/>
  <c r="Y64" i="42"/>
  <c r="Z64" i="42"/>
  <c r="AA64" i="42"/>
  <c r="E65" i="42"/>
  <c r="F65" i="42"/>
  <c r="G65" i="42"/>
  <c r="H65" i="42"/>
  <c r="I66" i="42"/>
  <c r="J66" i="42" s="1"/>
  <c r="K66" i="42" s="1"/>
  <c r="U66" i="42"/>
  <c r="V66" i="42"/>
  <c r="W66" i="42"/>
  <c r="I67" i="42"/>
  <c r="J67" i="42" s="1"/>
  <c r="U67" i="42"/>
  <c r="V67" i="42"/>
  <c r="W67" i="42"/>
  <c r="B69" i="42"/>
  <c r="C84" i="40" s="1"/>
  <c r="C83" i="40" s="1"/>
  <c r="C69" i="42"/>
  <c r="D69" i="42"/>
  <c r="D68" i="42" s="1"/>
  <c r="E69" i="42"/>
  <c r="F84" i="40" s="1"/>
  <c r="F83" i="40" s="1"/>
  <c r="F69" i="42"/>
  <c r="U69" i="42" s="1"/>
  <c r="G69" i="42"/>
  <c r="G68" i="42" s="1"/>
  <c r="H69" i="42"/>
  <c r="W69" i="42" s="1"/>
  <c r="B70" i="42"/>
  <c r="C85" i="40" s="1"/>
  <c r="C70" i="42"/>
  <c r="D85" i="40" s="1"/>
  <c r="D70" i="42"/>
  <c r="E85" i="40" s="1"/>
  <c r="E70" i="42"/>
  <c r="G70" i="42"/>
  <c r="H70"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0" i="71"/>
  <c r="L100" i="71"/>
  <c r="M100" i="71"/>
  <c r="N100" i="71"/>
  <c r="O100" i="71"/>
  <c r="P100" i="71"/>
  <c r="Q100" i="71"/>
  <c r="R100" i="71"/>
  <c r="E2" i="45"/>
  <c r="F2" i="45"/>
  <c r="G2" i="45"/>
  <c r="H2" i="45"/>
  <c r="I2" i="45"/>
  <c r="J2" i="45"/>
  <c r="K2" i="45"/>
  <c r="L2" i="45"/>
  <c r="M2" i="45"/>
  <c r="N2" i="45"/>
  <c r="O2" i="45"/>
  <c r="P2" i="45"/>
  <c r="Q2" i="45"/>
  <c r="R2" i="45"/>
  <c r="S2" i="45"/>
  <c r="T2" i="45"/>
  <c r="U2" i="45"/>
  <c r="V2" i="45"/>
  <c r="W2" i="45"/>
  <c r="X2" i="45"/>
  <c r="S100" i="71"/>
  <c r="T100" i="71"/>
  <c r="U100" i="71"/>
  <c r="V100" i="71"/>
  <c r="W100" i="71"/>
  <c r="X100" i="71"/>
  <c r="Y100" i="71"/>
  <c r="S64" i="71"/>
  <c r="M65" i="9"/>
  <c r="DW55" i="71"/>
  <c r="DW53" i="71"/>
  <c r="DW52" i="71"/>
  <c r="DW46" i="71"/>
  <c r="DW47" i="71"/>
  <c r="DW48" i="71"/>
  <c r="DX55" i="71"/>
  <c r="DX111" i="71" s="1"/>
  <c r="DX53" i="71"/>
  <c r="DX52" i="71"/>
  <c r="DX45" i="71"/>
  <c r="DX46" i="71"/>
  <c r="DX47" i="71"/>
  <c r="DX48" i="71"/>
  <c r="DW45" i="71"/>
  <c r="DS44" i="71"/>
  <c r="DT44" i="71"/>
  <c r="DU44" i="71"/>
  <c r="DV44" i="71"/>
  <c r="DV55" i="71"/>
  <c r="DV54" i="71"/>
  <c r="DV53" i="71"/>
  <c r="DV52" i="71"/>
  <c r="DV48" i="71"/>
  <c r="DV47" i="71"/>
  <c r="DV46" i="71"/>
  <c r="DV45" i="71"/>
  <c r="DU54" i="71"/>
  <c r="DU53" i="71"/>
  <c r="DU52" i="71"/>
  <c r="DU48" i="71"/>
  <c r="DU47" i="71"/>
  <c r="DU46" i="71"/>
  <c r="DU45" i="71"/>
  <c r="S45" i="71"/>
  <c r="DT45" i="71" s="1"/>
  <c r="R45" i="71"/>
  <c r="Q45" i="71"/>
  <c r="P45" i="71"/>
  <c r="O45" i="71"/>
  <c r="AN16" i="71"/>
  <c r="AM16" i="71"/>
  <c r="AL16" i="71"/>
  <c r="AL36" i="71"/>
  <c r="AK36" i="71"/>
  <c r="AJ36" i="71"/>
  <c r="AI36" i="71"/>
  <c r="AH36" i="71"/>
  <c r="AG36" i="71"/>
  <c r="AF36" i="71"/>
  <c r="AE36" i="71"/>
  <c r="AD36" i="71"/>
  <c r="AC36" i="71"/>
  <c r="AB36" i="71"/>
  <c r="AA36" i="71"/>
  <c r="Z36" i="71"/>
  <c r="Y36" i="71"/>
  <c r="X36" i="71"/>
  <c r="W36" i="71"/>
  <c r="V36" i="71"/>
  <c r="U36" i="71"/>
  <c r="T36" i="71"/>
  <c r="S36" i="71"/>
  <c r="AN8" i="71"/>
  <c r="AM8" i="71"/>
  <c r="AL8" i="71"/>
  <c r="S8" i="71"/>
  <c r="R8" i="71"/>
  <c r="Q8" i="71"/>
  <c r="P8" i="71"/>
  <c r="O8" i="71"/>
  <c r="AN3" i="71"/>
  <c r="AR76" i="71" s="1"/>
  <c r="AM3" i="71"/>
  <c r="AQ76" i="71" s="1"/>
  <c r="AL3" i="71"/>
  <c r="AP76" i="71" s="1"/>
  <c r="AK3" i="71"/>
  <c r="AO76" i="71" s="1"/>
  <c r="AJ3" i="71"/>
  <c r="AI3" i="71"/>
  <c r="AH3" i="71"/>
  <c r="AG3" i="71"/>
  <c r="AF3" i="71"/>
  <c r="AE3" i="71"/>
  <c r="AD3" i="71"/>
  <c r="AC3" i="71"/>
  <c r="AB3" i="71"/>
  <c r="AA3" i="71"/>
  <c r="Z3" i="71"/>
  <c r="Y3" i="71"/>
  <c r="X3" i="71"/>
  <c r="W3" i="71"/>
  <c r="V3" i="71"/>
  <c r="U3" i="71"/>
  <c r="T3" i="71"/>
  <c r="S3" i="71"/>
  <c r="R3" i="71"/>
  <c r="R76" i="71" s="1"/>
  <c r="Q3" i="71"/>
  <c r="Q76" i="71" s="1"/>
  <c r="P3" i="71"/>
  <c r="P76" i="71" s="1"/>
  <c r="O3" i="71"/>
  <c r="O76" i="71" s="1"/>
  <c r="AN37" i="71"/>
  <c r="AM37" i="71"/>
  <c r="AL37" i="71"/>
  <c r="AJ37" i="71"/>
  <c r="AN20" i="71"/>
  <c r="AM20" i="71"/>
  <c r="AL20" i="71"/>
  <c r="V20" i="71"/>
  <c r="U20" i="71"/>
  <c r="T20" i="71"/>
  <c r="S20" i="71"/>
  <c r="EB20" i="71"/>
  <c r="AN29" i="71"/>
  <c r="S29" i="71"/>
  <c r="R29" i="71"/>
  <c r="Q29" i="71"/>
  <c r="P29" i="71"/>
  <c r="O29" i="71"/>
  <c r="AN14" i="71"/>
  <c r="AM14" i="71"/>
  <c r="AL14" i="71"/>
  <c r="AD14" i="71"/>
  <c r="AC14" i="71"/>
  <c r="AB14" i="71"/>
  <c r="AA14" i="71"/>
  <c r="Z14" i="71"/>
  <c r="Y14" i="71"/>
  <c r="X14" i="71"/>
  <c r="W14" i="71"/>
  <c r="V14" i="71"/>
  <c r="U14" i="71"/>
  <c r="T14" i="71"/>
  <c r="S14" i="71"/>
  <c r="AN12" i="71"/>
  <c r="AM12" i="71"/>
  <c r="AL12" i="71"/>
  <c r="AK12" i="71"/>
  <c r="AJ12" i="71"/>
  <c r="AI12" i="71"/>
  <c r="AH12" i="71"/>
  <c r="AG12" i="71"/>
  <c r="AF12" i="71"/>
  <c r="AE12" i="71"/>
  <c r="AD12" i="71"/>
  <c r="AN15" i="71"/>
  <c r="AM15" i="71"/>
  <c r="AL15" i="71"/>
  <c r="AK15" i="71"/>
  <c r="AJ15" i="71"/>
  <c r="AI15" i="71"/>
  <c r="AH15" i="71"/>
  <c r="AG15" i="71"/>
  <c r="AF15" i="71"/>
  <c r="AE15" i="71"/>
  <c r="AD15" i="71"/>
  <c r="AC15" i="71"/>
  <c r="AB15" i="71"/>
  <c r="AA15" i="71"/>
  <c r="Z15" i="71"/>
  <c r="Y15" i="71"/>
  <c r="X15" i="71"/>
  <c r="W15" i="71"/>
  <c r="EB12" i="71"/>
  <c r="AU37" i="71"/>
  <c r="AV44" i="71"/>
  <c r="AV56" i="71" s="1"/>
  <c r="AV240" i="71" s="1"/>
  <c r="AW44" i="71"/>
  <c r="AX44" i="71"/>
  <c r="AX56" i="71" s="1"/>
  <c r="AX240" i="71" s="1"/>
  <c r="EA45" i="71"/>
  <c r="EA46" i="71"/>
  <c r="EA47" i="71"/>
  <c r="EA48" i="71"/>
  <c r="EB86" i="71" s="1"/>
  <c r="EA51" i="71"/>
  <c r="EA52" i="71"/>
  <c r="EA53" i="71"/>
  <c r="EA55" i="71"/>
  <c r="EA111" i="71" s="1"/>
  <c r="EA3" i="71"/>
  <c r="EA10" i="71"/>
  <c r="EA29" i="71"/>
  <c r="EA16" i="71"/>
  <c r="EA20" i="71"/>
  <c r="EA12" i="71"/>
  <c r="AW14" i="71"/>
  <c r="EA14" i="71" s="1"/>
  <c r="EA30" i="71"/>
  <c r="EA15" i="71"/>
  <c r="EA39" i="71"/>
  <c r="EA17" i="71"/>
  <c r="EA57" i="71"/>
  <c r="AT44" i="71"/>
  <c r="AT97" i="71" s="1"/>
  <c r="AS11" i="71"/>
  <c r="AS44" i="71" s="1"/>
  <c r="AR11" i="71"/>
  <c r="AR20" i="71"/>
  <c r="AQ11" i="71"/>
  <c r="AQ20" i="71"/>
  <c r="DZ45" i="71"/>
  <c r="DZ39" i="71"/>
  <c r="DZ37" i="71"/>
  <c r="DZ15" i="71"/>
  <c r="DZ30" i="71"/>
  <c r="DZ14" i="71"/>
  <c r="DZ12" i="71"/>
  <c r="DZ16" i="71"/>
  <c r="DZ29" i="71"/>
  <c r="DZ10" i="71"/>
  <c r="DZ9" i="71"/>
  <c r="DZ3" i="71"/>
  <c r="DZ46" i="71"/>
  <c r="DZ47" i="71"/>
  <c r="DZ48" i="71"/>
  <c r="DZ51" i="71"/>
  <c r="DZ52" i="71"/>
  <c r="DZ53" i="71"/>
  <c r="AQ54" i="71"/>
  <c r="AQ104" i="71" s="1"/>
  <c r="AR54" i="71"/>
  <c r="AR104" i="71" s="1"/>
  <c r="AS54" i="71"/>
  <c r="AS104" i="71" s="1"/>
  <c r="DZ55" i="71"/>
  <c r="DZ111" i="71" s="1"/>
  <c r="DZ57" i="71"/>
  <c r="DZ59" i="71"/>
  <c r="AT60" i="71"/>
  <c r="DZ60" i="71" s="1"/>
  <c r="AR63" i="71"/>
  <c r="DZ63" i="71" s="1"/>
  <c r="AS64" i="71"/>
  <c r="AT64" i="71" s="1"/>
  <c r="DZ64" i="71" s="1"/>
  <c r="DZ69" i="71"/>
  <c r="DZ217" i="71" s="1"/>
  <c r="EA59" i="71"/>
  <c r="EA60" i="71"/>
  <c r="EA63" i="71"/>
  <c r="AX64" i="71"/>
  <c r="EA64" i="71" s="1"/>
  <c r="AX66" i="71"/>
  <c r="EA66" i="71" s="1"/>
  <c r="DY55" i="71"/>
  <c r="DY111" i="71" s="1"/>
  <c r="AM29" i="71"/>
  <c r="AO44" i="71"/>
  <c r="AO97" i="71" s="1"/>
  <c r="AP44" i="71"/>
  <c r="AP97" i="71" s="1"/>
  <c r="AY85" i="71"/>
  <c r="AY86" i="71"/>
  <c r="AY76" i="71"/>
  <c r="AE8" i="71"/>
  <c r="AF8" i="71"/>
  <c r="AG8" i="71"/>
  <c r="AH8" i="71"/>
  <c r="AE29" i="71"/>
  <c r="AF29" i="71"/>
  <c r="AG29" i="71"/>
  <c r="AH29" i="71"/>
  <c r="AE16" i="71"/>
  <c r="AF16" i="71"/>
  <c r="AG16" i="71"/>
  <c r="AH16" i="71"/>
  <c r="AE20" i="71"/>
  <c r="AF20" i="71"/>
  <c r="AG20" i="71"/>
  <c r="AH20" i="71"/>
  <c r="AE14" i="71"/>
  <c r="AF14" i="71"/>
  <c r="AG14" i="71"/>
  <c r="AH14" i="71"/>
  <c r="AE37" i="71"/>
  <c r="AF37" i="71"/>
  <c r="AG37" i="71"/>
  <c r="AH37" i="71"/>
  <c r="DW51" i="71"/>
  <c r="AA8" i="71"/>
  <c r="AB8" i="71"/>
  <c r="AC8" i="71"/>
  <c r="AD8" i="71"/>
  <c r="AA29" i="71"/>
  <c r="AB29" i="71"/>
  <c r="AC29" i="71"/>
  <c r="AD29" i="71"/>
  <c r="AA16" i="71"/>
  <c r="AB16" i="71"/>
  <c r="AC16" i="71"/>
  <c r="AD16" i="71"/>
  <c r="AA20" i="71"/>
  <c r="AB20" i="71"/>
  <c r="AC20" i="71"/>
  <c r="AD20" i="71"/>
  <c r="DV38" i="71"/>
  <c r="DV35" i="71"/>
  <c r="AA37" i="71"/>
  <c r="AB37" i="71"/>
  <c r="AC37" i="71"/>
  <c r="AD37" i="71"/>
  <c r="DV51" i="71"/>
  <c r="W8" i="71"/>
  <c r="X8" i="71"/>
  <c r="Y8" i="71"/>
  <c r="Z8" i="71"/>
  <c r="W29" i="71"/>
  <c r="X29" i="71"/>
  <c r="Y29" i="71"/>
  <c r="Z29" i="71"/>
  <c r="W16" i="71"/>
  <c r="X16" i="71"/>
  <c r="Y16" i="71"/>
  <c r="Z16" i="71"/>
  <c r="W20" i="71"/>
  <c r="X20" i="71"/>
  <c r="Y20" i="71"/>
  <c r="Z20" i="71"/>
  <c r="DU35" i="71"/>
  <c r="W37" i="71"/>
  <c r="X37" i="71"/>
  <c r="Y37" i="71"/>
  <c r="Z37" i="71"/>
  <c r="DU51" i="71"/>
  <c r="AI20" i="71"/>
  <c r="AJ20" i="71"/>
  <c r="AK20" i="71"/>
  <c r="AI8" i="71"/>
  <c r="AJ8" i="71"/>
  <c r="AK8" i="71"/>
  <c r="AI29" i="71"/>
  <c r="AJ29" i="71"/>
  <c r="AK29" i="71"/>
  <c r="AL29" i="71"/>
  <c r="DX51" i="71"/>
  <c r="DY45" i="71"/>
  <c r="DY46" i="71"/>
  <c r="DY47" i="71"/>
  <c r="DY48" i="71"/>
  <c r="DY51" i="71"/>
  <c r="DY52" i="71"/>
  <c r="DY53" i="71"/>
  <c r="AM54" i="71"/>
  <c r="AM104" i="71" s="1"/>
  <c r="AM230" i="71" s="1"/>
  <c r="AN54" i="71"/>
  <c r="AN104" i="71" s="1"/>
  <c r="AN106" i="71" s="1"/>
  <c r="AO54" i="71"/>
  <c r="AO104" i="71" s="1"/>
  <c r="AP54" i="71"/>
  <c r="AL54" i="71"/>
  <c r="AL104" i="71" s="1"/>
  <c r="AL106" i="71" s="1"/>
  <c r="AK16" i="71"/>
  <c r="AK14" i="71"/>
  <c r="AK37" i="71"/>
  <c r="AK54" i="71"/>
  <c r="AJ16" i="71"/>
  <c r="AJ14" i="71"/>
  <c r="AJ54" i="71"/>
  <c r="AJ104" i="71" s="1"/>
  <c r="AI16" i="71"/>
  <c r="AI14" i="71"/>
  <c r="AI37" i="71"/>
  <c r="AI54" i="71"/>
  <c r="AI104" i="71" s="1"/>
  <c r="AH54" i="71"/>
  <c r="AH104" i="71" s="1"/>
  <c r="AH106" i="71" s="1"/>
  <c r="AG54" i="71"/>
  <c r="AG104" i="71" s="1"/>
  <c r="AF54" i="71"/>
  <c r="AE54" i="71"/>
  <c r="AY44" i="71"/>
  <c r="AY97" i="71" s="1"/>
  <c r="AY227" i="71" s="1"/>
  <c r="EA69" i="71"/>
  <c r="EA217"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4" i="71"/>
  <c r="AU230" i="71" s="1"/>
  <c r="AY104" i="71"/>
  <c r="AY111" i="71"/>
  <c r="AY233" i="71" s="1"/>
  <c r="AU111" i="71"/>
  <c r="AU233" i="71" s="1"/>
  <c r="DR2" i="71"/>
  <c r="DQ2" i="71" s="1"/>
  <c r="DP2" i="71" s="1"/>
  <c r="DO2" i="71" s="1"/>
  <c r="DN2" i="71" s="1"/>
  <c r="DM2" i="71" s="1"/>
  <c r="DL2" i="71" s="1"/>
  <c r="DK2" i="71" s="1"/>
  <c r="DJ2" i="71" s="1"/>
  <c r="DI2" i="71" s="1"/>
  <c r="DH2" i="71" s="1"/>
  <c r="C8" i="71"/>
  <c r="D8" i="71"/>
  <c r="E8" i="71"/>
  <c r="F8" i="71"/>
  <c r="G8" i="71"/>
  <c r="H8" i="71"/>
  <c r="I8" i="71"/>
  <c r="J8" i="71"/>
  <c r="DR8" i="71"/>
  <c r="T8" i="71"/>
  <c r="U8" i="71"/>
  <c r="V8" i="71"/>
  <c r="C29" i="71"/>
  <c r="D29" i="71"/>
  <c r="E29" i="71"/>
  <c r="F29" i="71"/>
  <c r="G29" i="71"/>
  <c r="H29" i="71"/>
  <c r="I29" i="71"/>
  <c r="J29" i="71"/>
  <c r="K29" i="71"/>
  <c r="L29" i="71"/>
  <c r="M29" i="71"/>
  <c r="N29" i="71"/>
  <c r="T29" i="71"/>
  <c r="U29" i="71"/>
  <c r="V29" i="71"/>
  <c r="K16" i="71"/>
  <c r="L16" i="71"/>
  <c r="M16" i="71"/>
  <c r="N16" i="71"/>
  <c r="O16" i="71"/>
  <c r="P16" i="71"/>
  <c r="Q16" i="71"/>
  <c r="R16" i="71"/>
  <c r="S16" i="71"/>
  <c r="T16" i="71"/>
  <c r="U16" i="71"/>
  <c r="V16" i="71"/>
  <c r="C20" i="71"/>
  <c r="D20" i="71"/>
  <c r="E20" i="71"/>
  <c r="F20" i="71"/>
  <c r="G20" i="71"/>
  <c r="H20" i="71"/>
  <c r="I20" i="71"/>
  <c r="J20" i="71"/>
  <c r="K20" i="71"/>
  <c r="L20" i="71"/>
  <c r="M20" i="71"/>
  <c r="N20" i="71"/>
  <c r="O20" i="71"/>
  <c r="P20" i="71"/>
  <c r="Q20" i="71"/>
  <c r="R20" i="71"/>
  <c r="C14" i="71"/>
  <c r="D14" i="71"/>
  <c r="E14" i="71"/>
  <c r="F14" i="71"/>
  <c r="G14" i="71"/>
  <c r="H14" i="71"/>
  <c r="I14" i="71"/>
  <c r="J14" i="71"/>
  <c r="K14" i="71"/>
  <c r="L14" i="71"/>
  <c r="M14" i="71"/>
  <c r="N14" i="71"/>
  <c r="O14" i="71"/>
  <c r="P14" i="71"/>
  <c r="Q14" i="71"/>
  <c r="R14" i="71"/>
  <c r="DT15" i="71"/>
  <c r="DP35" i="71"/>
  <c r="DQ35" i="71"/>
  <c r="L35" i="71"/>
  <c r="M35" i="71"/>
  <c r="N35" i="71"/>
  <c r="O35" i="71"/>
  <c r="P35" i="71"/>
  <c r="Q35" i="71"/>
  <c r="R35" i="71"/>
  <c r="DT35" i="71"/>
  <c r="C36" i="71"/>
  <c r="D36" i="71"/>
  <c r="E36" i="71"/>
  <c r="F36" i="71"/>
  <c r="G36" i="71"/>
  <c r="H36" i="71"/>
  <c r="I36" i="71"/>
  <c r="J36" i="71"/>
  <c r="K36" i="71"/>
  <c r="L36" i="71"/>
  <c r="M36" i="71"/>
  <c r="N36" i="71"/>
  <c r="O36" i="71"/>
  <c r="P36" i="71"/>
  <c r="Q36" i="71"/>
  <c r="R36" i="71"/>
  <c r="C37" i="71"/>
  <c r="D37" i="71"/>
  <c r="E37" i="71"/>
  <c r="F37" i="71"/>
  <c r="G37" i="71"/>
  <c r="H37" i="71"/>
  <c r="I37" i="71"/>
  <c r="J37" i="71"/>
  <c r="K37" i="71"/>
  <c r="L37" i="71"/>
  <c r="M37" i="71"/>
  <c r="N37" i="71"/>
  <c r="O37" i="71"/>
  <c r="P37" i="71"/>
  <c r="Q37" i="71"/>
  <c r="R37" i="71"/>
  <c r="S37" i="71"/>
  <c r="T37" i="71"/>
  <c r="U37" i="71"/>
  <c r="V37" i="71"/>
  <c r="DO45" i="71"/>
  <c r="G45" i="71"/>
  <c r="C45" i="71" s="1"/>
  <c r="H45" i="71"/>
  <c r="D45" i="71" s="1"/>
  <c r="I45" i="71"/>
  <c r="E45" i="71" s="1"/>
  <c r="J45" i="71"/>
  <c r="F45" i="71"/>
  <c r="DS46" i="71"/>
  <c r="DS84" i="71" s="1"/>
  <c r="DT46" i="71"/>
  <c r="DP47" i="71"/>
  <c r="G47" i="71"/>
  <c r="C47" i="71" s="1"/>
  <c r="H47" i="71"/>
  <c r="L85" i="71" s="1"/>
  <c r="I47" i="71"/>
  <c r="M85" i="71" s="1"/>
  <c r="J47" i="71"/>
  <c r="DR47" i="71"/>
  <c r="DS47" i="71"/>
  <c r="DT47" i="71"/>
  <c r="F47" i="71"/>
  <c r="G48" i="71"/>
  <c r="K86" i="71" s="1"/>
  <c r="H48" i="71"/>
  <c r="I48" i="71"/>
  <c r="M86" i="71" s="1"/>
  <c r="F48" i="71"/>
  <c r="J48" i="71"/>
  <c r="N86" i="71" s="1"/>
  <c r="DR48" i="71"/>
  <c r="DS48" i="71"/>
  <c r="DT48" i="71"/>
  <c r="G51" i="71"/>
  <c r="C51" i="71" s="1"/>
  <c r="H51" i="71"/>
  <c r="D51" i="71" s="1"/>
  <c r="I51" i="71"/>
  <c r="F51" i="71"/>
  <c r="J51" i="71"/>
  <c r="K51" i="71"/>
  <c r="L51" i="71"/>
  <c r="M51" i="71"/>
  <c r="N51" i="71"/>
  <c r="DS51" i="71"/>
  <c r="DT51" i="71"/>
  <c r="DO52" i="71"/>
  <c r="G52" i="71"/>
  <c r="C52" i="71" s="1"/>
  <c r="H52" i="71"/>
  <c r="I52" i="71"/>
  <c r="J52" i="71"/>
  <c r="K52" i="71"/>
  <c r="L52" i="71"/>
  <c r="M52" i="71"/>
  <c r="N52" i="71"/>
  <c r="DS52" i="71"/>
  <c r="DT52" i="71"/>
  <c r="F52" i="71"/>
  <c r="DP53" i="71"/>
  <c r="DO53" i="71" s="1"/>
  <c r="G53" i="71"/>
  <c r="K87" i="71" s="1"/>
  <c r="H53" i="71"/>
  <c r="L87" i="71" s="1"/>
  <c r="I53" i="71"/>
  <c r="M87" i="71" s="1"/>
  <c r="J53" i="71"/>
  <c r="N87" i="71" s="1"/>
  <c r="DS53" i="71"/>
  <c r="DT53" i="71"/>
  <c r="F53" i="71"/>
  <c r="DQ54" i="71"/>
  <c r="DS54" i="71"/>
  <c r="DT54" i="71"/>
  <c r="DQ57" i="71"/>
  <c r="DQ58" i="71" s="1"/>
  <c r="DY57" i="71"/>
  <c r="DH58" i="71"/>
  <c r="DH62" i="71" s="1"/>
  <c r="DI58" i="71"/>
  <c r="DI89" i="71" s="1"/>
  <c r="DJ58" i="71"/>
  <c r="DJ62" i="71" s="1"/>
  <c r="DK58" i="71"/>
  <c r="DK62" i="71" s="1"/>
  <c r="DK92" i="71" s="1"/>
  <c r="DL58" i="71"/>
  <c r="DL89" i="71" s="1"/>
  <c r="DM58" i="71"/>
  <c r="DM211" i="71" s="1"/>
  <c r="DN58" i="71"/>
  <c r="DN62" i="71" s="1"/>
  <c r="DN92" i="71" s="1"/>
  <c r="DO58" i="71"/>
  <c r="DP58" i="71"/>
  <c r="DP62" i="71" s="1"/>
  <c r="DR58" i="71"/>
  <c r="DR211" i="71" s="1"/>
  <c r="DS58" i="71"/>
  <c r="DS211" i="71" s="1"/>
  <c r="DT58" i="71"/>
  <c r="DT211" i="71" s="1"/>
  <c r="C58" i="71"/>
  <c r="C62" i="71" s="1"/>
  <c r="D58" i="71"/>
  <c r="D89" i="71" s="1"/>
  <c r="E58" i="71"/>
  <c r="E62" i="71" s="1"/>
  <c r="E92" i="71" s="1"/>
  <c r="F58" i="71"/>
  <c r="F89" i="71" s="1"/>
  <c r="G58" i="71"/>
  <c r="G62" i="71" s="1"/>
  <c r="G92" i="71" s="1"/>
  <c r="H58" i="71"/>
  <c r="H62" i="71" s="1"/>
  <c r="H92" i="71" s="1"/>
  <c r="I58" i="71"/>
  <c r="I62" i="71" s="1"/>
  <c r="I92" i="71" s="1"/>
  <c r="J58" i="71"/>
  <c r="J62" i="71" s="1"/>
  <c r="J65" i="71" s="1"/>
  <c r="K58" i="71"/>
  <c r="K62" i="71" s="1"/>
  <c r="K92" i="71" s="1"/>
  <c r="L58" i="71"/>
  <c r="L89" i="71" s="1"/>
  <c r="M58" i="71"/>
  <c r="M62" i="71" s="1"/>
  <c r="M92" i="71" s="1"/>
  <c r="N58" i="71"/>
  <c r="N62" i="71" s="1"/>
  <c r="N65" i="71" s="1"/>
  <c r="O58" i="71"/>
  <c r="O62" i="71" s="1"/>
  <c r="P58" i="71"/>
  <c r="P62" i="71" s="1"/>
  <c r="P92" i="71" s="1"/>
  <c r="Q58" i="71"/>
  <c r="Q62" i="71" s="1"/>
  <c r="Q92" i="71" s="1"/>
  <c r="R58" i="71"/>
  <c r="R62" i="71" s="1"/>
  <c r="S58" i="71"/>
  <c r="S62" i="71" s="1"/>
  <c r="S92" i="71" s="1"/>
  <c r="T58" i="71"/>
  <c r="T89" i="71" s="1"/>
  <c r="U58" i="71"/>
  <c r="U62" i="71" s="1"/>
  <c r="U92" i="71" s="1"/>
  <c r="V58" i="71"/>
  <c r="V89" i="71" s="1"/>
  <c r="W58" i="71"/>
  <c r="X58" i="71"/>
  <c r="X62" i="71" s="1"/>
  <c r="Y58" i="71"/>
  <c r="Y62" i="71" s="1"/>
  <c r="Z58" i="71"/>
  <c r="DY59" i="71"/>
  <c r="AN60" i="71"/>
  <c r="DY60" i="71" s="1"/>
  <c r="DH63" i="71"/>
  <c r="DI63" i="71"/>
  <c r="DJ63" i="71"/>
  <c r="DK63" i="71"/>
  <c r="DL63" i="71"/>
  <c r="DM63" i="71"/>
  <c r="DN64" i="71"/>
  <c r="DO64" i="71"/>
  <c r="DP64" i="71"/>
  <c r="DQ64" i="71"/>
  <c r="DR64" i="71"/>
  <c r="DS64" i="71"/>
  <c r="DT64" i="71"/>
  <c r="DU64" i="71"/>
  <c r="DV64" i="71"/>
  <c r="DW64" i="71"/>
  <c r="DX64" i="71"/>
  <c r="C64" i="71"/>
  <c r="D64" i="71"/>
  <c r="E64" i="71"/>
  <c r="G64" i="71"/>
  <c r="H64" i="71"/>
  <c r="I64" i="71"/>
  <c r="K64" i="71"/>
  <c r="L64" i="71"/>
  <c r="M64" i="71"/>
  <c r="O64" i="71"/>
  <c r="P64" i="71"/>
  <c r="Q64" i="71"/>
  <c r="T64" i="71"/>
  <c r="U64" i="71"/>
  <c r="W64" i="71"/>
  <c r="X64" i="71"/>
  <c r="Y64" i="71"/>
  <c r="AA64" i="71"/>
  <c r="AB64" i="71"/>
  <c r="AC64" i="71"/>
  <c r="AG64" i="71"/>
  <c r="AH66" i="71"/>
  <c r="DH69" i="71"/>
  <c r="DI69" i="71"/>
  <c r="DI217" i="71" s="1"/>
  <c r="DJ69" i="71"/>
  <c r="DJ217" i="71" s="1"/>
  <c r="DK69" i="71"/>
  <c r="DK217" i="71" s="1"/>
  <c r="DL69" i="71"/>
  <c r="DL217" i="71" s="1"/>
  <c r="DM69" i="71"/>
  <c r="DM217" i="71" s="1"/>
  <c r="DN69" i="71"/>
  <c r="DN217" i="71" s="1"/>
  <c r="DO69" i="71"/>
  <c r="DO217" i="71" s="1"/>
  <c r="DP69" i="71"/>
  <c r="DP217" i="71" s="1"/>
  <c r="DQ69" i="71"/>
  <c r="DQ217" i="71" s="1"/>
  <c r="DR69" i="71"/>
  <c r="DR217" i="71" s="1"/>
  <c r="DS69" i="71"/>
  <c r="DS217" i="71" s="1"/>
  <c r="DU69" i="71"/>
  <c r="DU217" i="71" s="1"/>
  <c r="DV69" i="71"/>
  <c r="DV217" i="71" s="1"/>
  <c r="DW69" i="71"/>
  <c r="DW217" i="71" s="1"/>
  <c r="DX69" i="71"/>
  <c r="DX217" i="71" s="1"/>
  <c r="C69" i="71"/>
  <c r="D69" i="71"/>
  <c r="E69" i="71"/>
  <c r="F69" i="71"/>
  <c r="G69" i="71"/>
  <c r="H69" i="71"/>
  <c r="I69" i="71"/>
  <c r="J69" i="71"/>
  <c r="K69" i="71"/>
  <c r="L69" i="71"/>
  <c r="M69" i="71"/>
  <c r="N69" i="71"/>
  <c r="O69" i="71"/>
  <c r="P69" i="71"/>
  <c r="Q69" i="71"/>
  <c r="R69" i="71"/>
  <c r="S69" i="71"/>
  <c r="Z69" i="71"/>
  <c r="DI72" i="71"/>
  <c r="DJ72" i="71"/>
  <c r="DK72" i="71"/>
  <c r="DL72" i="71"/>
  <c r="DM72" i="71"/>
  <c r="DN72" i="71"/>
  <c r="DO72" i="71"/>
  <c r="DP72" i="71"/>
  <c r="DQ72" i="71"/>
  <c r="DR72" i="71"/>
  <c r="DS72" i="71"/>
  <c r="DT72" i="71"/>
  <c r="H72" i="71"/>
  <c r="I72" i="71"/>
  <c r="J72" i="71"/>
  <c r="K72" i="71"/>
  <c r="L72" i="71"/>
  <c r="M72" i="71"/>
  <c r="N72" i="71"/>
  <c r="O72" i="71"/>
  <c r="P72" i="71"/>
  <c r="Q72" i="71"/>
  <c r="R72" i="71"/>
  <c r="S72" i="71"/>
  <c r="T72" i="71"/>
  <c r="U72" i="71"/>
  <c r="V72" i="71"/>
  <c r="W72" i="71"/>
  <c r="X72" i="71"/>
  <c r="Y72" i="71"/>
  <c r="Z72" i="71"/>
  <c r="DX76" i="71"/>
  <c r="AS76" i="71"/>
  <c r="AT76" i="71"/>
  <c r="AU76" i="71"/>
  <c r="AV76" i="71"/>
  <c r="AW76" i="71"/>
  <c r="AX76" i="71"/>
  <c r="O85" i="71"/>
  <c r="P85" i="71"/>
  <c r="Q85" i="71"/>
  <c r="R85" i="71"/>
  <c r="S85" i="71"/>
  <c r="T85" i="71"/>
  <c r="U85" i="71"/>
  <c r="V85" i="71"/>
  <c r="W85" i="71"/>
  <c r="X85" i="71"/>
  <c r="Y85" i="71"/>
  <c r="Z85" i="71"/>
  <c r="AA85" i="71"/>
  <c r="AB85" i="71"/>
  <c r="AC85" i="71"/>
  <c r="AD85" i="71"/>
  <c r="AE85" i="71"/>
  <c r="AF85" i="71"/>
  <c r="AG85" i="71"/>
  <c r="AH85" i="71"/>
  <c r="AI85" i="71"/>
  <c r="AJ85" i="71"/>
  <c r="AK85" i="71"/>
  <c r="AL85" i="71"/>
  <c r="AM85" i="71"/>
  <c r="AN85" i="71"/>
  <c r="AO85" i="71"/>
  <c r="AP85" i="71"/>
  <c r="AQ85" i="71"/>
  <c r="AR85" i="71"/>
  <c r="AS85" i="71"/>
  <c r="AT85" i="71"/>
  <c r="AU85" i="71"/>
  <c r="AV85" i="71"/>
  <c r="AW85" i="71"/>
  <c r="AX85" i="71"/>
  <c r="O86" i="71"/>
  <c r="P86" i="71"/>
  <c r="Q86" i="71"/>
  <c r="R86" i="71"/>
  <c r="S86" i="71"/>
  <c r="T86" i="71"/>
  <c r="U86" i="71"/>
  <c r="V86" i="71"/>
  <c r="W86" i="71"/>
  <c r="X86" i="71"/>
  <c r="Y86" i="71"/>
  <c r="Z86" i="71"/>
  <c r="AA86" i="71"/>
  <c r="AB86" i="71"/>
  <c r="AC86" i="71"/>
  <c r="AD86" i="71"/>
  <c r="AE86" i="71"/>
  <c r="AF86" i="71"/>
  <c r="AG86" i="71"/>
  <c r="AH86" i="71"/>
  <c r="AI86" i="71"/>
  <c r="AJ86" i="71"/>
  <c r="AK86" i="71"/>
  <c r="AL86" i="71"/>
  <c r="AM86" i="71"/>
  <c r="AN86" i="71"/>
  <c r="AO86" i="71"/>
  <c r="AP86" i="71"/>
  <c r="AQ86" i="71"/>
  <c r="AR86" i="71"/>
  <c r="AS86" i="71"/>
  <c r="AT86" i="71"/>
  <c r="AU86" i="71"/>
  <c r="AV86" i="71"/>
  <c r="AW86" i="71"/>
  <c r="AX86" i="71"/>
  <c r="O87" i="71"/>
  <c r="P87" i="71"/>
  <c r="Q87" i="71"/>
  <c r="R87" i="71"/>
  <c r="S87" i="71"/>
  <c r="T87" i="71"/>
  <c r="U87" i="71"/>
  <c r="V87" i="71"/>
  <c r="W87" i="71"/>
  <c r="X87" i="71"/>
  <c r="Y87" i="71"/>
  <c r="Z87" i="71"/>
  <c r="AA87" i="71"/>
  <c r="AB87" i="71"/>
  <c r="AC87" i="71"/>
  <c r="AD87" i="71"/>
  <c r="AE87" i="71"/>
  <c r="AF87" i="71"/>
  <c r="AG87" i="71"/>
  <c r="AH87" i="71"/>
  <c r="AI87" i="71"/>
  <c r="AJ87" i="71"/>
  <c r="AK87" i="71"/>
  <c r="AL87" i="71"/>
  <c r="AM87" i="71"/>
  <c r="AN87" i="71"/>
  <c r="AO87" i="71"/>
  <c r="AP87" i="71"/>
  <c r="AQ87" i="71"/>
  <c r="AR87" i="71"/>
  <c r="AS87" i="71"/>
  <c r="AT87" i="71"/>
  <c r="AU87" i="71"/>
  <c r="AV87" i="71"/>
  <c r="AW87" i="71"/>
  <c r="AX87" i="71"/>
  <c r="AY87" i="71"/>
  <c r="DH90" i="71"/>
  <c r="DI90" i="71"/>
  <c r="DJ90" i="71"/>
  <c r="DK90" i="71"/>
  <c r="DL90" i="71"/>
  <c r="DM90" i="71"/>
  <c r="DN90" i="71"/>
  <c r="DO90" i="71"/>
  <c r="DP90" i="71"/>
  <c r="DQ90" i="71"/>
  <c r="DR90" i="71"/>
  <c r="DS90" i="71"/>
  <c r="DT90" i="71"/>
  <c r="C90" i="71"/>
  <c r="D90" i="71"/>
  <c r="E90" i="71"/>
  <c r="F90" i="71"/>
  <c r="G90" i="71"/>
  <c r="H90" i="71"/>
  <c r="I90" i="71"/>
  <c r="J90" i="71"/>
  <c r="K90" i="71"/>
  <c r="L90" i="71"/>
  <c r="M90" i="71"/>
  <c r="N90" i="71"/>
  <c r="O90" i="71"/>
  <c r="P90" i="71"/>
  <c r="Q90" i="71"/>
  <c r="R90" i="71"/>
  <c r="S90" i="71"/>
  <c r="T90" i="71"/>
  <c r="U90" i="71"/>
  <c r="V90" i="71"/>
  <c r="W90" i="71"/>
  <c r="X90" i="71"/>
  <c r="Y90" i="71"/>
  <c r="Z90" i="71"/>
  <c r="DH91" i="71"/>
  <c r="DI91" i="71"/>
  <c r="DJ91" i="71"/>
  <c r="DK91" i="71"/>
  <c r="DL91" i="71"/>
  <c r="DM91" i="71"/>
  <c r="DN91" i="71"/>
  <c r="DO91" i="71"/>
  <c r="DP91" i="71"/>
  <c r="DQ91" i="71"/>
  <c r="DR91" i="71"/>
  <c r="DS91" i="71"/>
  <c r="DT91" i="71"/>
  <c r="C91" i="71"/>
  <c r="D91" i="71"/>
  <c r="E91" i="71"/>
  <c r="F91" i="71"/>
  <c r="G91" i="71"/>
  <c r="H91" i="71"/>
  <c r="I91" i="71"/>
  <c r="J91" i="71"/>
  <c r="K91" i="71"/>
  <c r="L91" i="71"/>
  <c r="M91" i="71"/>
  <c r="N91" i="71"/>
  <c r="O91" i="71"/>
  <c r="P91" i="71"/>
  <c r="Q91" i="71"/>
  <c r="R91" i="71"/>
  <c r="S91" i="71"/>
  <c r="T91" i="71"/>
  <c r="U91" i="71"/>
  <c r="V91" i="71"/>
  <c r="W91" i="71"/>
  <c r="X91" i="71"/>
  <c r="Y91" i="71"/>
  <c r="Z91" i="71"/>
  <c r="DX98" i="71"/>
  <c r="DX99" i="71" s="1"/>
  <c r="DK99" i="71"/>
  <c r="DL99" i="71"/>
  <c r="DM99" i="71"/>
  <c r="DN99" i="71"/>
  <c r="DO99" i="71"/>
  <c r="DP99" i="71"/>
  <c r="DQ99" i="71"/>
  <c r="DR99" i="71"/>
  <c r="DS99" i="71"/>
  <c r="DT99" i="71"/>
  <c r="DU99" i="71"/>
  <c r="DV99" i="71"/>
  <c r="DW99" i="71"/>
  <c r="W99" i="71"/>
  <c r="X99" i="71"/>
  <c r="Y99" i="71"/>
  <c r="Z99" i="71"/>
  <c r="AA99" i="71"/>
  <c r="AB99" i="71"/>
  <c r="AC99" i="71"/>
  <c r="AD99" i="71"/>
  <c r="AE99" i="71"/>
  <c r="DK100" i="71"/>
  <c r="DL100" i="71"/>
  <c r="DM100" i="71"/>
  <c r="DN100" i="71"/>
  <c r="DO100" i="71"/>
  <c r="DP100" i="71"/>
  <c r="DQ100" i="71"/>
  <c r="DR100" i="71"/>
  <c r="DS100" i="71"/>
  <c r="DT100" i="71"/>
  <c r="Z100" i="71"/>
  <c r="DL101" i="71"/>
  <c r="DM101" i="71"/>
  <c r="DN101" i="71"/>
  <c r="DO101" i="71"/>
  <c r="DP101" i="71"/>
  <c r="DQ101" i="71"/>
  <c r="DR101" i="71"/>
  <c r="DS101" i="71"/>
  <c r="DT101" i="71"/>
  <c r="DU101" i="71"/>
  <c r="DV101" i="71"/>
  <c r="DW101" i="71"/>
  <c r="DX101" i="71"/>
  <c r="AT104" i="71"/>
  <c r="AV104" i="71"/>
  <c r="AV230" i="71" s="1"/>
  <c r="AW104" i="71"/>
  <c r="AX104" i="71"/>
  <c r="AM105" i="71"/>
  <c r="DK106" i="71"/>
  <c r="DL106" i="71"/>
  <c r="DM106" i="71"/>
  <c r="DN106" i="71"/>
  <c r="DO106" i="71"/>
  <c r="DP106" i="71"/>
  <c r="DQ106" i="71"/>
  <c r="DR106" i="71"/>
  <c r="DS106" i="71"/>
  <c r="DT106" i="71"/>
  <c r="DV106" i="71"/>
  <c r="W106" i="71"/>
  <c r="X106" i="71"/>
  <c r="Y106" i="71"/>
  <c r="Z106" i="71"/>
  <c r="AA106" i="71"/>
  <c r="AB106" i="71"/>
  <c r="AC106" i="71"/>
  <c r="AD106" i="71"/>
  <c r="AE106" i="71"/>
  <c r="DK107" i="71"/>
  <c r="DL107" i="71"/>
  <c r="DM107" i="71"/>
  <c r="DN107" i="71"/>
  <c r="DO107" i="71"/>
  <c r="DP107" i="71"/>
  <c r="DQ107" i="71"/>
  <c r="DR107" i="71"/>
  <c r="DS107" i="71"/>
  <c r="DT107" i="71"/>
  <c r="Z107" i="71"/>
  <c r="S111" i="71"/>
  <c r="T111" i="71"/>
  <c r="U111" i="71"/>
  <c r="V111" i="71"/>
  <c r="W111" i="71"/>
  <c r="W113" i="71" s="1"/>
  <c r="X111" i="71"/>
  <c r="X113" i="71" s="1"/>
  <c r="Y111" i="71"/>
  <c r="Y113" i="71" s="1"/>
  <c r="Z111" i="71"/>
  <c r="Z113" i="71" s="1"/>
  <c r="AA111" i="71"/>
  <c r="AA113" i="71" s="1"/>
  <c r="AB111" i="71"/>
  <c r="AB113" i="71" s="1"/>
  <c r="AC111" i="71"/>
  <c r="AD111" i="71"/>
  <c r="AD113" i="71" s="1"/>
  <c r="AE111" i="71"/>
  <c r="AE113" i="71" s="1"/>
  <c r="AF111" i="71"/>
  <c r="AF113" i="71" s="1"/>
  <c r="AG111" i="71"/>
  <c r="AG113" i="71" s="1"/>
  <c r="AH111" i="71"/>
  <c r="AH113" i="71" s="1"/>
  <c r="AI111" i="71"/>
  <c r="AI113" i="71" s="1"/>
  <c r="AJ111" i="71"/>
  <c r="AJ113" i="71" s="1"/>
  <c r="AK111" i="71"/>
  <c r="AK113" i="71" s="1"/>
  <c r="AL111" i="71"/>
  <c r="AL113" i="71" s="1"/>
  <c r="AM111" i="71"/>
  <c r="AM113" i="71" s="1"/>
  <c r="AN111" i="71"/>
  <c r="AN113" i="71" s="1"/>
  <c r="AO111" i="71"/>
  <c r="AO233" i="71" s="1"/>
  <c r="AP111" i="71"/>
  <c r="AP233" i="71" s="1"/>
  <c r="AQ111" i="71"/>
  <c r="AR111" i="71"/>
  <c r="AS111" i="71"/>
  <c r="AS233" i="71" s="1"/>
  <c r="AT111" i="71"/>
  <c r="AT233" i="71" s="1"/>
  <c r="AV111" i="71"/>
  <c r="AW111" i="71"/>
  <c r="AW233" i="71" s="1"/>
  <c r="AX111" i="71"/>
  <c r="AX233" i="71" s="1"/>
  <c r="DK113" i="71"/>
  <c r="DL113" i="71"/>
  <c r="DM113" i="71"/>
  <c r="DN113" i="71"/>
  <c r="DO113" i="71"/>
  <c r="DP113" i="71"/>
  <c r="DQ113" i="71"/>
  <c r="DR113" i="71"/>
  <c r="DS113" i="71"/>
  <c r="DT113" i="71"/>
  <c r="DU113" i="71"/>
  <c r="DV113" i="71"/>
  <c r="DW113" i="71"/>
  <c r="DK114" i="71"/>
  <c r="DL114" i="71"/>
  <c r="DM114" i="71"/>
  <c r="DN114" i="71"/>
  <c r="DO114" i="71"/>
  <c r="DP114" i="71"/>
  <c r="DQ114" i="71"/>
  <c r="DR114" i="71"/>
  <c r="DS114" i="71"/>
  <c r="DT114" i="71"/>
  <c r="DT122" i="71"/>
  <c r="DU122" i="71"/>
  <c r="DV122" i="71"/>
  <c r="DW122" i="71"/>
  <c r="DX122" i="71"/>
  <c r="DX139" i="71"/>
  <c r="AP139" i="71"/>
  <c r="AP135" i="71" s="1"/>
  <c r="AQ139" i="71"/>
  <c r="AQ135" i="71" s="1"/>
  <c r="AR139" i="71"/>
  <c r="AR135" i="71" s="1"/>
  <c r="AS139" i="71"/>
  <c r="AS135" i="71" s="1"/>
  <c r="AT139" i="71"/>
  <c r="AT135" i="71" s="1"/>
  <c r="AU139" i="71"/>
  <c r="AU135" i="71" s="1"/>
  <c r="AV139" i="71"/>
  <c r="AV135" i="71" s="1"/>
  <c r="DY146" i="71"/>
  <c r="AM146" i="71"/>
  <c r="AP146" i="71"/>
  <c r="AQ146" i="71"/>
  <c r="AR146" i="71"/>
  <c r="AS146" i="71"/>
  <c r="AT146" i="71"/>
  <c r="AU146" i="71"/>
  <c r="AV146" i="71"/>
  <c r="DY157" i="71"/>
  <c r="DY162" i="71" s="1"/>
  <c r="AM157" i="71"/>
  <c r="AM162" i="71" s="1"/>
  <c r="AM168" i="71" s="1"/>
  <c r="AI177" i="71"/>
  <c r="AI178" i="71" s="1"/>
  <c r="AM177" i="71"/>
  <c r="AM178" i="71" s="1"/>
  <c r="AR177" i="71"/>
  <c r="AQ178" i="71"/>
  <c r="AR194" i="71"/>
  <c r="AS194" i="71" s="1"/>
  <c r="AT194" i="71" s="1"/>
  <c r="AU178" i="71"/>
  <c r="AV194" i="71"/>
  <c r="AW194" i="71" s="1"/>
  <c r="AR183" i="71"/>
  <c r="AS183" i="71" s="1"/>
  <c r="AT183" i="71" s="1"/>
  <c r="AV183" i="71"/>
  <c r="AW183" i="71" s="1"/>
  <c r="AX183" i="71" s="1"/>
  <c r="AR184" i="71"/>
  <c r="AS184" i="71" s="1"/>
  <c r="AT184" i="71" s="1"/>
  <c r="AV184" i="71"/>
  <c r="AW184" i="71" s="1"/>
  <c r="AX184" i="71" s="1"/>
  <c r="AR185" i="71"/>
  <c r="AS185" i="71" s="1"/>
  <c r="AT185" i="71" s="1"/>
  <c r="AV185" i="71"/>
  <c r="AX185" i="71" s="1"/>
  <c r="AR186" i="71"/>
  <c r="AS186" i="71" s="1"/>
  <c r="AT186" i="71" s="1"/>
  <c r="AV186" i="71"/>
  <c r="AW186" i="71" s="1"/>
  <c r="AX186" i="71" s="1"/>
  <c r="AR187" i="71"/>
  <c r="AS187" i="71" s="1"/>
  <c r="AT187" i="71" s="1"/>
  <c r="AV187" i="71"/>
  <c r="AW187" i="71" s="1"/>
  <c r="AX187" i="71" s="1"/>
  <c r="AR188" i="71"/>
  <c r="AS188" i="71" s="1"/>
  <c r="AT188" i="71" s="1"/>
  <c r="AV188" i="71"/>
  <c r="AW188" i="71" s="1"/>
  <c r="AX188" i="71" s="1"/>
  <c r="AR189" i="71"/>
  <c r="AS189" i="71" s="1"/>
  <c r="AT189" i="71" s="1"/>
  <c r="AV189" i="71"/>
  <c r="AW189" i="71" s="1"/>
  <c r="AX189" i="71" s="1"/>
  <c r="AR190" i="71"/>
  <c r="AS190" i="71" s="1"/>
  <c r="AT190" i="71" s="1"/>
  <c r="AV190" i="71"/>
  <c r="AW190" i="71" s="1"/>
  <c r="AX190" i="71" s="1"/>
  <c r="AR191" i="71"/>
  <c r="AS191" i="71" s="1"/>
  <c r="AT191" i="71" s="1"/>
  <c r="AV191" i="71"/>
  <c r="AW191" i="71" s="1"/>
  <c r="AX191" i="71" s="1"/>
  <c r="AR192" i="71"/>
  <c r="AS192" i="71" s="1"/>
  <c r="AT192" i="71" s="1"/>
  <c r="AV192" i="71"/>
  <c r="AW192" i="71" s="1"/>
  <c r="AX192" i="71" s="1"/>
  <c r="DK205" i="71"/>
  <c r="DL205" i="71"/>
  <c r="DM205" i="71"/>
  <c r="DN205" i="71"/>
  <c r="DO205" i="71"/>
  <c r="DP205" i="71"/>
  <c r="DQ205" i="71"/>
  <c r="DR205" i="71"/>
  <c r="DS205" i="71"/>
  <c r="DT205" i="71"/>
  <c r="DU205" i="71"/>
  <c r="DV205" i="71"/>
  <c r="DW205" i="71"/>
  <c r="DX205" i="71"/>
  <c r="DK207" i="71"/>
  <c r="DL207" i="71"/>
  <c r="DM207" i="71"/>
  <c r="DN207" i="71"/>
  <c r="DO207" i="71"/>
  <c r="DP207" i="71"/>
  <c r="DQ207" i="71"/>
  <c r="DR207" i="71"/>
  <c r="DS207" i="71"/>
  <c r="DT207" i="71"/>
  <c r="DV207" i="71"/>
  <c r="DK209" i="71"/>
  <c r="DL209" i="71"/>
  <c r="DM209" i="71"/>
  <c r="DN209" i="71"/>
  <c r="DO209" i="71"/>
  <c r="DP209" i="71"/>
  <c r="DQ209" i="71"/>
  <c r="DR209" i="71"/>
  <c r="DS209" i="71"/>
  <c r="DT209" i="71"/>
  <c r="DU209" i="71"/>
  <c r="DV209" i="71"/>
  <c r="DW209" i="71"/>
  <c r="G225" i="71"/>
  <c r="H225" i="71"/>
  <c r="I225" i="71"/>
  <c r="J225" i="71"/>
  <c r="G226" i="71"/>
  <c r="H226" i="71"/>
  <c r="I226" i="71"/>
  <c r="J226" i="71"/>
  <c r="DQ227" i="71"/>
  <c r="DR227" i="71"/>
  <c r="DS227" i="71"/>
  <c r="DT227" i="71"/>
  <c r="DU227" i="71"/>
  <c r="DV227" i="71"/>
  <c r="DW227" i="71"/>
  <c r="DX227" i="71"/>
  <c r="S227" i="71"/>
  <c r="T227" i="71"/>
  <c r="U227" i="71"/>
  <c r="V227" i="71"/>
  <c r="W227" i="71"/>
  <c r="X227" i="71"/>
  <c r="Y227" i="71"/>
  <c r="Z227" i="71"/>
  <c r="AA227" i="71"/>
  <c r="AB227" i="71"/>
  <c r="AC227" i="71"/>
  <c r="AD227" i="71"/>
  <c r="AE227" i="71"/>
  <c r="DT230" i="71"/>
  <c r="DU230" i="71"/>
  <c r="DV230" i="71"/>
  <c r="DW230" i="71"/>
  <c r="DX230" i="71"/>
  <c r="S230" i="71"/>
  <c r="T230" i="71"/>
  <c r="U230" i="71"/>
  <c r="V230" i="71"/>
  <c r="W230" i="71"/>
  <c r="X230" i="71"/>
  <c r="Y230" i="71"/>
  <c r="Z230" i="71"/>
  <c r="AA230" i="71"/>
  <c r="AB230" i="71"/>
  <c r="AC230" i="71"/>
  <c r="AD230" i="71"/>
  <c r="AE230" i="71"/>
  <c r="DT233" i="71"/>
  <c r="DU233" i="71"/>
  <c r="DV233" i="71"/>
  <c r="DW233" i="71"/>
  <c r="DX233"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Q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4" i="42"/>
  <c r="AD6" i="40"/>
  <c r="D14" i="42"/>
  <c r="AE6" i="40"/>
  <c r="E14"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76"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70" i="42"/>
  <c r="V70" i="42" s="1"/>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70" i="42"/>
  <c r="X70" i="42" s="1"/>
  <c r="W65" i="42"/>
  <c r="U58" i="42"/>
  <c r="BH3" i="22"/>
  <c r="H12" i="43"/>
  <c r="H14" i="43"/>
  <c r="E28" i="44"/>
  <c r="T28" i="44"/>
  <c r="C28" i="44"/>
  <c r="H25" i="44"/>
  <c r="J22" i="44"/>
  <c r="Y22" i="44"/>
  <c r="K9" i="69"/>
  <c r="Z9" i="69"/>
  <c r="AA62" i="42"/>
  <c r="AD59" i="42"/>
  <c r="T56" i="42"/>
  <c r="Z62" i="42"/>
  <c r="AA58" i="42"/>
  <c r="AE59" i="42"/>
  <c r="AC59" i="42"/>
  <c r="AA59" i="42"/>
  <c r="W59" i="42"/>
  <c r="U59" i="42"/>
  <c r="S59" i="42"/>
  <c r="AD56" i="42"/>
  <c r="W56" i="42"/>
  <c r="S56" i="42"/>
  <c r="V65" i="42"/>
  <c r="X62" i="42"/>
  <c r="L56" i="42"/>
  <c r="EB11" i="71"/>
  <c r="EB30" i="71"/>
  <c r="EB29" i="71"/>
  <c r="EB10" i="71"/>
  <c r="EB16" i="71"/>
  <c r="EB14" i="71"/>
  <c r="T34" i="40"/>
  <c r="K34" i="40"/>
  <c r="X34" i="40"/>
  <c r="Y34" i="40"/>
  <c r="N34" i="40"/>
  <c r="R34" i="40"/>
  <c r="M34" i="40"/>
  <c r="AD22" i="40"/>
  <c r="AC22" i="40"/>
  <c r="AB28" i="40"/>
  <c r="AB16" i="40"/>
  <c r="Q32" i="40"/>
  <c r="Q34" i="40"/>
  <c r="I34" i="40"/>
  <c r="S32" i="40"/>
  <c r="S34" i="40"/>
  <c r="AB25" i="40"/>
  <c r="AB22" i="40"/>
  <c r="AE7" i="40"/>
  <c r="E17" i="42"/>
  <c r="AD7" i="40"/>
  <c r="D17" i="42"/>
  <c r="E15" i="42"/>
  <c r="AE19" i="40"/>
  <c r="AE16" i="40"/>
  <c r="AB5" i="40"/>
  <c r="AB7" i="40"/>
  <c r="AB19" i="40"/>
  <c r="AC33" i="40"/>
  <c r="AC31" i="40"/>
  <c r="AE13" i="40"/>
  <c r="AC8" i="40"/>
  <c r="V32" i="40"/>
  <c r="V34" i="40"/>
  <c r="U33" i="40"/>
  <c r="AE33" i="40"/>
  <c r="H34" i="40"/>
  <c r="W34" i="40"/>
  <c r="L32" i="40"/>
  <c r="G34" i="40"/>
  <c r="AE31" i="40"/>
  <c r="AD31" i="40"/>
  <c r="AE28" i="40"/>
  <c r="AB10" i="40"/>
  <c r="AE25" i="40"/>
  <c r="AE22" i="40"/>
  <c r="D15" i="42"/>
  <c r="AC9" i="40"/>
  <c r="C15" i="42"/>
  <c r="AC25" i="40"/>
  <c r="AD25" i="40"/>
  <c r="AC19" i="40"/>
  <c r="AD19" i="40"/>
  <c r="AC16" i="40"/>
  <c r="AD16" i="40"/>
  <c r="AC28" i="40"/>
  <c r="AD28" i="40"/>
  <c r="AB32" i="40"/>
  <c r="D71" i="40"/>
  <c r="AC7" i="40"/>
  <c r="C17" i="42"/>
  <c r="O32" i="40"/>
  <c r="P33" i="40"/>
  <c r="P34" i="40"/>
  <c r="O33" i="40"/>
  <c r="AB12" i="40"/>
  <c r="AB13" i="40"/>
  <c r="J13" i="40"/>
  <c r="J33" i="40"/>
  <c r="O13" i="40"/>
  <c r="AD13" i="40"/>
  <c r="AI15" i="43"/>
  <c r="AI16" i="43"/>
  <c r="AO15" i="43"/>
  <c r="AO16" i="43"/>
  <c r="J12" i="43"/>
  <c r="J15" i="43"/>
  <c r="J16" i="43"/>
  <c r="AS14" i="43"/>
  <c r="J14" i="43"/>
  <c r="D84" i="40"/>
  <c r="D83" i="40" s="1"/>
  <c r="Z17" i="69"/>
  <c r="X12" i="69"/>
  <c r="V12" i="69"/>
  <c r="L10" i="69"/>
  <c r="E9" i="69"/>
  <c r="T9" i="69"/>
  <c r="EB39" i="71"/>
  <c r="EB15" i="71"/>
  <c r="K15" i="11" s="1"/>
  <c r="EB69" i="71"/>
  <c r="EB217" i="71" s="1"/>
  <c r="EB60" i="71"/>
  <c r="EB59" i="71"/>
  <c r="EB17" i="71"/>
  <c r="BA104"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65" i="42"/>
  <c r="X65" i="42" s="1"/>
  <c r="F56" i="42"/>
  <c r="V69" i="42"/>
  <c r="T69"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87"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04"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6" i="42"/>
  <c r="U56"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C57" i="71"/>
  <c r="AB15" i="69"/>
  <c r="P62" i="5"/>
  <c r="O65" i="5"/>
  <c r="V44" i="5"/>
  <c r="V46" i="5"/>
  <c r="V47" i="5"/>
  <c r="V48" i="5"/>
  <c r="V49" i="5"/>
  <c r="U46" i="5"/>
  <c r="U47" i="5"/>
  <c r="U48" i="5"/>
  <c r="U49" i="5"/>
  <c r="I68" i="5"/>
  <c r="J69" i="5"/>
  <c r="S33" i="5"/>
  <c r="S34" i="5"/>
  <c r="R34" i="5"/>
  <c r="S32" i="5"/>
  <c r="AF22" i="45"/>
  <c r="R32" i="5"/>
  <c r="R37" i="5"/>
  <c r="R38" i="5"/>
  <c r="I74" i="5"/>
  <c r="I75" i="5"/>
  <c r="AA12" i="69"/>
  <c r="AB12" i="69"/>
  <c r="EF86" i="71"/>
  <c r="EF85"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G86" i="71"/>
  <c r="EG85"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H86" i="71"/>
  <c r="EI86" i="71"/>
  <c r="EI85" i="71"/>
  <c r="EH85"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AA57" i="42" l="1"/>
  <c r="H68" i="42"/>
  <c r="U65" i="42"/>
  <c r="X59" i="42"/>
  <c r="F68" i="42"/>
  <c r="T70" i="42"/>
  <c r="W62" i="42"/>
  <c r="E83" i="40"/>
  <c r="Y62" i="42"/>
  <c r="T59" i="42"/>
  <c r="S69" i="42"/>
  <c r="J56" i="42"/>
  <c r="Y56" i="42" s="1"/>
  <c r="M62" i="42"/>
  <c r="AB62" i="42" s="1"/>
  <c r="S62" i="42"/>
  <c r="E68" i="42"/>
  <c r="T68" i="42" s="1"/>
  <c r="Z57" i="42"/>
  <c r="I69" i="42"/>
  <c r="AA56" i="42"/>
  <c r="W68" i="42"/>
  <c r="K69" i="42"/>
  <c r="L66" i="42"/>
  <c r="O64" i="42"/>
  <c r="N62" i="42"/>
  <c r="J65" i="42"/>
  <c r="Y65" i="42" s="1"/>
  <c r="J70" i="42"/>
  <c r="Y70" i="42" s="1"/>
  <c r="K67" i="42"/>
  <c r="AB58" i="42"/>
  <c r="M56" i="42"/>
  <c r="AC58" i="42"/>
  <c r="Y59" i="42"/>
  <c r="S70" i="42"/>
  <c r="W70" i="42"/>
  <c r="R69" i="42"/>
  <c r="C68" i="42"/>
  <c r="R68" i="42" s="1"/>
  <c r="Y57" i="42"/>
  <c r="B68" i="42"/>
  <c r="R70" i="42"/>
  <c r="U70" i="42"/>
  <c r="CO62" i="71"/>
  <c r="CO65" i="71" s="1"/>
  <c r="CO67" i="71" s="1"/>
  <c r="CO68" i="71" s="1"/>
  <c r="DA76" i="71"/>
  <c r="DB76" i="71"/>
  <c r="CO72" i="71"/>
  <c r="CS72" i="71"/>
  <c r="CS85" i="71"/>
  <c r="CO85" i="71"/>
  <c r="CK58" i="71"/>
  <c r="CK62" i="71" s="1"/>
  <c r="CK65" i="71" s="1"/>
  <c r="CK67" i="71" s="1"/>
  <c r="CK68" i="71" s="1"/>
  <c r="CO75" i="71" s="1"/>
  <c r="CO74" i="71"/>
  <c r="CS74" i="71"/>
  <c r="CY138" i="71"/>
  <c r="CT72" i="71"/>
  <c r="CP58" i="71"/>
  <c r="CP62" i="71" s="1"/>
  <c r="CP65" i="71" s="1"/>
  <c r="CP67" i="71" s="1"/>
  <c r="CP68" i="71" s="1"/>
  <c r="CP75" i="71" s="1"/>
  <c r="Q7" i="3"/>
  <c r="CR72" i="71"/>
  <c r="CN58" i="71"/>
  <c r="CN62" i="71" s="1"/>
  <c r="CN65" i="71" s="1"/>
  <c r="CN67" i="71" s="1"/>
  <c r="CN68" i="71" s="1"/>
  <c r="CN75" i="71" s="1"/>
  <c r="CN72" i="71"/>
  <c r="CM58" i="71"/>
  <c r="CM62" i="71" s="1"/>
  <c r="CM65" i="71" s="1"/>
  <c r="CM67" i="71" s="1"/>
  <c r="CM68" i="71" s="1"/>
  <c r="CM72" i="71"/>
  <c r="CQ72" i="71"/>
  <c r="CP72" i="71"/>
  <c r="BI179" i="71"/>
  <c r="EP21" i="71"/>
  <c r="EQ21" i="71" s="1"/>
  <c r="CX162" i="71"/>
  <c r="CX168" i="71" s="1"/>
  <c r="CY162" i="71"/>
  <c r="CY168" i="71" s="1"/>
  <c r="CX149" i="71"/>
  <c r="EN61" i="71"/>
  <c r="EO3" i="71"/>
  <c r="EO76" i="71" s="1"/>
  <c r="EN63" i="71"/>
  <c r="CY144" i="71"/>
  <c r="CY149" i="71" s="1"/>
  <c r="EO49" i="71"/>
  <c r="EO10" i="71"/>
  <c r="EO25" i="71"/>
  <c r="EP25" i="71" s="1"/>
  <c r="EQ25" i="71" s="1"/>
  <c r="ER25" i="71" s="1"/>
  <c r="ES25" i="71" s="1"/>
  <c r="ET25" i="71" s="1"/>
  <c r="EU25" i="71" s="1"/>
  <c r="EV25" i="71" s="1"/>
  <c r="EW25" i="71" s="1"/>
  <c r="EO50" i="71"/>
  <c r="EP50" i="71" s="1"/>
  <c r="EQ50" i="71" s="1"/>
  <c r="ER50" i="71" s="1"/>
  <c r="ES50" i="71" s="1"/>
  <c r="ET50" i="71" s="1"/>
  <c r="EU50" i="71" s="1"/>
  <c r="EV50" i="71" s="1"/>
  <c r="EW50" i="71" s="1"/>
  <c r="EO11" i="71"/>
  <c r="EO26" i="71"/>
  <c r="EP26" i="71" s="1"/>
  <c r="EQ26" i="71" s="1"/>
  <c r="ER26" i="71" s="1"/>
  <c r="ES26" i="71" s="1"/>
  <c r="ET26" i="71" s="1"/>
  <c r="EU26" i="71" s="1"/>
  <c r="EV26" i="71" s="1"/>
  <c r="EW26" i="71" s="1"/>
  <c r="EO12" i="71"/>
  <c r="EO27" i="71"/>
  <c r="EP27" i="71" s="1"/>
  <c r="EQ27" i="71" s="1"/>
  <c r="ER27" i="71" s="1"/>
  <c r="ES27" i="71" s="1"/>
  <c r="ET27" i="71" s="1"/>
  <c r="EU27" i="71" s="1"/>
  <c r="EV27" i="71" s="1"/>
  <c r="EW27" i="71" s="1"/>
  <c r="EO13" i="71"/>
  <c r="EP13" i="71" s="1"/>
  <c r="EQ13" i="71" s="1"/>
  <c r="ER13" i="71" s="1"/>
  <c r="ES13" i="71" s="1"/>
  <c r="ET13" i="71" s="1"/>
  <c r="EU13" i="71" s="1"/>
  <c r="EV13" i="71" s="1"/>
  <c r="EW13" i="71" s="1"/>
  <c r="EO28" i="71"/>
  <c r="EP28" i="71" s="1"/>
  <c r="EQ28" i="71" s="1"/>
  <c r="ER28" i="71" s="1"/>
  <c r="ES28" i="71" s="1"/>
  <c r="ET28" i="71" s="1"/>
  <c r="EU28" i="71" s="1"/>
  <c r="EV28" i="71" s="1"/>
  <c r="EW28" i="71" s="1"/>
  <c r="EO41" i="71"/>
  <c r="EP41" i="71" s="1"/>
  <c r="EQ41" i="71" s="1"/>
  <c r="ER41" i="71" s="1"/>
  <c r="ES41" i="71" s="1"/>
  <c r="ET41" i="71" s="1"/>
  <c r="EU41" i="71" s="1"/>
  <c r="EV41" i="71" s="1"/>
  <c r="EW41" i="71" s="1"/>
  <c r="EO53" i="71"/>
  <c r="EO87" i="71" s="1"/>
  <c r="EO17" i="71"/>
  <c r="EP17" i="71" s="1"/>
  <c r="EQ17" i="71" s="1"/>
  <c r="ER17" i="71" s="1"/>
  <c r="ES17" i="71" s="1"/>
  <c r="ET17" i="71" s="1"/>
  <c r="EU17" i="71" s="1"/>
  <c r="EV17" i="71" s="1"/>
  <c r="EW17" i="71" s="1"/>
  <c r="EO29" i="71"/>
  <c r="EO42" i="71"/>
  <c r="EP42" i="71" s="1"/>
  <c r="EQ42" i="71" s="1"/>
  <c r="ER42" i="71" s="1"/>
  <c r="ES42" i="71" s="1"/>
  <c r="ET42" i="71" s="1"/>
  <c r="EU42" i="71" s="1"/>
  <c r="EV42" i="71" s="1"/>
  <c r="EW42" i="71" s="1"/>
  <c r="EO55" i="71"/>
  <c r="EO18" i="71"/>
  <c r="EO30" i="71"/>
  <c r="EO43" i="71"/>
  <c r="EP43" i="71" s="1"/>
  <c r="EQ43" i="71" s="1"/>
  <c r="ER43" i="71" s="1"/>
  <c r="ES43" i="71" s="1"/>
  <c r="ET43" i="71" s="1"/>
  <c r="EU43" i="71" s="1"/>
  <c r="EV43" i="71" s="1"/>
  <c r="EW43" i="71" s="1"/>
  <c r="EO31" i="71"/>
  <c r="EP31" i="71" s="1"/>
  <c r="EQ31" i="71" s="1"/>
  <c r="ER31" i="71" s="1"/>
  <c r="ES31" i="71" s="1"/>
  <c r="ET31" i="71" s="1"/>
  <c r="EU31" i="71" s="1"/>
  <c r="EV31" i="71" s="1"/>
  <c r="EW31" i="71" s="1"/>
  <c r="EO44" i="71"/>
  <c r="EN44" i="71"/>
  <c r="EO4" i="71"/>
  <c r="EP4" i="71" s="1"/>
  <c r="EQ4" i="71" s="1"/>
  <c r="ER4" i="71" s="1"/>
  <c r="ES4" i="71" s="1"/>
  <c r="ET4" i="71" s="1"/>
  <c r="EU4" i="71" s="1"/>
  <c r="EV4" i="71" s="1"/>
  <c r="EW4" i="71" s="1"/>
  <c r="EO32" i="71"/>
  <c r="EP32" i="71" s="1"/>
  <c r="EQ32" i="71" s="1"/>
  <c r="ER32" i="71" s="1"/>
  <c r="ES32" i="71" s="1"/>
  <c r="ET32" i="71" s="1"/>
  <c r="EU32" i="71" s="1"/>
  <c r="EV32" i="71" s="1"/>
  <c r="EW32" i="71" s="1"/>
  <c r="EO45" i="71"/>
  <c r="EP45" i="71" s="1"/>
  <c r="EQ45" i="71" s="1"/>
  <c r="ER45" i="71" s="1"/>
  <c r="ES45" i="71" s="1"/>
  <c r="ET45" i="71" s="1"/>
  <c r="EU45" i="71" s="1"/>
  <c r="EV45" i="71" s="1"/>
  <c r="EW45" i="71" s="1"/>
  <c r="EO69" i="71"/>
  <c r="EO5" i="71"/>
  <c r="EP5" i="71" s="1"/>
  <c r="EQ5" i="71" s="1"/>
  <c r="ER5" i="71" s="1"/>
  <c r="ES5" i="71" s="1"/>
  <c r="ET5" i="71" s="1"/>
  <c r="EU5" i="71" s="1"/>
  <c r="EV5" i="71" s="1"/>
  <c r="EW5" i="71" s="1"/>
  <c r="EO33" i="71"/>
  <c r="EP33" i="71" s="1"/>
  <c r="EQ33" i="71" s="1"/>
  <c r="ER33" i="71" s="1"/>
  <c r="ES33" i="71" s="1"/>
  <c r="ET33" i="71" s="1"/>
  <c r="EU33" i="71" s="1"/>
  <c r="EV33" i="71" s="1"/>
  <c r="EW33" i="71" s="1"/>
  <c r="EO46" i="71"/>
  <c r="EP46" i="71" s="1"/>
  <c r="EQ46" i="71" s="1"/>
  <c r="ER46" i="71" s="1"/>
  <c r="ES46" i="71" s="1"/>
  <c r="ET46" i="71" s="1"/>
  <c r="EU46" i="71" s="1"/>
  <c r="EV46" i="71" s="1"/>
  <c r="EW46" i="71" s="1"/>
  <c r="EP69" i="71"/>
  <c r="EQ69" i="71" s="1"/>
  <c r="ER69" i="71" s="1"/>
  <c r="ES69" i="71" s="1"/>
  <c r="ET69" i="71" s="1"/>
  <c r="EO6" i="71"/>
  <c r="EP6" i="71" s="1"/>
  <c r="EQ6" i="71" s="1"/>
  <c r="ER6" i="71" s="1"/>
  <c r="ES6" i="71" s="1"/>
  <c r="ET6" i="71" s="1"/>
  <c r="EU6" i="71" s="1"/>
  <c r="EV6" i="71" s="1"/>
  <c r="EW6" i="71" s="1"/>
  <c r="AZ62" i="71"/>
  <c r="AZ65" i="71" s="1"/>
  <c r="AZ67" i="71" s="1"/>
  <c r="AZ95" i="71" s="1"/>
  <c r="AZ91" i="71"/>
  <c r="AZ97" i="71"/>
  <c r="AZ100" i="71" s="1"/>
  <c r="DY84" i="71"/>
  <c r="DA86" i="71"/>
  <c r="DD5" i="71"/>
  <c r="DD79" i="71" s="1"/>
  <c r="DD46" i="71"/>
  <c r="DD84" i="71" s="1"/>
  <c r="CZ86" i="71"/>
  <c r="CZ80" i="71"/>
  <c r="DE49" i="71"/>
  <c r="DE85" i="71" s="1"/>
  <c r="CZ83" i="71"/>
  <c r="DA83" i="71"/>
  <c r="DB83" i="71"/>
  <c r="CQ90" i="71"/>
  <c r="DA79" i="71"/>
  <c r="CR90" i="71"/>
  <c r="DA84" i="71"/>
  <c r="DB85" i="71"/>
  <c r="CS90" i="71"/>
  <c r="CU58" i="71"/>
  <c r="CU89" i="71" s="1"/>
  <c r="CU90" i="71"/>
  <c r="CU91" i="71"/>
  <c r="DD49" i="71"/>
  <c r="DD85" i="71" s="1"/>
  <c r="CW90" i="71"/>
  <c r="CT91" i="71"/>
  <c r="CX90" i="71"/>
  <c r="CV91" i="71"/>
  <c r="CW91" i="71"/>
  <c r="CX91" i="71"/>
  <c r="CY90" i="71"/>
  <c r="CY91" i="71"/>
  <c r="DA80" i="71"/>
  <c r="DB84" i="71"/>
  <c r="DB86" i="71"/>
  <c r="CT90" i="71"/>
  <c r="CQ91" i="71"/>
  <c r="DB80" i="71"/>
  <c r="CR91" i="71"/>
  <c r="DB78" i="71"/>
  <c r="CV90" i="71"/>
  <c r="CS91" i="71"/>
  <c r="DA81" i="71"/>
  <c r="CZ81" i="71"/>
  <c r="DA78" i="71"/>
  <c r="DF77" i="71"/>
  <c r="CY62" i="71"/>
  <c r="DE4" i="71"/>
  <c r="DE77" i="71" s="1"/>
  <c r="DB82" i="71"/>
  <c r="DA77" i="71"/>
  <c r="DD3" i="71"/>
  <c r="DD76" i="71" s="1"/>
  <c r="DD77" i="71"/>
  <c r="DB79" i="71"/>
  <c r="DB7" i="71"/>
  <c r="DC7" i="71" s="1"/>
  <c r="DA56" i="71"/>
  <c r="CZ56" i="71"/>
  <c r="CZ58" i="71" s="1"/>
  <c r="CZ62" i="71" s="1"/>
  <c r="DD55" i="71"/>
  <c r="DD82" i="71" s="1"/>
  <c r="CV72" i="71"/>
  <c r="DD6" i="71"/>
  <c r="DD78" i="71" s="1"/>
  <c r="CU72" i="71"/>
  <c r="DA82" i="71"/>
  <c r="CQ62" i="71"/>
  <c r="CR62" i="71"/>
  <c r="CV62" i="71"/>
  <c r="BR56" i="71"/>
  <c r="BR91" i="71" s="1"/>
  <c r="CW62" i="71"/>
  <c r="CY72" i="71"/>
  <c r="BV84" i="71"/>
  <c r="CW72" i="71"/>
  <c r="CX72" i="71"/>
  <c r="CS62" i="71"/>
  <c r="CT62" i="71"/>
  <c r="BV77" i="71"/>
  <c r="CX62" i="71"/>
  <c r="L62" i="71"/>
  <c r="L92" i="71" s="1"/>
  <c r="AW144" i="71"/>
  <c r="AW149" i="71" s="1"/>
  <c r="D47" i="71"/>
  <c r="H85" i="71" s="1"/>
  <c r="DZ86" i="71"/>
  <c r="EC74" i="71"/>
  <c r="EI87" i="71"/>
  <c r="EH87" i="71"/>
  <c r="EG87" i="71"/>
  <c r="BA97" i="71"/>
  <c r="BE101" i="71" s="1"/>
  <c r="BD56" i="71"/>
  <c r="BD107" i="71" s="1"/>
  <c r="DZ84" i="71"/>
  <c r="E53" i="71"/>
  <c r="I87" i="71" s="1"/>
  <c r="S76" i="71"/>
  <c r="BE168" i="71"/>
  <c r="AL230" i="71"/>
  <c r="DY85" i="71"/>
  <c r="AC76" i="71"/>
  <c r="AM106" i="71"/>
  <c r="BP170" i="71"/>
  <c r="EG10" i="71"/>
  <c r="EH10" i="71" s="1"/>
  <c r="EI10" i="71" s="1"/>
  <c r="EJ10" i="71" s="1"/>
  <c r="EK10" i="71" s="1"/>
  <c r="EL10" i="71" s="1"/>
  <c r="D62" i="71"/>
  <c r="D92" i="71" s="1"/>
  <c r="EB84" i="71"/>
  <c r="EG29" i="71"/>
  <c r="EH29" i="71" s="1"/>
  <c r="EI29" i="71" s="1"/>
  <c r="AL108" i="71"/>
  <c r="P89" i="71"/>
  <c r="DZ87" i="71"/>
  <c r="AN76" i="71"/>
  <c r="EH55" i="71"/>
  <c r="EI55" i="71" s="1"/>
  <c r="EI111" i="71" s="1"/>
  <c r="EI209" i="71" s="1"/>
  <c r="EG111" i="71"/>
  <c r="EG209" i="71" s="1"/>
  <c r="EA87" i="71"/>
  <c r="BB149" i="71"/>
  <c r="EC66" i="71"/>
  <c r="BJ56" i="71"/>
  <c r="BJ91" i="71" s="1"/>
  <c r="DY86" i="71"/>
  <c r="EF111" i="71"/>
  <c r="EF209" i="71" s="1"/>
  <c r="I89" i="71"/>
  <c r="EA85" i="71"/>
  <c r="DY12" i="71"/>
  <c r="AB76" i="71"/>
  <c r="DV87" i="71"/>
  <c r="EF87" i="71"/>
  <c r="BF115" i="71"/>
  <c r="BN97" i="71"/>
  <c r="DM89" i="71"/>
  <c r="N89" i="71"/>
  <c r="DU15" i="71"/>
  <c r="DV14" i="71"/>
  <c r="H227" i="71"/>
  <c r="H65" i="71"/>
  <c r="H67" i="71" s="1"/>
  <c r="H95" i="71" s="1"/>
  <c r="H89" i="71"/>
  <c r="AN230" i="71"/>
  <c r="DM62" i="71"/>
  <c r="DM92" i="71" s="1"/>
  <c r="AW56" i="71"/>
  <c r="BA72" i="71" s="1"/>
  <c r="BA122" i="71" s="1"/>
  <c r="BA119" i="71" s="1"/>
  <c r="BA242" i="71" s="1"/>
  <c r="V76" i="71"/>
  <c r="DY29" i="71"/>
  <c r="J85" i="71"/>
  <c r="DN210" i="71"/>
  <c r="DK211" i="71"/>
  <c r="AY149" i="71"/>
  <c r="EE76" i="71"/>
  <c r="DQ14" i="71"/>
  <c r="Y65" i="71"/>
  <c r="Y94" i="71" s="1"/>
  <c r="DY37" i="71"/>
  <c r="Z76" i="71"/>
  <c r="DW36" i="71"/>
  <c r="DS45" i="71"/>
  <c r="DX84" i="71"/>
  <c r="BI170" i="71"/>
  <c r="AV136" i="71"/>
  <c r="DV210" i="71"/>
  <c r="DY15" i="71"/>
  <c r="DX87" i="71"/>
  <c r="AE76" i="71"/>
  <c r="DY20" i="71"/>
  <c r="Y92" i="71"/>
  <c r="AY56" i="71"/>
  <c r="AY240" i="71" s="1"/>
  <c r="DR37" i="71"/>
  <c r="DS36" i="71"/>
  <c r="DP36" i="71"/>
  <c r="K85" i="71"/>
  <c r="N85" i="71"/>
  <c r="DY16" i="71"/>
  <c r="Q89" i="71"/>
  <c r="BI56" i="71"/>
  <c r="BV73" i="71"/>
  <c r="BV76" i="71"/>
  <c r="BU78" i="71"/>
  <c r="BT97" i="71"/>
  <c r="Y89" i="71"/>
  <c r="AS56" i="71"/>
  <c r="AS91" i="71" s="1"/>
  <c r="BL170" i="71"/>
  <c r="BD115" i="71"/>
  <c r="BD116" i="71" s="1"/>
  <c r="EC87" i="71"/>
  <c r="ED76" i="71"/>
  <c r="EC73" i="71"/>
  <c r="DW14" i="71"/>
  <c r="DT20" i="71"/>
  <c r="EB85" i="71"/>
  <c r="DS89" i="71"/>
  <c r="BB135" i="71"/>
  <c r="BC179" i="71" s="1"/>
  <c r="BK149" i="71"/>
  <c r="BC99" i="71"/>
  <c r="BC101" i="71"/>
  <c r="AI106" i="71"/>
  <c r="AM108" i="71"/>
  <c r="DW29" i="71"/>
  <c r="BC56" i="71"/>
  <c r="BC136" i="71" s="1"/>
  <c r="EA86" i="71"/>
  <c r="DT36" i="71"/>
  <c r="EF78" i="71"/>
  <c r="BT74" i="71"/>
  <c r="BC115" i="71"/>
  <c r="DL210" i="71"/>
  <c r="DT85" i="71"/>
  <c r="DU37" i="71"/>
  <c r="DV29" i="71"/>
  <c r="AD76" i="71"/>
  <c r="BN135" i="71"/>
  <c r="BN179" i="71" s="1"/>
  <c r="BR135" i="71"/>
  <c r="BR179" i="71" s="1"/>
  <c r="DN211" i="71"/>
  <c r="BC144" i="71"/>
  <c r="BC149" i="71" s="1"/>
  <c r="DZ85" i="71"/>
  <c r="DR16" i="71"/>
  <c r="DU29" i="71"/>
  <c r="EA104" i="71"/>
  <c r="EA207" i="71" s="1"/>
  <c r="EB87" i="71"/>
  <c r="G65" i="71"/>
  <c r="G93" i="71" s="1"/>
  <c r="DT16" i="71"/>
  <c r="DT29" i="71"/>
  <c r="DP8" i="71"/>
  <c r="DT8" i="71"/>
  <c r="DX85" i="71"/>
  <c r="DS86" i="71"/>
  <c r="AA56" i="71"/>
  <c r="AA100" i="71" s="1"/>
  <c r="AL76" i="71"/>
  <c r="DU87" i="71"/>
  <c r="DW84" i="71"/>
  <c r="AM149" i="71"/>
  <c r="BM56" i="71"/>
  <c r="BM136" i="71" s="1"/>
  <c r="G89" i="71"/>
  <c r="BM170" i="71"/>
  <c r="EF76" i="71"/>
  <c r="EC76" i="71"/>
  <c r="R89" i="71"/>
  <c r="I227" i="71"/>
  <c r="DQ47" i="71"/>
  <c r="DQ85" i="71" s="1"/>
  <c r="DY3" i="71"/>
  <c r="DY76" i="71" s="1"/>
  <c r="AV179" i="71"/>
  <c r="BP74" i="71"/>
  <c r="BH168" i="71"/>
  <c r="EG22" i="71"/>
  <c r="EH22" i="71" s="1"/>
  <c r="DR62" i="71"/>
  <c r="DR89" i="71"/>
  <c r="AZ90" i="71"/>
  <c r="M89" i="71"/>
  <c r="AS115" i="71"/>
  <c r="DP89" i="71"/>
  <c r="DS85" i="71"/>
  <c r="DQ36" i="71"/>
  <c r="DP29" i="71"/>
  <c r="AR44" i="71"/>
  <c r="AR97" i="71" s="1"/>
  <c r="AE44" i="71"/>
  <c r="AE56" i="71" s="1"/>
  <c r="AE58" i="71" s="1"/>
  <c r="AE62" i="71" s="1"/>
  <c r="AE92" i="71" s="1"/>
  <c r="DT14" i="71"/>
  <c r="DY14" i="71"/>
  <c r="DX20" i="71"/>
  <c r="X76" i="71"/>
  <c r="AJ76" i="71"/>
  <c r="DV86" i="71"/>
  <c r="DX86" i="71"/>
  <c r="BA115" i="71"/>
  <c r="BA116" i="71" s="1"/>
  <c r="AY135" i="71"/>
  <c r="AY179" i="71" s="1"/>
  <c r="BI115" i="71"/>
  <c r="BR97" i="71"/>
  <c r="DR20" i="71"/>
  <c r="F62" i="71"/>
  <c r="F92" i="71" s="1"/>
  <c r="DK89" i="71"/>
  <c r="DK65" i="71"/>
  <c r="DK93" i="71" s="1"/>
  <c r="AZ72" i="71"/>
  <c r="AZ122" i="71" s="1"/>
  <c r="AZ119" i="71" s="1"/>
  <c r="AZ242" i="71" s="1"/>
  <c r="AV91" i="71"/>
  <c r="AI76" i="71"/>
  <c r="AW115" i="71"/>
  <c r="AH230" i="71"/>
  <c r="DT89" i="71"/>
  <c r="BA144" i="71"/>
  <c r="BA149" i="71" s="1"/>
  <c r="AQ115" i="71"/>
  <c r="S65" i="71"/>
  <c r="S93" i="71" s="1"/>
  <c r="BB233" i="71"/>
  <c r="AV58" i="71"/>
  <c r="AV89" i="71" s="1"/>
  <c r="V62" i="71"/>
  <c r="EB44" i="71"/>
  <c r="EB56" i="71" s="1"/>
  <c r="Z114" i="71"/>
  <c r="C48" i="71"/>
  <c r="G86" i="71" s="1"/>
  <c r="AV90" i="71"/>
  <c r="AX144" i="71"/>
  <c r="AX149" i="71" s="1"/>
  <c r="J86" i="71"/>
  <c r="DQ20" i="71"/>
  <c r="BO56" i="71"/>
  <c r="BO91" i="71" s="1"/>
  <c r="BV83" i="71"/>
  <c r="BF56" i="71"/>
  <c r="BF100" i="71" s="1"/>
  <c r="AZ114" i="71"/>
  <c r="AV107" i="71"/>
  <c r="AI230" i="71"/>
  <c r="BB97" i="71"/>
  <c r="BB100" i="71" s="1"/>
  <c r="AO115" i="71"/>
  <c r="AV97" i="71"/>
  <c r="AV100" i="71" s="1"/>
  <c r="J227" i="71"/>
  <c r="DT210" i="71"/>
  <c r="DT212" i="71" s="1"/>
  <c r="DW85" i="71"/>
  <c r="K65" i="71"/>
  <c r="K94" i="71" s="1"/>
  <c r="EC104" i="71"/>
  <c r="EC207" i="71" s="1"/>
  <c r="K89" i="71"/>
  <c r="AS97" i="71"/>
  <c r="AS101" i="71" s="1"/>
  <c r="DP210" i="71"/>
  <c r="BE108" i="71"/>
  <c r="ED86" i="71"/>
  <c r="BK168" i="71"/>
  <c r="BQ177" i="71"/>
  <c r="BQ176" i="71" s="1"/>
  <c r="AS108" i="71"/>
  <c r="BG56" i="71"/>
  <c r="BG90" i="71" s="1"/>
  <c r="AZ144" i="71"/>
  <c r="AZ149" i="71" s="1"/>
  <c r="ED85" i="71"/>
  <c r="T62" i="71"/>
  <c r="DN89" i="71"/>
  <c r="DR51" i="71"/>
  <c r="AQ233" i="71"/>
  <c r="D53" i="71"/>
  <c r="H87" i="71" s="1"/>
  <c r="BI108" i="71"/>
  <c r="BQ97" i="71"/>
  <c r="BO170" i="71"/>
  <c r="BU73" i="71"/>
  <c r="EC85" i="71"/>
  <c r="AF76" i="71"/>
  <c r="DW86" i="71"/>
  <c r="AX97" i="71"/>
  <c r="AX101" i="71" s="1"/>
  <c r="AZ178" i="71"/>
  <c r="BA178" i="71"/>
  <c r="DT62" i="71"/>
  <c r="X89" i="71"/>
  <c r="AU115" i="71"/>
  <c r="BK170" i="71"/>
  <c r="J92" i="71"/>
  <c r="AX90" i="71"/>
  <c r="U89" i="71"/>
  <c r="DL62" i="71"/>
  <c r="DL92" i="71" s="1"/>
  <c r="EC44" i="71"/>
  <c r="EC56" i="71" s="1"/>
  <c r="DO210" i="71"/>
  <c r="M65" i="71"/>
  <c r="M67" i="71" s="1"/>
  <c r="DX54" i="71"/>
  <c r="DX104" i="71" s="1"/>
  <c r="AU108" i="71"/>
  <c r="EA76" i="71"/>
  <c r="DW15" i="71"/>
  <c r="DU14" i="71"/>
  <c r="DU3" i="71"/>
  <c r="DU76" i="71" s="1"/>
  <c r="AI44" i="71"/>
  <c r="AI97" i="71" s="1"/>
  <c r="AI99" i="71" s="1"/>
  <c r="DV36" i="71"/>
  <c r="DY149" i="71"/>
  <c r="DY167" i="71" s="1"/>
  <c r="T76" i="71"/>
  <c r="AX136" i="71"/>
  <c r="DT84" i="71"/>
  <c r="BY29" i="71"/>
  <c r="BA233" i="71"/>
  <c r="AX107" i="71"/>
  <c r="AW97" i="71"/>
  <c r="AP115" i="71"/>
  <c r="DU16" i="71"/>
  <c r="DV37" i="71"/>
  <c r="DV16" i="71"/>
  <c r="DW37" i="71"/>
  <c r="EE74" i="71"/>
  <c r="EG30" i="71"/>
  <c r="EH30" i="71" s="1"/>
  <c r="EI30" i="71" s="1"/>
  <c r="EJ30" i="71" s="1"/>
  <c r="EK30" i="71" s="1"/>
  <c r="EL30" i="71" s="1"/>
  <c r="BV74" i="71"/>
  <c r="AX91" i="71"/>
  <c r="Q65" i="71"/>
  <c r="Q67" i="71" s="1"/>
  <c r="AX58" i="71"/>
  <c r="DL211" i="71"/>
  <c r="DM210" i="71"/>
  <c r="DM212" i="71" s="1"/>
  <c r="EF74" i="71"/>
  <c r="BL168" i="71"/>
  <c r="BJ149" i="71"/>
  <c r="DX29" i="71"/>
  <c r="AO56" i="71"/>
  <c r="AO107" i="71" s="1"/>
  <c r="DH89" i="71"/>
  <c r="DY54" i="71"/>
  <c r="DY104" i="71" s="1"/>
  <c r="DY207" i="71" s="1"/>
  <c r="BJ108" i="71"/>
  <c r="BR149" i="71"/>
  <c r="BI168" i="71"/>
  <c r="EG23" i="71"/>
  <c r="EH23" i="71" s="1"/>
  <c r="EI23" i="71" s="1"/>
  <c r="EJ23" i="71" s="1"/>
  <c r="EK23" i="71" s="1"/>
  <c r="EL23" i="71" s="1"/>
  <c r="EP23" i="71" s="1"/>
  <c r="EQ23" i="71" s="1"/>
  <c r="BE56" i="71"/>
  <c r="BE107" i="71" s="1"/>
  <c r="U65" i="71"/>
  <c r="U93" i="71" s="1"/>
  <c r="DN65" i="71"/>
  <c r="DN93" i="71" s="1"/>
  <c r="DS37" i="71"/>
  <c r="DP37" i="71"/>
  <c r="DR35" i="71"/>
  <c r="DR14" i="71"/>
  <c r="DS20" i="71"/>
  <c r="DP20" i="71"/>
  <c r="DZ20" i="71"/>
  <c r="DV15" i="71"/>
  <c r="AN44" i="71"/>
  <c r="AN97" i="71" s="1"/>
  <c r="AL44" i="71"/>
  <c r="AL97" i="71" s="1"/>
  <c r="AP101" i="71" s="1"/>
  <c r="BE135" i="71"/>
  <c r="BF179" i="71" s="1"/>
  <c r="EE11" i="71"/>
  <c r="BQ56" i="71"/>
  <c r="BQ136" i="71" s="1"/>
  <c r="AR108" i="71"/>
  <c r="AV108" i="71"/>
  <c r="BB240" i="71"/>
  <c r="BB241" i="71" s="1"/>
  <c r="BB58" i="71"/>
  <c r="BB89" i="71" s="1"/>
  <c r="BB136" i="71"/>
  <c r="BB114" i="71"/>
  <c r="BB72" i="71"/>
  <c r="BB122" i="71" s="1"/>
  <c r="BB119" i="71" s="1"/>
  <c r="BB242" i="71" s="1"/>
  <c r="BB91" i="71"/>
  <c r="BB90" i="71"/>
  <c r="AJ230" i="71"/>
  <c r="AJ106" i="71"/>
  <c r="AN108" i="71"/>
  <c r="X92" i="71"/>
  <c r="X65" i="71"/>
  <c r="DH92" i="71"/>
  <c r="DH65" i="71"/>
  <c r="AT115" i="71"/>
  <c r="AP104" i="71"/>
  <c r="AP108" i="71" s="1"/>
  <c r="EA84" i="71"/>
  <c r="EE78" i="71"/>
  <c r="EG52" i="71"/>
  <c r="EH52" i="71" s="1"/>
  <c r="EI52" i="71" s="1"/>
  <c r="EE87" i="71"/>
  <c r="AF44" i="71"/>
  <c r="AF97" i="71" s="1"/>
  <c r="AF227" i="71" s="1"/>
  <c r="AQ108" i="71"/>
  <c r="AQ44" i="71"/>
  <c r="DV3" i="71"/>
  <c r="BE149" i="71"/>
  <c r="BF168" i="71"/>
  <c r="BL97" i="71"/>
  <c r="BY53" i="71"/>
  <c r="BY87" i="71" s="1"/>
  <c r="EB76" i="71"/>
  <c r="DS3" i="71"/>
  <c r="DQ53" i="71"/>
  <c r="DR52" i="71"/>
  <c r="AZ240" i="71"/>
  <c r="AZ241" i="71" s="1"/>
  <c r="AM76" i="71"/>
  <c r="E48" i="71"/>
  <c r="I86" i="71" s="1"/>
  <c r="AQ179" i="71"/>
  <c r="ED74" i="71"/>
  <c r="AY115" i="71"/>
  <c r="AH76" i="71"/>
  <c r="AA76" i="71"/>
  <c r="I65" i="71"/>
  <c r="J87" i="71"/>
  <c r="DY8" i="71"/>
  <c r="AT56" i="71"/>
  <c r="AT114" i="71" s="1"/>
  <c r="BH108" i="71"/>
  <c r="BG168" i="71"/>
  <c r="BM168" i="71"/>
  <c r="N92" i="71"/>
  <c r="AD56" i="71"/>
  <c r="W76" i="71"/>
  <c r="AZ136" i="71"/>
  <c r="DJ89" i="71"/>
  <c r="DW16" i="71"/>
  <c r="DI62" i="71"/>
  <c r="DI92" i="71" s="1"/>
  <c r="EF44" i="71"/>
  <c r="EG44" i="71" s="1"/>
  <c r="EH44" i="71" s="1"/>
  <c r="EI44" i="71" s="1"/>
  <c r="EJ44" i="71" s="1"/>
  <c r="EK44" i="71" s="1"/>
  <c r="EL44" i="71" s="1"/>
  <c r="EG4" i="71"/>
  <c r="EG77" i="71" s="1"/>
  <c r="BU77" i="71"/>
  <c r="C89" i="71"/>
  <c r="AM44" i="71"/>
  <c r="AM56" i="71" s="1"/>
  <c r="AM114" i="71" s="1"/>
  <c r="BU83" i="71"/>
  <c r="BB107" i="71"/>
  <c r="EC86" i="71"/>
  <c r="DS210" i="71"/>
  <c r="DS212" i="71" s="1"/>
  <c r="AK104" i="71"/>
  <c r="AK108" i="71" s="1"/>
  <c r="BM97" i="71"/>
  <c r="AP56" i="71"/>
  <c r="DP211" i="71"/>
  <c r="DS8" i="71"/>
  <c r="DU36" i="71"/>
  <c r="EC64" i="71"/>
  <c r="BN56" i="71"/>
  <c r="BN90" i="71" s="1"/>
  <c r="EB144" i="71"/>
  <c r="EB149" i="71" s="1"/>
  <c r="AT179" i="71"/>
  <c r="DQ37" i="71"/>
  <c r="DR36" i="71"/>
  <c r="DS35" i="71"/>
  <c r="DP14" i="71"/>
  <c r="DQ8" i="71"/>
  <c r="BE115" i="71"/>
  <c r="BG170" i="71"/>
  <c r="BK44" i="71"/>
  <c r="BK97" i="71" s="1"/>
  <c r="BJ135" i="71"/>
  <c r="BJ179" i="71" s="1"/>
  <c r="BP178" i="71"/>
  <c r="BR168" i="71"/>
  <c r="BL149" i="71"/>
  <c r="DZ54" i="71"/>
  <c r="DZ104" i="71" s="1"/>
  <c r="P65" i="71"/>
  <c r="P93" i="71" s="1"/>
  <c r="BH115" i="71"/>
  <c r="BG178" i="71"/>
  <c r="BG135" i="71"/>
  <c r="BG179" i="71" s="1"/>
  <c r="BG144" i="71"/>
  <c r="BG149" i="71" s="1"/>
  <c r="DY115" i="71"/>
  <c r="DY117" i="71" s="1"/>
  <c r="DY113" i="71"/>
  <c r="DY209" i="71"/>
  <c r="BV56" i="71"/>
  <c r="BV91" i="71" s="1"/>
  <c r="O65" i="71"/>
  <c r="O67" i="71" s="1"/>
  <c r="O92" i="71"/>
  <c r="AK44" i="71"/>
  <c r="AK56" i="71" s="1"/>
  <c r="AC56" i="71"/>
  <c r="AC114" i="71" s="1"/>
  <c r="AH44" i="71"/>
  <c r="AH56" i="71" s="1"/>
  <c r="AX179" i="71"/>
  <c r="AW179" i="71"/>
  <c r="AR233" i="71"/>
  <c r="AR115" i="71"/>
  <c r="EB209" i="71"/>
  <c r="EB115" i="71"/>
  <c r="EB117" i="71" s="1"/>
  <c r="C65" i="71"/>
  <c r="C92" i="71"/>
  <c r="AF104" i="71"/>
  <c r="DW54" i="71"/>
  <c r="DW104" i="71" s="1"/>
  <c r="DW207" i="71" s="1"/>
  <c r="DW210" i="71" s="1"/>
  <c r="AZ230" i="71"/>
  <c r="AZ107" i="71"/>
  <c r="AZ108" i="71"/>
  <c r="AZ110" i="71" s="1"/>
  <c r="BD108" i="71"/>
  <c r="BD110" i="71" s="1"/>
  <c r="AZ193" i="71"/>
  <c r="AZ195" i="71" s="1"/>
  <c r="BA189" i="71"/>
  <c r="BB189" i="71" s="1"/>
  <c r="G227" i="71"/>
  <c r="W89" i="71"/>
  <c r="W62" i="71"/>
  <c r="W92" i="71" s="1"/>
  <c r="DZ209" i="71"/>
  <c r="DZ115" i="71"/>
  <c r="DZ113" i="71"/>
  <c r="DV85" i="71"/>
  <c r="DU85" i="71"/>
  <c r="DX113" i="71"/>
  <c r="DX209" i="71"/>
  <c r="BE193" i="71"/>
  <c r="L86" i="71"/>
  <c r="D48" i="71"/>
  <c r="DO47" i="71"/>
  <c r="DP85" i="71" s="1"/>
  <c r="DQ29" i="71"/>
  <c r="AY230" i="71"/>
  <c r="AY108" i="71"/>
  <c r="BC108" i="71"/>
  <c r="BA136" i="71"/>
  <c r="BA240" i="71"/>
  <c r="BA91" i="71"/>
  <c r="BA107" i="71"/>
  <c r="BA114" i="71"/>
  <c r="BA58" i="71"/>
  <c r="ED104" i="71"/>
  <c r="ED207" i="71" s="1"/>
  <c r="DQ48" i="71"/>
  <c r="DH217" i="71"/>
  <c r="U76" i="71"/>
  <c r="Y76" i="71"/>
  <c r="AG76" i="71"/>
  <c r="AK76" i="71"/>
  <c r="AG44" i="71"/>
  <c r="AG56" i="71" s="1"/>
  <c r="AG107" i="71" s="1"/>
  <c r="J93" i="71"/>
  <c r="J67" i="71"/>
  <c r="J94" i="71"/>
  <c r="BD179" i="71"/>
  <c r="BU56" i="71"/>
  <c r="BU90" i="71" s="1"/>
  <c r="AC113" i="71"/>
  <c r="BA108" i="71"/>
  <c r="DP92" i="71"/>
  <c r="DP65" i="71"/>
  <c r="DP94" i="71" s="1"/>
  <c r="DQ211" i="71"/>
  <c r="DQ89" i="71"/>
  <c r="DQ62" i="71"/>
  <c r="E51" i="71"/>
  <c r="DQ51" i="71"/>
  <c r="AU44" i="71"/>
  <c r="EA44" i="71" s="1"/>
  <c r="EA37" i="71"/>
  <c r="DS29" i="71"/>
  <c r="BP97" i="71"/>
  <c r="BP56" i="71"/>
  <c r="BB184" i="71"/>
  <c r="DO211" i="71"/>
  <c r="DO62" i="71"/>
  <c r="DO89" i="71"/>
  <c r="EA115" i="71"/>
  <c r="S89" i="71"/>
  <c r="BN149" i="71"/>
  <c r="AX115" i="71"/>
  <c r="DK210" i="71"/>
  <c r="DP87" i="71"/>
  <c r="DU20" i="71"/>
  <c r="DU8" i="71"/>
  <c r="DV20" i="71"/>
  <c r="DW20" i="71"/>
  <c r="BH193" i="71"/>
  <c r="BH195" i="71" s="1"/>
  <c r="BO149" i="71"/>
  <c r="BU84" i="71"/>
  <c r="BU74" i="71"/>
  <c r="BM144" i="71"/>
  <c r="BM149" i="71" s="1"/>
  <c r="AU179" i="71"/>
  <c r="BF108" i="71"/>
  <c r="BB115" i="71"/>
  <c r="BE194" i="71"/>
  <c r="BH56" i="71"/>
  <c r="BH144" i="71"/>
  <c r="BH149" i="71" s="1"/>
  <c r="ED73" i="71"/>
  <c r="BK135" i="71"/>
  <c r="BB108" i="71"/>
  <c r="ED87" i="71"/>
  <c r="J89" i="71"/>
  <c r="DS62" i="71"/>
  <c r="DS65" i="71" s="1"/>
  <c r="DQ45" i="71"/>
  <c r="DW87" i="71"/>
  <c r="BP149" i="71"/>
  <c r="BQ144" i="71"/>
  <c r="BQ149" i="71" s="1"/>
  <c r="BJ168" i="71"/>
  <c r="AW108" i="71"/>
  <c r="EF11" i="71"/>
  <c r="BX11" i="71"/>
  <c r="BZ6" i="71"/>
  <c r="BZ78" i="71" s="1"/>
  <c r="AX114" i="71"/>
  <c r="DQ210" i="71"/>
  <c r="DR210" i="71"/>
  <c r="DR212" i="71" s="1"/>
  <c r="BJ115" i="71"/>
  <c r="E65" i="71"/>
  <c r="E94" i="71" s="1"/>
  <c r="EE73" i="71"/>
  <c r="BP193" i="71"/>
  <c r="BP195" i="71" s="1"/>
  <c r="BT56" i="71"/>
  <c r="EE49" i="71"/>
  <c r="EE104" i="71" s="1"/>
  <c r="EG17" i="71"/>
  <c r="EH17" i="71" s="1"/>
  <c r="EI17" i="71" s="1"/>
  <c r="EJ17" i="71" s="1"/>
  <c r="EK17" i="71" s="1"/>
  <c r="EL17" i="71" s="1"/>
  <c r="DT37" i="71"/>
  <c r="DS14" i="71"/>
  <c r="DS16" i="71"/>
  <c r="DR29" i="71"/>
  <c r="ED63" i="71"/>
  <c r="BV87" i="71"/>
  <c r="EG6" i="71"/>
  <c r="AG106" i="71"/>
  <c r="AG230" i="71"/>
  <c r="DX8" i="71"/>
  <c r="AJ44" i="71"/>
  <c r="AJ56" i="71" s="1"/>
  <c r="AB56" i="71"/>
  <c r="DV8" i="71"/>
  <c r="DW8" i="71"/>
  <c r="BJ101" i="71"/>
  <c r="DU86" i="71"/>
  <c r="DT86" i="71"/>
  <c r="N67" i="71"/>
  <c r="N94" i="71"/>
  <c r="N93" i="71"/>
  <c r="DJ92" i="71"/>
  <c r="DJ65" i="71"/>
  <c r="DS87" i="71"/>
  <c r="DT87" i="71"/>
  <c r="AX194" i="71"/>
  <c r="AX178" i="71" s="1"/>
  <c r="AW178" i="71"/>
  <c r="Z62" i="71"/>
  <c r="Z89" i="71"/>
  <c r="R65" i="71"/>
  <c r="R92" i="71"/>
  <c r="AT101" i="71"/>
  <c r="BG115" i="71"/>
  <c r="AR179" i="71"/>
  <c r="AS179" i="71"/>
  <c r="AV233" i="71"/>
  <c r="AZ115" i="71"/>
  <c r="AZ116" i="71" s="1"/>
  <c r="AV115" i="71"/>
  <c r="AV114" i="71"/>
  <c r="EB104" i="71"/>
  <c r="AS177" i="71"/>
  <c r="AR178" i="71"/>
  <c r="EA113" i="71"/>
  <c r="EA209" i="71"/>
  <c r="DU104" i="71"/>
  <c r="DU84" i="71"/>
  <c r="DV84" i="71"/>
  <c r="DY87" i="71"/>
  <c r="BA179" i="71"/>
  <c r="BW12" i="71"/>
  <c r="BX12" i="71" s="1"/>
  <c r="EG12" i="71"/>
  <c r="EH12" i="71" s="1"/>
  <c r="EI12" i="71" s="1"/>
  <c r="EJ12" i="71" s="1"/>
  <c r="EK12" i="71" s="1"/>
  <c r="EL12" i="71" s="1"/>
  <c r="BI194" i="71"/>
  <c r="BQ168" i="71"/>
  <c r="BQ170" i="71"/>
  <c r="BS56" i="71"/>
  <c r="BS97" i="71"/>
  <c r="BW44" i="71"/>
  <c r="BW42" i="71"/>
  <c r="BX42" i="71" s="1"/>
  <c r="BY42" i="71" s="1"/>
  <c r="BZ42" i="71" s="1"/>
  <c r="EG42" i="71"/>
  <c r="EH42" i="71" s="1"/>
  <c r="EI42" i="71" s="1"/>
  <c r="EJ42" i="71" s="1"/>
  <c r="EK42" i="71" s="1"/>
  <c r="EL42" i="71" s="1"/>
  <c r="AV178" i="71"/>
  <c r="O89" i="71"/>
  <c r="E47" i="71"/>
  <c r="I85" i="71" s="1"/>
  <c r="BH101" i="71"/>
  <c r="BV97" i="71"/>
  <c r="EG11" i="71"/>
  <c r="EH11" i="71" s="1"/>
  <c r="EI11" i="71" s="1"/>
  <c r="EJ11" i="71" s="1"/>
  <c r="EK11" i="71" s="1"/>
  <c r="EL11" i="71" s="1"/>
  <c r="E89" i="71"/>
  <c r="C53" i="71"/>
  <c r="G87" i="71" s="1"/>
  <c r="E52" i="71"/>
  <c r="BF182" i="71"/>
  <c r="BF193" i="71" s="1"/>
  <c r="BN168" i="71"/>
  <c r="BN170" i="71"/>
  <c r="BR170" i="71"/>
  <c r="D52" i="71"/>
  <c r="G85" i="71"/>
  <c r="EF77" i="71"/>
  <c r="EE77" i="71"/>
  <c r="BL135" i="71"/>
  <c r="EF73" i="71"/>
  <c r="EG73" i="71"/>
  <c r="EG18" i="71"/>
  <c r="EH18" i="71" s="1"/>
  <c r="EI18" i="71" s="1"/>
  <c r="EJ18" i="71" s="1"/>
  <c r="EK18" i="71" s="1"/>
  <c r="EL18" i="71" s="1"/>
  <c r="BW18" i="71"/>
  <c r="BX18" i="71" s="1"/>
  <c r="BY18" i="71" s="1"/>
  <c r="BZ18" i="71" s="1"/>
  <c r="DQ52" i="71"/>
  <c r="BH178" i="71"/>
  <c r="ED11" i="71"/>
  <c r="BI97" i="71"/>
  <c r="BQ193" i="71"/>
  <c r="BQ195" i="71" s="1"/>
  <c r="BR182" i="71"/>
  <c r="BR193" i="71" s="1"/>
  <c r="BZ77" i="71"/>
  <c r="BI193" i="71"/>
  <c r="BG97" i="71"/>
  <c r="ED44" i="71"/>
  <c r="BR194" i="71"/>
  <c r="EG3" i="71"/>
  <c r="BU97" i="71"/>
  <c r="BU76" i="71"/>
  <c r="BY3" i="71"/>
  <c r="AX108" i="71"/>
  <c r="BH176" i="71"/>
  <c r="BF176" i="71"/>
  <c r="BG176" i="71"/>
  <c r="EF49" i="71"/>
  <c r="BG195" i="71"/>
  <c r="BO97" i="71"/>
  <c r="BG108" i="71"/>
  <c r="BD193" i="71"/>
  <c r="BD195" i="71" s="1"/>
  <c r="BI144" i="71"/>
  <c r="BI149" i="71" s="1"/>
  <c r="BO135" i="71"/>
  <c r="BP135" i="71"/>
  <c r="BF144" i="71"/>
  <c r="BF149" i="71" s="1"/>
  <c r="BI177" i="71"/>
  <c r="BO193" i="71"/>
  <c r="BO195" i="71" s="1"/>
  <c r="BJ170" i="71"/>
  <c r="BL56" i="71"/>
  <c r="BO168" i="71"/>
  <c r="BD144" i="71"/>
  <c r="BD149" i="71" s="1"/>
  <c r="BP168" i="71"/>
  <c r="X69" i="42" l="1"/>
  <c r="I68" i="42"/>
  <c r="X68" i="42" s="1"/>
  <c r="Z56" i="42"/>
  <c r="U68" i="42"/>
  <c r="AC62" i="42"/>
  <c r="Y69" i="42"/>
  <c r="V68" i="42"/>
  <c r="S68" i="42"/>
  <c r="AB56" i="42"/>
  <c r="AC56" i="42"/>
  <c r="L67" i="42"/>
  <c r="K65" i="42"/>
  <c r="Z65" i="42" s="1"/>
  <c r="K70" i="42"/>
  <c r="Z70" i="42" s="1"/>
  <c r="O62" i="42"/>
  <c r="AD62" i="42" s="1"/>
  <c r="P64" i="42"/>
  <c r="M66" i="42"/>
  <c r="L69" i="42"/>
  <c r="J68" i="42"/>
  <c r="Y68" i="42" s="1"/>
  <c r="Z69" i="42"/>
  <c r="K68" i="42"/>
  <c r="EP18" i="71"/>
  <c r="EQ18" i="71" s="1"/>
  <c r="ER18" i="71" s="1"/>
  <c r="ES18" i="71" s="1"/>
  <c r="ET18" i="71" s="1"/>
  <c r="EU18" i="71" s="1"/>
  <c r="EV18" i="71" s="1"/>
  <c r="EW18" i="71" s="1"/>
  <c r="AZ92" i="71"/>
  <c r="CM75" i="71"/>
  <c r="EP11" i="71"/>
  <c r="EQ11" i="71" s="1"/>
  <c r="ER11" i="71" s="1"/>
  <c r="ES11" i="71" s="1"/>
  <c r="ET11" i="71" s="1"/>
  <c r="EU11" i="71" s="1"/>
  <c r="EV11" i="71" s="1"/>
  <c r="EW11" i="71" s="1"/>
  <c r="AZ169" i="71"/>
  <c r="AZ181" i="71"/>
  <c r="AZ93" i="71"/>
  <c r="AZ94" i="71"/>
  <c r="AZ68" i="71"/>
  <c r="EP44" i="71"/>
  <c r="EQ44" i="71" s="1"/>
  <c r="ER44" i="71" s="1"/>
  <c r="ES44" i="71" s="1"/>
  <c r="ET44" i="71" s="1"/>
  <c r="EU44" i="71" s="1"/>
  <c r="EV44" i="71" s="1"/>
  <c r="EW44" i="71" s="1"/>
  <c r="EP10" i="71"/>
  <c r="EQ10" i="71" s="1"/>
  <c r="ER10" i="71" s="1"/>
  <c r="ES10" i="71" s="1"/>
  <c r="ET10" i="71" s="1"/>
  <c r="EU10" i="71" s="1"/>
  <c r="EV10" i="71" s="1"/>
  <c r="EW10" i="71" s="1"/>
  <c r="EP12" i="71"/>
  <c r="EQ12" i="71" s="1"/>
  <c r="ER12" i="71" s="1"/>
  <c r="ES12" i="71" s="1"/>
  <c r="ET12" i="71" s="1"/>
  <c r="EU12" i="71" s="1"/>
  <c r="EV12" i="71" s="1"/>
  <c r="EW12" i="71" s="1"/>
  <c r="EP30" i="71"/>
  <c r="EQ30" i="71" s="1"/>
  <c r="ER30" i="71" s="1"/>
  <c r="ES30" i="71" s="1"/>
  <c r="ET30" i="71" s="1"/>
  <c r="EU30" i="71" s="1"/>
  <c r="EV30" i="71" s="1"/>
  <c r="EW30" i="71" s="1"/>
  <c r="EO7" i="71"/>
  <c r="EP7" i="71" s="1"/>
  <c r="EQ7" i="71" s="1"/>
  <c r="ER7" i="71" s="1"/>
  <c r="ES7" i="71" s="1"/>
  <c r="ET7" i="71" s="1"/>
  <c r="EU7" i="71" s="1"/>
  <c r="EV7" i="71" s="1"/>
  <c r="EW7" i="71" s="1"/>
  <c r="BD101" i="71"/>
  <c r="BD103" i="71" s="1"/>
  <c r="AZ227" i="71"/>
  <c r="EP53" i="71"/>
  <c r="EU69" i="71"/>
  <c r="BR90" i="71"/>
  <c r="BD91" i="71"/>
  <c r="BR100" i="71"/>
  <c r="CU62" i="71"/>
  <c r="CU92" i="71" s="1"/>
  <c r="BD90" i="71"/>
  <c r="DB56" i="71"/>
  <c r="DB58" i="71" s="1"/>
  <c r="DB89" i="71" s="1"/>
  <c r="BR58" i="71"/>
  <c r="BR89" i="71" s="1"/>
  <c r="EH111" i="71"/>
  <c r="EH209" i="71" s="1"/>
  <c r="EJ55" i="71"/>
  <c r="EK55" i="71" s="1"/>
  <c r="EL55" i="71" s="1"/>
  <c r="EP55" i="71" s="1"/>
  <c r="EQ55" i="71" s="1"/>
  <c r="ER55" i="71" s="1"/>
  <c r="ES55" i="71" s="1"/>
  <c r="ET55" i="71" s="1"/>
  <c r="EU55" i="71" s="1"/>
  <c r="EV55" i="71" s="1"/>
  <c r="BR136" i="71"/>
  <c r="BD58" i="71"/>
  <c r="BD62" i="71" s="1"/>
  <c r="BD65" i="71" s="1"/>
  <c r="CT65" i="71"/>
  <c r="CT67" i="71" s="1"/>
  <c r="CT68" i="71" s="1"/>
  <c r="CT75" i="71" s="1"/>
  <c r="CT92" i="71"/>
  <c r="CS65" i="71"/>
  <c r="CS67" i="71" s="1"/>
  <c r="CS68" i="71" s="1"/>
  <c r="CS75" i="71" s="1"/>
  <c r="CS92" i="71"/>
  <c r="CQ65" i="71"/>
  <c r="CQ67" i="71" s="1"/>
  <c r="CQ68" i="71" s="1"/>
  <c r="CQ75" i="71" s="1"/>
  <c r="CQ92" i="71"/>
  <c r="CW65" i="71"/>
  <c r="CW67" i="71" s="1"/>
  <c r="CW68" i="71" s="1"/>
  <c r="CW92" i="71"/>
  <c r="CZ72" i="71"/>
  <c r="CZ89" i="71"/>
  <c r="CZ91" i="71"/>
  <c r="DA72" i="71"/>
  <c r="DA59" i="71"/>
  <c r="DA89" i="71"/>
  <c r="DA91" i="71"/>
  <c r="CV65" i="71"/>
  <c r="CV67" i="71" s="1"/>
  <c r="CV68" i="71" s="1"/>
  <c r="CV92" i="71"/>
  <c r="CX65" i="71"/>
  <c r="CX67" i="71" s="1"/>
  <c r="CX68" i="71" s="1"/>
  <c r="CX92" i="71"/>
  <c r="CR65" i="71"/>
  <c r="CR67" i="71" s="1"/>
  <c r="CR68" i="71" s="1"/>
  <c r="CR75" i="71" s="1"/>
  <c r="CR92" i="71"/>
  <c r="CY65" i="71"/>
  <c r="CY67" i="71" s="1"/>
  <c r="CY68" i="71" s="1"/>
  <c r="CY92" i="71"/>
  <c r="DB81" i="71"/>
  <c r="L65" i="71"/>
  <c r="L93" i="71" s="1"/>
  <c r="DD7" i="71"/>
  <c r="DC56" i="71"/>
  <c r="AE65" i="71"/>
  <c r="AE93" i="71" s="1"/>
  <c r="BD240" i="71"/>
  <c r="BD241" i="71" s="1"/>
  <c r="BD136" i="71"/>
  <c r="BD72" i="71"/>
  <c r="BD122" i="71" s="1"/>
  <c r="BD114" i="71"/>
  <c r="AZ101" i="71"/>
  <c r="AZ103" i="71" s="1"/>
  <c r="U94" i="71"/>
  <c r="U67" i="71"/>
  <c r="U68" i="71" s="1"/>
  <c r="BA101" i="71"/>
  <c r="BA100" i="71"/>
  <c r="BK179" i="71"/>
  <c r="K67" i="71"/>
  <c r="K68" i="71" s="1"/>
  <c r="BH179" i="71"/>
  <c r="K93" i="71"/>
  <c r="BD100" i="71"/>
  <c r="BE72" i="71"/>
  <c r="BE122" i="71" s="1"/>
  <c r="EJ29" i="71"/>
  <c r="AZ179" i="71"/>
  <c r="AS240" i="71"/>
  <c r="AV227" i="71"/>
  <c r="AN56" i="71"/>
  <c r="AN90" i="71" s="1"/>
  <c r="H68" i="71"/>
  <c r="BM91" i="71"/>
  <c r="DK212" i="71"/>
  <c r="AE89" i="71"/>
  <c r="BM58" i="71"/>
  <c r="BM62" i="71" s="1"/>
  <c r="AE91" i="71"/>
  <c r="AP107" i="71"/>
  <c r="AE114" i="71"/>
  <c r="BM100" i="71"/>
  <c r="AT108" i="71"/>
  <c r="BM90" i="71"/>
  <c r="AE90" i="71"/>
  <c r="H94" i="71"/>
  <c r="AE100" i="71"/>
  <c r="D65" i="71"/>
  <c r="D94" i="71" s="1"/>
  <c r="H93" i="71"/>
  <c r="AE107" i="71"/>
  <c r="BM72" i="71"/>
  <c r="BJ58" i="71"/>
  <c r="BJ89" i="71" s="1"/>
  <c r="BJ136" i="71"/>
  <c r="BJ90" i="71"/>
  <c r="BJ100" i="71"/>
  <c r="BN72" i="71"/>
  <c r="BJ114" i="71"/>
  <c r="BN58" i="71"/>
  <c r="BN62" i="71" s="1"/>
  <c r="BQ58" i="71"/>
  <c r="BQ62" i="71" s="1"/>
  <c r="BN100" i="71"/>
  <c r="EB97" i="71"/>
  <c r="EB205" i="71" s="1"/>
  <c r="BU100" i="71"/>
  <c r="BJ107" i="71"/>
  <c r="DM65" i="71"/>
  <c r="DM94" i="71" s="1"/>
  <c r="Q93" i="71"/>
  <c r="AW72" i="71"/>
  <c r="AW122" i="71" s="1"/>
  <c r="AW91" i="71"/>
  <c r="BB179" i="71"/>
  <c r="DP212" i="71"/>
  <c r="Y93" i="71"/>
  <c r="Y67" i="71"/>
  <c r="Y95" i="71" s="1"/>
  <c r="AC100" i="71"/>
  <c r="BF101" i="71"/>
  <c r="AY107" i="71"/>
  <c r="AY90" i="71"/>
  <c r="AY100" i="71"/>
  <c r="AY114" i="71"/>
  <c r="AY136" i="71"/>
  <c r="EA108" i="71"/>
  <c r="AY91" i="71"/>
  <c r="AY58" i="71"/>
  <c r="EB58" i="71" s="1"/>
  <c r="EB211" i="71" s="1"/>
  <c r="EA97" i="71"/>
  <c r="EA205" i="71" s="1"/>
  <c r="EA210" i="71" s="1"/>
  <c r="AS136" i="71"/>
  <c r="AS90" i="71"/>
  <c r="O93" i="71"/>
  <c r="BN91" i="71"/>
  <c r="P67" i="71"/>
  <c r="P68" i="71" s="1"/>
  <c r="Q94" i="71"/>
  <c r="AW90" i="71"/>
  <c r="AS114" i="71"/>
  <c r="AS107" i="71"/>
  <c r="DP93" i="71"/>
  <c r="BR72" i="71"/>
  <c r="P94" i="71"/>
  <c r="AW114" i="71"/>
  <c r="DO212" i="71"/>
  <c r="AW240" i="71"/>
  <c r="BB193" i="71"/>
  <c r="BB195" i="71" s="1"/>
  <c r="AW100" i="71"/>
  <c r="G67" i="71"/>
  <c r="G68" i="71" s="1"/>
  <c r="AW136" i="71"/>
  <c r="AV101" i="71"/>
  <c r="AW58" i="71"/>
  <c r="AS58" i="71"/>
  <c r="BN136" i="71"/>
  <c r="AP100" i="71"/>
  <c r="AC72" i="71"/>
  <c r="AW107" i="71"/>
  <c r="DN212" i="71"/>
  <c r="BE179" i="71"/>
  <c r="BR177" i="71"/>
  <c r="BR176" i="71" s="1"/>
  <c r="S94" i="71"/>
  <c r="BC100" i="71"/>
  <c r="EA56" i="71"/>
  <c r="EB72" i="71" s="1"/>
  <c r="F65" i="71"/>
  <c r="F94" i="71" s="1"/>
  <c r="BC107" i="71"/>
  <c r="BC240" i="71"/>
  <c r="BC241" i="71" s="1"/>
  <c r="BC58" i="71"/>
  <c r="BC89" i="71" s="1"/>
  <c r="BG72" i="71"/>
  <c r="BG122" i="71" s="1"/>
  <c r="BC72" i="71"/>
  <c r="BC122" i="71" s="1"/>
  <c r="BQ178" i="71"/>
  <c r="AR101" i="71"/>
  <c r="AR56" i="71"/>
  <c r="AR240" i="71" s="1"/>
  <c r="AV241" i="71" s="1"/>
  <c r="BC91" i="71"/>
  <c r="BU91" i="71"/>
  <c r="BT100" i="71"/>
  <c r="S67" i="71"/>
  <c r="S95" i="71" s="1"/>
  <c r="O94" i="71"/>
  <c r="AF99" i="71"/>
  <c r="M93" i="71"/>
  <c r="DP67" i="71"/>
  <c r="DP219" i="71" s="1"/>
  <c r="BO100" i="71"/>
  <c r="DW44" i="71"/>
  <c r="DW56" i="71" s="1"/>
  <c r="BU58" i="71"/>
  <c r="BU62" i="71" s="1"/>
  <c r="BU92" i="71" s="1"/>
  <c r="BG107" i="71"/>
  <c r="BG114" i="71"/>
  <c r="BO136" i="71"/>
  <c r="BG58" i="71"/>
  <c r="BG89" i="71" s="1"/>
  <c r="BO58" i="71"/>
  <c r="BG91" i="71"/>
  <c r="BG136" i="71"/>
  <c r="BO90" i="71"/>
  <c r="BE114" i="71"/>
  <c r="M94" i="71"/>
  <c r="DL212" i="71"/>
  <c r="BI58" i="71"/>
  <c r="BI91" i="71"/>
  <c r="BI136" i="71"/>
  <c r="BI90" i="71"/>
  <c r="BI114" i="71"/>
  <c r="BI107" i="71"/>
  <c r="BF72" i="71"/>
  <c r="BF58" i="71"/>
  <c r="BF62" i="71" s="1"/>
  <c r="EC97" i="71"/>
  <c r="EC100" i="71" s="1"/>
  <c r="AT100" i="71"/>
  <c r="AA114" i="71"/>
  <c r="DR85" i="71"/>
  <c r="BC114" i="71"/>
  <c r="BC90" i="71"/>
  <c r="BF91" i="71"/>
  <c r="BF114" i="71"/>
  <c r="AA58" i="71"/>
  <c r="AA62" i="71" s="1"/>
  <c r="BF136" i="71"/>
  <c r="DK94" i="71"/>
  <c r="AE72" i="71"/>
  <c r="AE122" i="71" s="1"/>
  <c r="BO179" i="71"/>
  <c r="DK67" i="71"/>
  <c r="DK219" i="71" s="1"/>
  <c r="G94" i="71"/>
  <c r="DZ76" i="71"/>
  <c r="AV62" i="71"/>
  <c r="AV92" i="71" s="1"/>
  <c r="AA91" i="71"/>
  <c r="AA107" i="71"/>
  <c r="AA90" i="71"/>
  <c r="DX44" i="71"/>
  <c r="DX56" i="71" s="1"/>
  <c r="DX58" i="71" s="1"/>
  <c r="AM107" i="71"/>
  <c r="AA72" i="71"/>
  <c r="BS100" i="71"/>
  <c r="BB62" i="71"/>
  <c r="BB65" i="71" s="1"/>
  <c r="BF90" i="71"/>
  <c r="BF107" i="71"/>
  <c r="V92" i="71"/>
  <c r="V65" i="71"/>
  <c r="AS100" i="71"/>
  <c r="BJ72" i="71"/>
  <c r="BJ122" i="71" s="1"/>
  <c r="EF56" i="71"/>
  <c r="EF58" i="71" s="1"/>
  <c r="DI65" i="71"/>
  <c r="DI67" i="71" s="1"/>
  <c r="BQ91" i="71"/>
  <c r="AL56" i="71"/>
  <c r="AL58" i="71" s="1"/>
  <c r="AL89" i="71" s="1"/>
  <c r="BA193" i="71"/>
  <c r="BA195" i="71" s="1"/>
  <c r="E67" i="71"/>
  <c r="E68" i="71" s="1"/>
  <c r="AW101" i="71"/>
  <c r="DR92" i="71"/>
  <c r="DR65" i="71"/>
  <c r="AM58" i="71"/>
  <c r="AM89" i="71" s="1"/>
  <c r="AX100" i="71"/>
  <c r="BB101" i="71"/>
  <c r="AM90" i="71"/>
  <c r="BL100" i="71"/>
  <c r="AI227" i="71"/>
  <c r="DN67" i="71"/>
  <c r="DN95" i="71" s="1"/>
  <c r="AX89" i="71"/>
  <c r="AX62" i="71"/>
  <c r="AM91" i="71"/>
  <c r="AI56" i="71"/>
  <c r="AI58" i="71" s="1"/>
  <c r="AK106" i="71"/>
  <c r="DN94" i="71"/>
  <c r="T92" i="71"/>
  <c r="T65" i="71"/>
  <c r="BQ72" i="71"/>
  <c r="W65" i="71"/>
  <c r="W67" i="71" s="1"/>
  <c r="W68" i="71" s="1"/>
  <c r="AK230" i="71"/>
  <c r="AO100" i="71"/>
  <c r="AO114" i="71"/>
  <c r="AO58" i="71"/>
  <c r="AO90" i="71"/>
  <c r="AO91" i="71"/>
  <c r="DY44" i="71"/>
  <c r="DY56" i="71" s="1"/>
  <c r="AO108" i="71"/>
  <c r="DL65" i="71"/>
  <c r="DL93" i="71" s="1"/>
  <c r="AS72" i="71"/>
  <c r="AS122" i="71" s="1"/>
  <c r="BT90" i="71"/>
  <c r="BU72" i="71"/>
  <c r="BE100" i="71"/>
  <c r="BE58" i="71"/>
  <c r="BE91" i="71"/>
  <c r="BE90" i="71"/>
  <c r="BI72" i="71"/>
  <c r="BI122" i="71" s="1"/>
  <c r="BE136" i="71"/>
  <c r="DT92" i="71"/>
  <c r="DT65" i="71"/>
  <c r="AC58" i="71"/>
  <c r="AC62" i="71" s="1"/>
  <c r="EE44" i="71"/>
  <c r="EE97" i="71" s="1"/>
  <c r="EE205" i="71" s="1"/>
  <c r="DQ212" i="71"/>
  <c r="BP179" i="71"/>
  <c r="E93" i="71"/>
  <c r="AC91" i="71"/>
  <c r="BQ100" i="71"/>
  <c r="BQ90" i="71"/>
  <c r="BE195" i="71"/>
  <c r="DU56" i="71"/>
  <c r="DU91" i="71" s="1"/>
  <c r="DP48" i="71"/>
  <c r="DO48" i="71" s="1"/>
  <c r="DP86" i="71" s="1"/>
  <c r="AH97" i="71"/>
  <c r="AH227" i="71" s="1"/>
  <c r="DW106" i="71"/>
  <c r="AJ97" i="71"/>
  <c r="AJ100" i="71" s="1"/>
  <c r="AK97" i="71"/>
  <c r="AK99" i="71" s="1"/>
  <c r="AM97" i="71"/>
  <c r="AM100" i="71" s="1"/>
  <c r="DR87" i="71"/>
  <c r="DQ87" i="71"/>
  <c r="AQ56" i="71"/>
  <c r="DZ44" i="71"/>
  <c r="M95" i="71"/>
  <c r="M68" i="71"/>
  <c r="AP91" i="71"/>
  <c r="AP58" i="71"/>
  <c r="AP136" i="71"/>
  <c r="AP90" i="71"/>
  <c r="AP114" i="71"/>
  <c r="AQ97" i="71"/>
  <c r="EH4" i="71"/>
  <c r="BA62" i="71"/>
  <c r="BA92" i="71" s="1"/>
  <c r="BA89" i="71"/>
  <c r="BP100" i="71"/>
  <c r="AL99" i="71"/>
  <c r="BK56" i="71"/>
  <c r="AL227" i="71"/>
  <c r="AT90" i="71"/>
  <c r="AT91" i="71"/>
  <c r="AT240" i="71"/>
  <c r="AX241" i="71" s="1"/>
  <c r="AT58" i="71"/>
  <c r="AT107" i="71"/>
  <c r="AX72" i="71"/>
  <c r="AX122" i="71" s="1"/>
  <c r="AT136" i="71"/>
  <c r="AT72" i="71"/>
  <c r="AT122" i="71" s="1"/>
  <c r="H86" i="71"/>
  <c r="AD100" i="71"/>
  <c r="AD114" i="71"/>
  <c r="AD91" i="71"/>
  <c r="AD90" i="71"/>
  <c r="AD72" i="71"/>
  <c r="AD58" i="71"/>
  <c r="AD107" i="71"/>
  <c r="DH93" i="71"/>
  <c r="DH67" i="71"/>
  <c r="DH94" i="71"/>
  <c r="DW76" i="71"/>
  <c r="DV76" i="71"/>
  <c r="EF97" i="71"/>
  <c r="EJ52" i="71"/>
  <c r="EK52" i="71" s="1"/>
  <c r="EL52" i="71" s="1"/>
  <c r="I93" i="71"/>
  <c r="I67" i="71"/>
  <c r="I94" i="71"/>
  <c r="X67" i="71"/>
  <c r="X94" i="71"/>
  <c r="X93" i="71"/>
  <c r="AF56" i="71"/>
  <c r="AF107" i="71" s="1"/>
  <c r="AH58" i="71"/>
  <c r="AH89" i="71" s="1"/>
  <c r="AH107" i="71"/>
  <c r="AH72" i="71"/>
  <c r="AH122" i="71" s="1"/>
  <c r="AH91" i="71"/>
  <c r="AH90" i="71"/>
  <c r="AH114" i="71"/>
  <c r="AK114" i="71"/>
  <c r="AK90" i="71"/>
  <c r="AK58" i="71"/>
  <c r="AK91" i="71"/>
  <c r="AO72" i="71"/>
  <c r="AO122" i="71" s="1"/>
  <c r="AK107" i="71"/>
  <c r="DV56" i="71"/>
  <c r="DV58" i="71" s="1"/>
  <c r="BP136" i="71"/>
  <c r="BP58" i="71"/>
  <c r="BP90" i="71"/>
  <c r="BP91" i="71"/>
  <c r="BH58" i="71"/>
  <c r="BH72" i="71"/>
  <c r="BH107" i="71"/>
  <c r="BH136" i="71"/>
  <c r="BH91" i="71"/>
  <c r="BF194" i="71"/>
  <c r="BE178" i="71"/>
  <c r="DQ92" i="71"/>
  <c r="DQ65" i="71"/>
  <c r="BH90" i="71"/>
  <c r="BV100" i="71"/>
  <c r="DZ207" i="71"/>
  <c r="DZ108" i="71"/>
  <c r="DP51" i="71"/>
  <c r="DO51" i="71" s="1"/>
  <c r="EH6" i="71"/>
  <c r="EG78" i="71"/>
  <c r="AJ108" i="71"/>
  <c r="AF230" i="71"/>
  <c r="AF106" i="71"/>
  <c r="DR86" i="71"/>
  <c r="DS92" i="71"/>
  <c r="AU97" i="71"/>
  <c r="BV72" i="71"/>
  <c r="BV58" i="71"/>
  <c r="BV90" i="71"/>
  <c r="DO92" i="71"/>
  <c r="DO65" i="71"/>
  <c r="C94" i="71"/>
  <c r="C93" i="71"/>
  <c r="C67" i="71"/>
  <c r="Q95" i="71"/>
  <c r="Q68" i="71"/>
  <c r="AU56" i="71"/>
  <c r="BH114" i="71"/>
  <c r="AG97" i="71"/>
  <c r="AG100" i="71" s="1"/>
  <c r="EE207" i="71"/>
  <c r="BH100" i="71"/>
  <c r="AC90" i="71"/>
  <c r="AC107" i="71"/>
  <c r="BT58" i="71"/>
  <c r="BT72" i="71"/>
  <c r="BT91" i="71"/>
  <c r="J68" i="71"/>
  <c r="J95" i="71"/>
  <c r="AJ91" i="71"/>
  <c r="AJ90" i="71"/>
  <c r="AJ107" i="71"/>
  <c r="AJ114" i="71"/>
  <c r="AJ58" i="71"/>
  <c r="BM179" i="71"/>
  <c r="BL179" i="71"/>
  <c r="Z92" i="71"/>
  <c r="Z65" i="71"/>
  <c r="BW56" i="71"/>
  <c r="EB136" i="71"/>
  <c r="EB90" i="71"/>
  <c r="EC90" i="71" s="1"/>
  <c r="EB114" i="71"/>
  <c r="EB91" i="71"/>
  <c r="AN99" i="71"/>
  <c r="AN227" i="71"/>
  <c r="O95" i="71"/>
  <c r="O68" i="71"/>
  <c r="EC58" i="71"/>
  <c r="EC72" i="71"/>
  <c r="EC114" i="71"/>
  <c r="EC107" i="71"/>
  <c r="BY76" i="71"/>
  <c r="EH3" i="71"/>
  <c r="EG76" i="71"/>
  <c r="EG97" i="71"/>
  <c r="BS58" i="71"/>
  <c r="BS90" i="71"/>
  <c r="BS91" i="71"/>
  <c r="BS72" i="71"/>
  <c r="EB108" i="71"/>
  <c r="EB110" i="71" s="1"/>
  <c r="EB207" i="71"/>
  <c r="EB107" i="71"/>
  <c r="DU106" i="71"/>
  <c r="DU207" i="71"/>
  <c r="DU210" i="71" s="1"/>
  <c r="BI101" i="71"/>
  <c r="BI100" i="71"/>
  <c r="BY12" i="71"/>
  <c r="BZ12" i="71" s="1"/>
  <c r="BZ56" i="71" s="1"/>
  <c r="BX56" i="71"/>
  <c r="BL176" i="71"/>
  <c r="BI178" i="71"/>
  <c r="BJ176" i="71"/>
  <c r="BK176" i="71"/>
  <c r="EG49" i="71"/>
  <c r="EG56" i="71" s="1"/>
  <c r="EF104" i="71"/>
  <c r="BR195" i="71"/>
  <c r="ED56" i="71"/>
  <c r="ED97" i="71"/>
  <c r="AB90" i="71"/>
  <c r="AB72" i="71"/>
  <c r="AB58" i="71"/>
  <c r="AB100" i="71"/>
  <c r="AB91" i="71"/>
  <c r="AB107" i="71"/>
  <c r="AB114" i="71"/>
  <c r="BQ179" i="71"/>
  <c r="AT177" i="71"/>
  <c r="AT178" i="71" s="1"/>
  <c r="AS178" i="71"/>
  <c r="DJ67" i="71"/>
  <c r="DJ94" i="71"/>
  <c r="DJ93" i="71"/>
  <c r="AK72" i="71"/>
  <c r="AK122" i="71" s="1"/>
  <c r="AG58" i="71"/>
  <c r="AG91" i="71"/>
  <c r="AG114" i="71"/>
  <c r="AG72" i="71"/>
  <c r="AG122" i="71" s="1"/>
  <c r="AG90" i="71"/>
  <c r="BL91" i="71"/>
  <c r="BL136" i="71"/>
  <c r="BL90" i="71"/>
  <c r="BL72" i="71"/>
  <c r="BL58" i="71"/>
  <c r="BP72" i="71"/>
  <c r="BI176" i="71"/>
  <c r="BG100" i="71"/>
  <c r="BG101" i="71"/>
  <c r="DY108" i="71"/>
  <c r="DX106" i="71"/>
  <c r="DX207" i="71"/>
  <c r="DX210" i="71" s="1"/>
  <c r="R67" i="71"/>
  <c r="R94" i="71"/>
  <c r="R93" i="71"/>
  <c r="DS94" i="71"/>
  <c r="DS93" i="71"/>
  <c r="DS67" i="71"/>
  <c r="BI195" i="71"/>
  <c r="N68" i="71"/>
  <c r="N95" i="71"/>
  <c r="Z68" i="42" l="1"/>
  <c r="M67" i="42"/>
  <c r="L65" i="42"/>
  <c r="AA65" i="42" s="1"/>
  <c r="L70" i="42"/>
  <c r="AA70" i="42" s="1"/>
  <c r="P62" i="42"/>
  <c r="AE62" i="42" s="1"/>
  <c r="N66" i="42"/>
  <c r="M69" i="42"/>
  <c r="AA69" i="42"/>
  <c r="L68" i="42"/>
  <c r="AA68" i="42" s="1"/>
  <c r="AE67" i="71"/>
  <c r="DB72" i="71"/>
  <c r="L67" i="71"/>
  <c r="L68" i="71" s="1"/>
  <c r="BR62" i="71"/>
  <c r="BR92" i="71" s="1"/>
  <c r="K95" i="71"/>
  <c r="CX75" i="71"/>
  <c r="EQ53" i="71"/>
  <c r="EP87" i="71"/>
  <c r="EV69" i="71"/>
  <c r="EW55" i="71"/>
  <c r="EK29" i="71"/>
  <c r="CV75" i="71"/>
  <c r="U95" i="71"/>
  <c r="BD92" i="71"/>
  <c r="BD89" i="71"/>
  <c r="CU65" i="71"/>
  <c r="CU67" i="71" s="1"/>
  <c r="CU68" i="71" s="1"/>
  <c r="CY75" i="71" s="1"/>
  <c r="DB59" i="71"/>
  <c r="DB61" i="71" s="1"/>
  <c r="DB62" i="71" s="1"/>
  <c r="AE94" i="71"/>
  <c r="L95" i="71"/>
  <c r="DB57" i="71"/>
  <c r="DB91" i="71"/>
  <c r="DA61" i="71"/>
  <c r="DA62" i="71" s="1"/>
  <c r="DA90" i="71"/>
  <c r="DA74" i="71"/>
  <c r="L94" i="71"/>
  <c r="CW75" i="71"/>
  <c r="CZ90" i="71"/>
  <c r="CZ74" i="71"/>
  <c r="CZ65" i="71"/>
  <c r="DC72" i="71"/>
  <c r="DC58" i="71"/>
  <c r="DC89" i="71" s="1"/>
  <c r="DC91" i="71"/>
  <c r="DC59" i="71"/>
  <c r="DC81" i="71"/>
  <c r="DU100" i="71"/>
  <c r="E95" i="71"/>
  <c r="DE7" i="71"/>
  <c r="DD56" i="71"/>
  <c r="BU57" i="71"/>
  <c r="AW119" i="71"/>
  <c r="AW242" i="71" s="1"/>
  <c r="BM89" i="71"/>
  <c r="BQ89" i="71"/>
  <c r="DU114" i="71"/>
  <c r="DU58" i="71"/>
  <c r="DU89" i="71" s="1"/>
  <c r="AW241" i="71"/>
  <c r="AN58" i="71"/>
  <c r="AN62" i="71" s="1"/>
  <c r="AN91" i="71"/>
  <c r="S68" i="71"/>
  <c r="W75" i="71" s="1"/>
  <c r="AN114" i="71"/>
  <c r="AN72" i="71"/>
  <c r="AN122" i="71" s="1"/>
  <c r="AN100" i="71"/>
  <c r="AN107" i="71"/>
  <c r="L75" i="71"/>
  <c r="EA91" i="71"/>
  <c r="D67" i="71"/>
  <c r="D95" i="71" s="1"/>
  <c r="BN89" i="71"/>
  <c r="D93" i="71"/>
  <c r="EA58" i="71"/>
  <c r="EA89" i="71" s="1"/>
  <c r="EA90" i="71"/>
  <c r="EA114" i="71"/>
  <c r="EA107" i="71"/>
  <c r="AY62" i="71"/>
  <c r="AY65" i="71" s="1"/>
  <c r="AY89" i="71"/>
  <c r="BR65" i="71"/>
  <c r="BR93" i="71" s="1"/>
  <c r="BG62" i="71"/>
  <c r="BG65" i="71" s="1"/>
  <c r="DI94" i="71"/>
  <c r="BJ62" i="71"/>
  <c r="BJ65" i="71" s="1"/>
  <c r="DU107" i="71"/>
  <c r="DL67" i="71"/>
  <c r="DL219" i="71" s="1"/>
  <c r="DP68" i="71"/>
  <c r="DP218" i="71" s="1"/>
  <c r="DP95" i="71"/>
  <c r="BF89" i="71"/>
  <c r="DM67" i="71"/>
  <c r="DM68" i="71" s="1"/>
  <c r="DM218" i="71" s="1"/>
  <c r="DM93" i="71"/>
  <c r="DL94" i="71"/>
  <c r="EB210" i="71"/>
  <c r="EB212" i="71" s="1"/>
  <c r="EC101" i="71"/>
  <c r="BC62" i="71"/>
  <c r="BC92" i="71" s="1"/>
  <c r="EB100" i="71"/>
  <c r="Y68" i="71"/>
  <c r="Y75" i="71" s="1"/>
  <c r="F93" i="71"/>
  <c r="F67" i="71"/>
  <c r="F95" i="71" s="1"/>
  <c r="EA100" i="71"/>
  <c r="DW91" i="71"/>
  <c r="DW100" i="71"/>
  <c r="P95" i="71"/>
  <c r="G95" i="71"/>
  <c r="AR107" i="71"/>
  <c r="BR178" i="71"/>
  <c r="AR91" i="71"/>
  <c r="AR114" i="71"/>
  <c r="BA241" i="71"/>
  <c r="AR72" i="71"/>
  <c r="AR122" i="71" s="1"/>
  <c r="AR136" i="71"/>
  <c r="AR90" i="71"/>
  <c r="EB101" i="71"/>
  <c r="EB103" i="71" s="1"/>
  <c r="AH62" i="71"/>
  <c r="AH92" i="71" s="1"/>
  <c r="AR58" i="71"/>
  <c r="Q75" i="71"/>
  <c r="DN219" i="71"/>
  <c r="AL90" i="71"/>
  <c r="AS62" i="71"/>
  <c r="AS89" i="71"/>
  <c r="AV65" i="71"/>
  <c r="AV93" i="71" s="1"/>
  <c r="DV91" i="71"/>
  <c r="ED58" i="71"/>
  <c r="ED62" i="71" s="1"/>
  <c r="DN68" i="71"/>
  <c r="DN218" i="71" s="1"/>
  <c r="AR100" i="71"/>
  <c r="AW89" i="71"/>
  <c r="AW62" i="71"/>
  <c r="AJ227" i="71"/>
  <c r="DV100" i="71"/>
  <c r="AL62" i="71"/>
  <c r="AL92" i="71" s="1"/>
  <c r="DV114" i="71"/>
  <c r="DV107" i="71"/>
  <c r="DW72" i="71"/>
  <c r="AL91" i="71"/>
  <c r="AL114" i="71"/>
  <c r="AL107" i="71"/>
  <c r="AL72" i="71"/>
  <c r="AL122" i="71" s="1"/>
  <c r="AL100" i="71"/>
  <c r="AV72" i="71"/>
  <c r="AV119" i="71" s="1"/>
  <c r="AV242" i="71" s="1"/>
  <c r="AG227" i="71"/>
  <c r="DX91" i="71"/>
  <c r="AG99" i="71"/>
  <c r="DW107" i="71"/>
  <c r="BU65" i="71"/>
  <c r="BU93" i="71" s="1"/>
  <c r="DW114" i="71"/>
  <c r="DI93" i="71"/>
  <c r="DU72" i="71"/>
  <c r="DU90" i="71"/>
  <c r="DX100" i="71"/>
  <c r="DW90" i="71"/>
  <c r="DW58" i="71"/>
  <c r="DW62" i="71" s="1"/>
  <c r="BB92" i="71"/>
  <c r="EE210" i="71"/>
  <c r="DK68" i="71"/>
  <c r="DK218" i="71" s="1"/>
  <c r="AI90" i="71"/>
  <c r="AC89" i="71"/>
  <c r="DV72" i="71"/>
  <c r="DK95" i="71"/>
  <c r="AI100" i="71"/>
  <c r="BO89" i="71"/>
  <c r="BO62" i="71"/>
  <c r="EC205" i="71"/>
  <c r="EC210" i="71" s="1"/>
  <c r="EF114" i="71"/>
  <c r="EF100" i="71"/>
  <c r="K75" i="71"/>
  <c r="EE56" i="71"/>
  <c r="EE107" i="71" s="1"/>
  <c r="BI62" i="71"/>
  <c r="BI89" i="71"/>
  <c r="DX72" i="71"/>
  <c r="DX114" i="71"/>
  <c r="AJ72" i="71"/>
  <c r="AJ122" i="71" s="1"/>
  <c r="EB89" i="71"/>
  <c r="AM62" i="71"/>
  <c r="DX90" i="71"/>
  <c r="EB57" i="71"/>
  <c r="AA89" i="71"/>
  <c r="DX107" i="71"/>
  <c r="AF72" i="71"/>
  <c r="AF122" i="71" s="1"/>
  <c r="AP72" i="71"/>
  <c r="DR93" i="71"/>
  <c r="DR94" i="71"/>
  <c r="DR67" i="71"/>
  <c r="V93" i="71"/>
  <c r="V67" i="71"/>
  <c r="V94" i="71"/>
  <c r="DQ86" i="71"/>
  <c r="EB62" i="71"/>
  <c r="EB65" i="71" s="1"/>
  <c r="EB93" i="71" s="1"/>
  <c r="DY72" i="71"/>
  <c r="DY58" i="71"/>
  <c r="DY62" i="71" s="1"/>
  <c r="DY91" i="71"/>
  <c r="DY90" i="71"/>
  <c r="DY114" i="71"/>
  <c r="DY107" i="71"/>
  <c r="T94" i="71"/>
  <c r="T67" i="71"/>
  <c r="T93" i="71"/>
  <c r="AJ99" i="71"/>
  <c r="BE89" i="71"/>
  <c r="BE62" i="71"/>
  <c r="AO89" i="71"/>
  <c r="AO62" i="71"/>
  <c r="AM72" i="71"/>
  <c r="AM122" i="71" s="1"/>
  <c r="AI91" i="71"/>
  <c r="DY97" i="71"/>
  <c r="DY205" i="71" s="1"/>
  <c r="DY210" i="71" s="1"/>
  <c r="BA65" i="71"/>
  <c r="BA94" i="71" s="1"/>
  <c r="EF205" i="71"/>
  <c r="AI114" i="71"/>
  <c r="EF101" i="71"/>
  <c r="AI72" i="71"/>
  <c r="AI122" i="71" s="1"/>
  <c r="DT67" i="71"/>
  <c r="DT93" i="71"/>
  <c r="DT94" i="71"/>
  <c r="AX65" i="71"/>
  <c r="AX92" i="71"/>
  <c r="P75" i="71"/>
  <c r="AI107" i="71"/>
  <c r="W94" i="71"/>
  <c r="W93" i="71"/>
  <c r="N75" i="71"/>
  <c r="AH100" i="71"/>
  <c r="AK227" i="71"/>
  <c r="AO101" i="71"/>
  <c r="AK100" i="71"/>
  <c r="AH99" i="71"/>
  <c r="AM99" i="71"/>
  <c r="AM227" i="71"/>
  <c r="DV90" i="71"/>
  <c r="DH95" i="71"/>
  <c r="DH68" i="71"/>
  <c r="DH218" i="71" s="1"/>
  <c r="DZ97" i="71"/>
  <c r="DZ56" i="71"/>
  <c r="EI4" i="71"/>
  <c r="EH77" i="71"/>
  <c r="AA92" i="71"/>
  <c r="AA65" i="71"/>
  <c r="AQ58" i="71"/>
  <c r="AQ114" i="71"/>
  <c r="AQ90" i="71"/>
  <c r="AQ240" i="71"/>
  <c r="AQ72" i="71"/>
  <c r="AQ107" i="71"/>
  <c r="AQ91" i="71"/>
  <c r="AQ136" i="71"/>
  <c r="AQ101" i="71"/>
  <c r="AQ100" i="71"/>
  <c r="AF91" i="71"/>
  <c r="AF114" i="71"/>
  <c r="AF58" i="71"/>
  <c r="AF100" i="71"/>
  <c r="AF90" i="71"/>
  <c r="AD62" i="71"/>
  <c r="AD89" i="71"/>
  <c r="AT62" i="71"/>
  <c r="AT89" i="71"/>
  <c r="BK91" i="71"/>
  <c r="BK58" i="71"/>
  <c r="BK90" i="71"/>
  <c r="BK136" i="71"/>
  <c r="BK72" i="71"/>
  <c r="BO72" i="71"/>
  <c r="AP62" i="71"/>
  <c r="AP89" i="71"/>
  <c r="I95" i="71"/>
  <c r="I68" i="71"/>
  <c r="M75" i="71" s="1"/>
  <c r="X95" i="71"/>
  <c r="X68" i="71"/>
  <c r="DH219" i="71"/>
  <c r="BK100" i="71"/>
  <c r="EI6" i="71"/>
  <c r="EH78" i="71"/>
  <c r="BT89" i="71"/>
  <c r="BT62" i="71"/>
  <c r="BQ92" i="71"/>
  <c r="BQ65" i="71"/>
  <c r="AU100" i="71"/>
  <c r="AU227" i="71"/>
  <c r="AU101" i="71"/>
  <c r="AY101" i="71"/>
  <c r="AU58" i="71"/>
  <c r="AU91" i="71"/>
  <c r="AU90" i="71"/>
  <c r="AU107" i="71"/>
  <c r="AU240" i="71"/>
  <c r="AU136" i="71"/>
  <c r="AU114" i="71"/>
  <c r="AY72" i="71"/>
  <c r="AY122" i="71" s="1"/>
  <c r="AU72" i="71"/>
  <c r="AU122" i="71" s="1"/>
  <c r="BV62" i="71"/>
  <c r="BV57" i="71"/>
  <c r="BD94" i="71"/>
  <c r="BD93" i="71"/>
  <c r="BD67" i="71"/>
  <c r="DO94" i="71"/>
  <c r="DO67" i="71"/>
  <c r="DO93" i="71"/>
  <c r="BP89" i="71"/>
  <c r="BP62" i="71"/>
  <c r="AE68" i="71"/>
  <c r="AE95" i="71"/>
  <c r="C68" i="71"/>
  <c r="C95" i="71"/>
  <c r="W95" i="71"/>
  <c r="DI219" i="71"/>
  <c r="DI95" i="71"/>
  <c r="DI68" i="71"/>
  <c r="BH89" i="71"/>
  <c r="BH62" i="71"/>
  <c r="AI62" i="71"/>
  <c r="AI89" i="71"/>
  <c r="DQ67" i="71"/>
  <c r="DQ94" i="71"/>
  <c r="DQ93" i="71"/>
  <c r="BM65" i="71"/>
  <c r="BM92" i="71"/>
  <c r="BF178" i="71"/>
  <c r="BF195" i="71"/>
  <c r="AK62" i="71"/>
  <c r="AK89" i="71"/>
  <c r="EG58" i="71"/>
  <c r="EG57" i="71" s="1"/>
  <c r="EG72" i="71"/>
  <c r="EG59" i="71"/>
  <c r="EG74" i="71" s="1"/>
  <c r="EG114" i="71"/>
  <c r="BN65" i="71"/>
  <c r="BN92" i="71"/>
  <c r="BL89" i="71"/>
  <c r="BL62" i="71"/>
  <c r="BB67" i="71"/>
  <c r="BB94" i="71"/>
  <c r="BB93" i="71"/>
  <c r="ED205" i="71"/>
  <c r="ED210" i="71" s="1"/>
  <c r="ED100" i="71"/>
  <c r="EE101" i="71"/>
  <c r="ED101" i="71"/>
  <c r="BS89" i="71"/>
  <c r="BS62" i="71"/>
  <c r="DS95" i="71"/>
  <c r="DS68" i="71"/>
  <c r="DS219" i="71"/>
  <c r="BF65" i="71"/>
  <c r="BF92" i="71"/>
  <c r="ED72" i="71"/>
  <c r="ED114" i="71"/>
  <c r="ED107" i="71"/>
  <c r="BX72" i="71"/>
  <c r="BX58" i="71"/>
  <c r="BX62" i="71" s="1"/>
  <c r="BX65" i="71" s="1"/>
  <c r="DX211" i="71"/>
  <c r="DX212" i="71" s="1"/>
  <c r="DX62" i="71"/>
  <c r="DX89" i="71"/>
  <c r="Z93" i="71"/>
  <c r="Z94" i="71"/>
  <c r="Z67" i="71"/>
  <c r="BZ72" i="71"/>
  <c r="BZ58" i="71"/>
  <c r="BZ62" i="71" s="1"/>
  <c r="BZ65" i="71" s="1"/>
  <c r="EC211" i="71"/>
  <c r="EC89" i="71"/>
  <c r="EC62" i="71"/>
  <c r="BW72" i="71"/>
  <c r="BW58" i="71"/>
  <c r="BW62" i="71" s="1"/>
  <c r="BW65" i="71" s="1"/>
  <c r="EF207" i="71"/>
  <c r="EF107" i="71"/>
  <c r="O75" i="71"/>
  <c r="AG62" i="71"/>
  <c r="AG89" i="71"/>
  <c r="AB89" i="71"/>
  <c r="AB62" i="71"/>
  <c r="EH49" i="71"/>
  <c r="EH56" i="71" s="1"/>
  <c r="EH91" i="71" s="1"/>
  <c r="EG104" i="71"/>
  <c r="EG205" i="71"/>
  <c r="EG101" i="71"/>
  <c r="EG100" i="71"/>
  <c r="EF62" i="71"/>
  <c r="EF211" i="71"/>
  <c r="EF89" i="71"/>
  <c r="AC65" i="71"/>
  <c r="AC92" i="71"/>
  <c r="R68" i="71"/>
  <c r="R95" i="71"/>
  <c r="EI3" i="71"/>
  <c r="EH76" i="71"/>
  <c r="EH97" i="71"/>
  <c r="U75" i="71"/>
  <c r="DJ219" i="71"/>
  <c r="DJ68" i="71"/>
  <c r="DJ95" i="71"/>
  <c r="BY56" i="71"/>
  <c r="DV89" i="71"/>
  <c r="DV211" i="71"/>
  <c r="DV212" i="71" s="1"/>
  <c r="DV62" i="71"/>
  <c r="AJ62" i="71"/>
  <c r="AJ89" i="71"/>
  <c r="N69" i="42" l="1"/>
  <c r="O66" i="42"/>
  <c r="AB69" i="42"/>
  <c r="N67" i="42"/>
  <c r="M65" i="42"/>
  <c r="AB65" i="42" s="1"/>
  <c r="M70" i="42"/>
  <c r="AB70" i="42" s="1"/>
  <c r="CU75" i="71"/>
  <c r="BJ92" i="71"/>
  <c r="S75" i="71"/>
  <c r="AH65" i="71"/>
  <c r="DB74" i="71"/>
  <c r="EL29" i="71"/>
  <c r="DB90" i="71"/>
  <c r="EQ87" i="71"/>
  <c r="ER53" i="71"/>
  <c r="EW69" i="71"/>
  <c r="DC57" i="71"/>
  <c r="DU211" i="71"/>
  <c r="DU212" i="71" s="1"/>
  <c r="AN89" i="71"/>
  <c r="CZ67" i="71"/>
  <c r="CZ92" i="71"/>
  <c r="DC90" i="71"/>
  <c r="DC74" i="71"/>
  <c r="DC61" i="71"/>
  <c r="DC62" i="71" s="1"/>
  <c r="DD72" i="71"/>
  <c r="DD91" i="71"/>
  <c r="DD59" i="71"/>
  <c r="DD58" i="71"/>
  <c r="DD89" i="71" s="1"/>
  <c r="DA92" i="71"/>
  <c r="DA65" i="71"/>
  <c r="DB92" i="71"/>
  <c r="DB65" i="71"/>
  <c r="DD81" i="71"/>
  <c r="DU62" i="71"/>
  <c r="DU92" i="71" s="1"/>
  <c r="DF7" i="71"/>
  <c r="DE56" i="71"/>
  <c r="AY92" i="71"/>
  <c r="BR66" i="71"/>
  <c r="BR67" i="71" s="1"/>
  <c r="BR169" i="71" s="1"/>
  <c r="D68" i="71"/>
  <c r="H75" i="71" s="1"/>
  <c r="EA62" i="71"/>
  <c r="EA92" i="71" s="1"/>
  <c r="EA211" i="71"/>
  <c r="EA212" i="71" s="1"/>
  <c r="DM219" i="71"/>
  <c r="BG92" i="71"/>
  <c r="DM95" i="71"/>
  <c r="F68" i="71"/>
  <c r="J75" i="71" s="1"/>
  <c r="AL65" i="71"/>
  <c r="AL94" i="71" s="1"/>
  <c r="BC65" i="71"/>
  <c r="BC93" i="71" s="1"/>
  <c r="DZ101" i="71"/>
  <c r="AV67" i="71"/>
  <c r="AV95" i="71" s="1"/>
  <c r="AV94" i="71"/>
  <c r="DL95" i="71"/>
  <c r="DY100" i="71"/>
  <c r="DL68" i="71"/>
  <c r="DL75" i="71" s="1"/>
  <c r="BU66" i="71"/>
  <c r="BU94" i="71" s="1"/>
  <c r="EE114" i="71"/>
  <c r="AV122" i="71"/>
  <c r="EE72" i="71"/>
  <c r="EE100" i="71"/>
  <c r="EE58" i="71"/>
  <c r="EE211" i="71" s="1"/>
  <c r="EE212" i="71" s="1"/>
  <c r="AR89" i="71"/>
  <c r="AR62" i="71"/>
  <c r="ED57" i="71"/>
  <c r="AW92" i="71"/>
  <c r="AW65" i="71"/>
  <c r="AS92" i="71"/>
  <c r="AS65" i="71"/>
  <c r="ED89" i="71"/>
  <c r="ED211" i="71"/>
  <c r="ED212" i="71" s="1"/>
  <c r="BA93" i="71"/>
  <c r="BA67" i="71"/>
  <c r="BA68" i="71" s="1"/>
  <c r="EF72" i="71"/>
  <c r="DY101" i="71"/>
  <c r="DW211" i="71"/>
  <c r="DW212" i="71" s="1"/>
  <c r="DW89" i="71"/>
  <c r="EC212" i="71"/>
  <c r="BO92" i="71"/>
  <c r="BO65" i="71"/>
  <c r="EB67" i="71"/>
  <c r="EB68" i="71" s="1"/>
  <c r="EB94" i="71"/>
  <c r="BI92" i="71"/>
  <c r="BI65" i="71"/>
  <c r="DY211" i="71"/>
  <c r="DY212" i="71" s="1"/>
  <c r="AM92" i="71"/>
  <c r="AM65" i="71"/>
  <c r="DY89" i="71"/>
  <c r="V95" i="71"/>
  <c r="V68" i="71"/>
  <c r="V75" i="71" s="1"/>
  <c r="DN75" i="71"/>
  <c r="DR95" i="71"/>
  <c r="DR68" i="71"/>
  <c r="DR218" i="71" s="1"/>
  <c r="DR219" i="71"/>
  <c r="EB92" i="71"/>
  <c r="AX67" i="71"/>
  <c r="AX93" i="71"/>
  <c r="AX94" i="71"/>
  <c r="AY94" i="71"/>
  <c r="AY93" i="71"/>
  <c r="AY67" i="71"/>
  <c r="T68" i="71"/>
  <c r="T75" i="71" s="1"/>
  <c r="T95" i="71"/>
  <c r="DT68" i="71"/>
  <c r="DT218" i="71" s="1"/>
  <c r="DT95" i="71"/>
  <c r="DT219" i="71"/>
  <c r="BE92" i="71"/>
  <c r="BE65" i="71"/>
  <c r="AO65" i="71"/>
  <c r="AO92" i="71"/>
  <c r="EF210" i="71"/>
  <c r="EF212" i="71" s="1"/>
  <c r="BW57" i="71"/>
  <c r="BK62" i="71"/>
  <c r="BK89" i="71"/>
  <c r="AA67" i="71"/>
  <c r="AA94" i="71"/>
  <c r="AA93" i="71"/>
  <c r="AQ62" i="71"/>
  <c r="AQ89" i="71"/>
  <c r="AT92" i="71"/>
  <c r="AT65" i="71"/>
  <c r="EI77" i="71"/>
  <c r="EJ4" i="71"/>
  <c r="DZ90" i="71"/>
  <c r="DZ58" i="71"/>
  <c r="DZ114" i="71"/>
  <c r="DZ107" i="71"/>
  <c r="DZ91" i="71"/>
  <c r="DZ72" i="71"/>
  <c r="EA72" i="71"/>
  <c r="DZ205" i="71"/>
  <c r="DZ210" i="71" s="1"/>
  <c r="DZ100" i="71"/>
  <c r="EA101" i="71"/>
  <c r="AF89" i="71"/>
  <c r="AF62" i="71"/>
  <c r="AP65" i="71"/>
  <c r="AP92" i="71"/>
  <c r="AD92" i="71"/>
  <c r="AD65" i="71"/>
  <c r="I75" i="71"/>
  <c r="BJ93" i="71"/>
  <c r="BJ67" i="71"/>
  <c r="BJ94" i="71"/>
  <c r="AU89" i="71"/>
  <c r="AU62" i="71"/>
  <c r="AK92" i="71"/>
  <c r="AK65" i="71"/>
  <c r="BH65" i="71"/>
  <c r="BH92" i="71"/>
  <c r="DI75" i="71"/>
  <c r="DI218" i="71"/>
  <c r="BV92" i="71"/>
  <c r="BV65" i="71"/>
  <c r="BM93" i="71"/>
  <c r="BM94" i="71"/>
  <c r="BM67" i="71"/>
  <c r="BZ57" i="71"/>
  <c r="DQ219" i="71"/>
  <c r="DQ95" i="71"/>
  <c r="DQ68" i="71"/>
  <c r="BP65" i="71"/>
  <c r="BP92" i="71"/>
  <c r="EI78" i="71"/>
  <c r="EJ6" i="71"/>
  <c r="AI65" i="71"/>
  <c r="AI92" i="71"/>
  <c r="BQ94" i="71"/>
  <c r="BQ67" i="71"/>
  <c r="BQ93" i="71"/>
  <c r="AY241" i="71"/>
  <c r="AU241" i="71"/>
  <c r="BD169" i="71"/>
  <c r="BD68" i="71"/>
  <c r="BD75" i="71" s="1"/>
  <c r="BD181" i="71"/>
  <c r="BD95" i="71"/>
  <c r="DO95" i="71"/>
  <c r="DO68" i="71"/>
  <c r="DO219" i="71"/>
  <c r="BT65" i="71"/>
  <c r="BT92" i="71"/>
  <c r="R75" i="71"/>
  <c r="DS218" i="71"/>
  <c r="AH67" i="71"/>
  <c r="AH93" i="71"/>
  <c r="AH94" i="71"/>
  <c r="BX66" i="71"/>
  <c r="BX67" i="71" s="1"/>
  <c r="BX68" i="71" s="1"/>
  <c r="BG94" i="71"/>
  <c r="BG67" i="71"/>
  <c r="BG93" i="71"/>
  <c r="ED65" i="71"/>
  <c r="ED92" i="71"/>
  <c r="DW92" i="71"/>
  <c r="DW65" i="71"/>
  <c r="BY58" i="71"/>
  <c r="BY62" i="71" s="1"/>
  <c r="BY65" i="71" s="1"/>
  <c r="BY72" i="71"/>
  <c r="EF92" i="71"/>
  <c r="EF65" i="71"/>
  <c r="BS92" i="71"/>
  <c r="BS65" i="71"/>
  <c r="Z68" i="71"/>
  <c r="Z95" i="71"/>
  <c r="EC65" i="71"/>
  <c r="EC92" i="71"/>
  <c r="BL65" i="71"/>
  <c r="BL92" i="71"/>
  <c r="AB65" i="71"/>
  <c r="AB92" i="71"/>
  <c r="AG92" i="71"/>
  <c r="AG65" i="71"/>
  <c r="BX57" i="71"/>
  <c r="DK75" i="71"/>
  <c r="DJ218" i="71"/>
  <c r="DJ75" i="71"/>
  <c r="BW66" i="71"/>
  <c r="BW67" i="71" s="1"/>
  <c r="BW68" i="71" s="1"/>
  <c r="EH58" i="71"/>
  <c r="EH72" i="71"/>
  <c r="EH114" i="71"/>
  <c r="DV92" i="71"/>
  <c r="DV65" i="71"/>
  <c r="EJ3" i="71"/>
  <c r="EI76" i="71"/>
  <c r="EI97" i="71"/>
  <c r="BN94" i="71"/>
  <c r="BN67" i="71"/>
  <c r="BN93" i="71"/>
  <c r="BB181" i="71"/>
  <c r="BB68" i="71"/>
  <c r="BB95" i="71"/>
  <c r="BB169" i="71"/>
  <c r="EG107" i="71"/>
  <c r="EG207" i="71"/>
  <c r="EG210" i="71" s="1"/>
  <c r="DY92" i="71"/>
  <c r="DY65" i="71"/>
  <c r="BZ66" i="71"/>
  <c r="BZ67" i="71" s="1"/>
  <c r="BZ68" i="71" s="1"/>
  <c r="BF94" i="71"/>
  <c r="BF93" i="71"/>
  <c r="BF67" i="71"/>
  <c r="EG211" i="71"/>
  <c r="EG62" i="71"/>
  <c r="EG89" i="71"/>
  <c r="EH205" i="71"/>
  <c r="EH101" i="71"/>
  <c r="EH100" i="71"/>
  <c r="AJ65" i="71"/>
  <c r="AJ92" i="71"/>
  <c r="AC67" i="71"/>
  <c r="AC93" i="71"/>
  <c r="AC94" i="71"/>
  <c r="EI49" i="71"/>
  <c r="EH104" i="71"/>
  <c r="AN92" i="71"/>
  <c r="AN65" i="71"/>
  <c r="DX92" i="71"/>
  <c r="DX65" i="71"/>
  <c r="N65" i="42" l="1"/>
  <c r="AC65" i="42" s="1"/>
  <c r="O67" i="42"/>
  <c r="N70" i="42"/>
  <c r="AC70" i="42" s="1"/>
  <c r="M68" i="42"/>
  <c r="AB68" i="42" s="1"/>
  <c r="P66" i="42"/>
  <c r="P69" i="42" s="1"/>
  <c r="O69" i="42"/>
  <c r="AC69" i="42"/>
  <c r="N68" i="42"/>
  <c r="AC68" i="42" s="1"/>
  <c r="DU65" i="71"/>
  <c r="CZ68" i="71"/>
  <c r="EH57" i="71"/>
  <c r="EH89" i="71"/>
  <c r="ER87" i="71"/>
  <c r="ES53" i="71"/>
  <c r="EF66" i="71"/>
  <c r="BR181" i="71"/>
  <c r="BR68" i="71"/>
  <c r="CZ75" i="71"/>
  <c r="DD90" i="71"/>
  <c r="DD74" i="71"/>
  <c r="DD61" i="71"/>
  <c r="DD62" i="71" s="1"/>
  <c r="DD57" i="71"/>
  <c r="DE72" i="71"/>
  <c r="DE91" i="71"/>
  <c r="DE59" i="71"/>
  <c r="DE58" i="71"/>
  <c r="DE89" i="71" s="1"/>
  <c r="DC92" i="71"/>
  <c r="DC65" i="71"/>
  <c r="DB66" i="71"/>
  <c r="DB67" i="71" s="1"/>
  <c r="DB68" i="71" s="1"/>
  <c r="DB75" i="71" s="1"/>
  <c r="EA65" i="71"/>
  <c r="EA93" i="71" s="1"/>
  <c r="DA67" i="71"/>
  <c r="DA68" i="71" s="1"/>
  <c r="DA75" i="71" s="1"/>
  <c r="DF81" i="71"/>
  <c r="DE81" i="71"/>
  <c r="BR95" i="71"/>
  <c r="BR94" i="71"/>
  <c r="BC67" i="71"/>
  <c r="BC181" i="71" s="1"/>
  <c r="AV68" i="71"/>
  <c r="AZ75" i="71" s="1"/>
  <c r="BC94" i="71"/>
  <c r="AL93" i="71"/>
  <c r="AV181" i="71"/>
  <c r="AV169" i="71"/>
  <c r="AL67" i="71"/>
  <c r="AL68" i="71" s="1"/>
  <c r="EB95" i="71"/>
  <c r="EB219" i="71"/>
  <c r="BU67" i="71"/>
  <c r="BU95" i="71" s="1"/>
  <c r="DM75" i="71"/>
  <c r="EE89" i="71"/>
  <c r="EE62" i="71"/>
  <c r="EE92" i="71" s="1"/>
  <c r="DL218" i="71"/>
  <c r="EB168" i="71"/>
  <c r="BA95" i="71"/>
  <c r="BA181" i="71"/>
  <c r="BA169" i="71"/>
  <c r="AR92" i="71"/>
  <c r="AR65" i="71"/>
  <c r="AS93" i="71"/>
  <c r="AS66" i="71"/>
  <c r="AS94" i="71" s="1"/>
  <c r="AW67" i="71"/>
  <c r="AW93" i="71"/>
  <c r="AW94" i="71"/>
  <c r="BI94" i="71"/>
  <c r="BI93" i="71"/>
  <c r="BI67" i="71"/>
  <c r="BO67" i="71"/>
  <c r="BO93" i="71"/>
  <c r="BO94" i="71"/>
  <c r="AM93" i="71"/>
  <c r="AM67" i="71"/>
  <c r="AM94" i="71"/>
  <c r="DS75" i="71"/>
  <c r="DT75" i="71"/>
  <c r="AY169" i="71"/>
  <c r="AY68" i="71"/>
  <c r="AY95" i="71"/>
  <c r="AY181" i="71"/>
  <c r="AO67" i="71"/>
  <c r="AO93" i="71"/>
  <c r="AO94" i="71"/>
  <c r="X75" i="71"/>
  <c r="BE93" i="71"/>
  <c r="BE67" i="71"/>
  <c r="BE94" i="71"/>
  <c r="AX68" i="71"/>
  <c r="BB75" i="71" s="1"/>
  <c r="AX95" i="71"/>
  <c r="AX169" i="71"/>
  <c r="AX181" i="71"/>
  <c r="EG212" i="71"/>
  <c r="AP66" i="71"/>
  <c r="AP93" i="71"/>
  <c r="AD67" i="71"/>
  <c r="AD94" i="71"/>
  <c r="AD93" i="71"/>
  <c r="AF92" i="71"/>
  <c r="AF65" i="71"/>
  <c r="AQ92" i="71"/>
  <c r="AQ65" i="71"/>
  <c r="DZ89" i="71"/>
  <c r="DZ62" i="71"/>
  <c r="DZ211" i="71"/>
  <c r="DZ212" i="71" s="1"/>
  <c r="BY57" i="71"/>
  <c r="EK4" i="71"/>
  <c r="EJ77" i="71"/>
  <c r="AA95" i="71"/>
  <c r="AA68" i="71"/>
  <c r="AT66" i="71"/>
  <c r="AT93" i="71"/>
  <c r="BK92" i="71"/>
  <c r="BK65" i="71"/>
  <c r="AI94" i="71"/>
  <c r="AI67" i="71"/>
  <c r="AI93" i="71"/>
  <c r="BM95" i="71"/>
  <c r="BM181" i="71"/>
  <c r="BM68" i="71"/>
  <c r="BM169" i="71"/>
  <c r="EK6" i="71"/>
  <c r="EJ78" i="71"/>
  <c r="BT94" i="71"/>
  <c r="BT93" i="71"/>
  <c r="BT67" i="71"/>
  <c r="BV66" i="71"/>
  <c r="BV94" i="71" s="1"/>
  <c r="BV93" i="71"/>
  <c r="BH93" i="71"/>
  <c r="BH67" i="71"/>
  <c r="BH94" i="71"/>
  <c r="BP93" i="71"/>
  <c r="BP67" i="71"/>
  <c r="BP94" i="71"/>
  <c r="AK93" i="71"/>
  <c r="AK94" i="71"/>
  <c r="AK67" i="71"/>
  <c r="DO75" i="71"/>
  <c r="DO218" i="71"/>
  <c r="DP75" i="71"/>
  <c r="DR75" i="71"/>
  <c r="DQ218" i="71"/>
  <c r="DQ75" i="71"/>
  <c r="AU65" i="71"/>
  <c r="AU92" i="71"/>
  <c r="BQ169" i="71"/>
  <c r="BQ95" i="71"/>
  <c r="BQ68" i="71"/>
  <c r="BQ181" i="71"/>
  <c r="BJ95" i="71"/>
  <c r="BJ169" i="71"/>
  <c r="BJ68" i="71"/>
  <c r="BJ181" i="71"/>
  <c r="DX94" i="71"/>
  <c r="DX67" i="71"/>
  <c r="DX93" i="71"/>
  <c r="EC93" i="71"/>
  <c r="EC67" i="71"/>
  <c r="EC94" i="71"/>
  <c r="DW93" i="71"/>
  <c r="DW67" i="71"/>
  <c r="DW94" i="71"/>
  <c r="DY66" i="71"/>
  <c r="DY94" i="71" s="1"/>
  <c r="DY93" i="71"/>
  <c r="AG67" i="71"/>
  <c r="AG93" i="71"/>
  <c r="AG94" i="71"/>
  <c r="ED93" i="71"/>
  <c r="ED67" i="71"/>
  <c r="ED94" i="71"/>
  <c r="EE94" i="71" s="1"/>
  <c r="EF94" i="71" s="1"/>
  <c r="EG94" i="71" s="1"/>
  <c r="EF67" i="71"/>
  <c r="EF93" i="71"/>
  <c r="Z75" i="71"/>
  <c r="EH107" i="71"/>
  <c r="EH207" i="71"/>
  <c r="EH210" i="71" s="1"/>
  <c r="EJ49" i="71"/>
  <c r="EK49" i="71" s="1"/>
  <c r="EL49" i="71" s="1"/>
  <c r="EP49" i="71" s="1"/>
  <c r="EQ49" i="71" s="1"/>
  <c r="ER49" i="71" s="1"/>
  <c r="ES49" i="71" s="1"/>
  <c r="ET49" i="71" s="1"/>
  <c r="EU49" i="71" s="1"/>
  <c r="EV49" i="71" s="1"/>
  <c r="EW49" i="71" s="1"/>
  <c r="EI104" i="71"/>
  <c r="EI207" i="71" s="1"/>
  <c r="BN68" i="71"/>
  <c r="BR75" i="71" s="1"/>
  <c r="BN95" i="71"/>
  <c r="BN169" i="71"/>
  <c r="BN181" i="71"/>
  <c r="EH211" i="71"/>
  <c r="BG181" i="71"/>
  <c r="BG169" i="71"/>
  <c r="BG68" i="71"/>
  <c r="BG95" i="71"/>
  <c r="AB94" i="71"/>
  <c r="AB93" i="71"/>
  <c r="AB67" i="71"/>
  <c r="BY66" i="71"/>
  <c r="BY67" i="71" s="1"/>
  <c r="BY68" i="71" s="1"/>
  <c r="EI101" i="71"/>
  <c r="EI205" i="71"/>
  <c r="EI56" i="71"/>
  <c r="EI91" i="71" s="1"/>
  <c r="EB218" i="71"/>
  <c r="EG92" i="71"/>
  <c r="BF95" i="71"/>
  <c r="BF68" i="71"/>
  <c r="BF169" i="71"/>
  <c r="BF181" i="71"/>
  <c r="AH68" i="71"/>
  <c r="AH95" i="71"/>
  <c r="DU66" i="71"/>
  <c r="DU94" i="71" s="1"/>
  <c r="DU93" i="71"/>
  <c r="AJ93" i="71"/>
  <c r="AJ67" i="71"/>
  <c r="AJ94" i="71"/>
  <c r="EJ76" i="71"/>
  <c r="EK3" i="71"/>
  <c r="BL67" i="71"/>
  <c r="BL93" i="71"/>
  <c r="BL94" i="71"/>
  <c r="BS94" i="71"/>
  <c r="BS93" i="71"/>
  <c r="BS67" i="71"/>
  <c r="AN93" i="71"/>
  <c r="AN94" i="71"/>
  <c r="AN67" i="71"/>
  <c r="AC95" i="71"/>
  <c r="AC68" i="71"/>
  <c r="AC75" i="71" s="1"/>
  <c r="DV93" i="71"/>
  <c r="DV94" i="71"/>
  <c r="DV67" i="71"/>
  <c r="AE69" i="42" l="1"/>
  <c r="P67" i="42"/>
  <c r="O65" i="42"/>
  <c r="AD65" i="42" s="1"/>
  <c r="O70" i="42"/>
  <c r="AD70" i="42" s="1"/>
  <c r="AD69" i="42"/>
  <c r="EA94" i="71"/>
  <c r="EA67" i="71"/>
  <c r="DB138" i="71"/>
  <c r="ES87" i="71"/>
  <c r="ET53" i="71"/>
  <c r="BC68" i="71"/>
  <c r="BC75" i="71" s="1"/>
  <c r="BC169" i="71"/>
  <c r="DE74" i="71"/>
  <c r="DE61" i="71"/>
  <c r="DE62" i="71" s="1"/>
  <c r="DE90" i="71"/>
  <c r="DD92" i="71"/>
  <c r="DD65" i="71"/>
  <c r="BC95" i="71"/>
  <c r="DE57" i="71"/>
  <c r="DC66" i="71"/>
  <c r="DC67" i="71" s="1"/>
  <c r="DC68" i="71" s="1"/>
  <c r="DC75" i="71" s="1"/>
  <c r="DF56" i="71"/>
  <c r="AL95" i="71"/>
  <c r="BU68" i="71"/>
  <c r="BY75" i="71" s="1"/>
  <c r="EE65" i="71"/>
  <c r="EE67" i="71" s="1"/>
  <c r="AS67" i="71"/>
  <c r="AS169" i="71" s="1"/>
  <c r="AR67" i="71"/>
  <c r="AR93" i="71"/>
  <c r="AR94" i="71"/>
  <c r="AW68" i="71"/>
  <c r="AW95" i="71"/>
  <c r="AW169" i="71"/>
  <c r="AW181" i="71"/>
  <c r="BO95" i="71"/>
  <c r="BO181" i="71"/>
  <c r="BO169" i="71"/>
  <c r="BO68" i="71"/>
  <c r="BI68" i="71"/>
  <c r="BM75" i="71" s="1"/>
  <c r="BI169" i="71"/>
  <c r="BI95" i="71"/>
  <c r="BI181" i="71"/>
  <c r="AM68" i="71"/>
  <c r="AM95" i="71"/>
  <c r="AM169" i="71"/>
  <c r="EH212" i="71"/>
  <c r="AO95" i="71"/>
  <c r="AO68" i="71"/>
  <c r="BV67" i="71"/>
  <c r="BV95" i="71" s="1"/>
  <c r="BE169" i="71"/>
  <c r="BE68" i="71"/>
  <c r="BE181" i="71"/>
  <c r="BE95" i="71"/>
  <c r="EJ56" i="71"/>
  <c r="AA75" i="71"/>
  <c r="AE75" i="71"/>
  <c r="DZ65" i="71"/>
  <c r="DZ92" i="71"/>
  <c r="EL4" i="71"/>
  <c r="EK77" i="71"/>
  <c r="AF67" i="71"/>
  <c r="AF94" i="71"/>
  <c r="AF93" i="71"/>
  <c r="AQ93" i="71"/>
  <c r="AQ67" i="71"/>
  <c r="AQ94" i="71"/>
  <c r="BK67" i="71"/>
  <c r="BK93" i="71"/>
  <c r="BK94" i="71"/>
  <c r="AD68" i="71"/>
  <c r="AD75" i="71" s="1"/>
  <c r="AD95" i="71"/>
  <c r="BQ75" i="71"/>
  <c r="AT67" i="71"/>
  <c r="DZ66" i="71"/>
  <c r="AT94" i="71"/>
  <c r="AP67" i="71"/>
  <c r="AP94" i="71"/>
  <c r="AU93" i="71"/>
  <c r="AU94" i="71"/>
  <c r="AU67" i="71"/>
  <c r="EK78" i="71"/>
  <c r="EL6" i="71"/>
  <c r="BH95" i="71"/>
  <c r="BH68" i="71"/>
  <c r="BH75" i="71" s="1"/>
  <c r="BH181" i="71"/>
  <c r="BH169" i="71"/>
  <c r="BN75" i="71"/>
  <c r="EI210" i="71"/>
  <c r="AK68" i="71"/>
  <c r="AK95" i="71"/>
  <c r="BT68" i="71"/>
  <c r="BT95" i="71"/>
  <c r="AI95" i="71"/>
  <c r="AI68" i="71"/>
  <c r="BP181" i="71"/>
  <c r="BP68" i="71"/>
  <c r="BP169" i="71"/>
  <c r="BP95" i="71"/>
  <c r="BL95" i="71"/>
  <c r="BL68" i="71"/>
  <c r="BL181" i="71"/>
  <c r="BL169" i="71"/>
  <c r="BF75" i="71"/>
  <c r="BJ75" i="71"/>
  <c r="AB95" i="71"/>
  <c r="AB68" i="71"/>
  <c r="EI58" i="71"/>
  <c r="EI72" i="71"/>
  <c r="EC219" i="71"/>
  <c r="EC95" i="71"/>
  <c r="EC68" i="71"/>
  <c r="EC139" i="71"/>
  <c r="ED139" i="71" s="1"/>
  <c r="EF95" i="71"/>
  <c r="EF68" i="71"/>
  <c r="AN68" i="71"/>
  <c r="AN95" i="71"/>
  <c r="EK76" i="71"/>
  <c r="EK56" i="71"/>
  <c r="EK91" i="71" s="1"/>
  <c r="EL3" i="71"/>
  <c r="EA95" i="71"/>
  <c r="EA219" i="71"/>
  <c r="EA68" i="71"/>
  <c r="BS68" i="71"/>
  <c r="BS95" i="71"/>
  <c r="DV219" i="71"/>
  <c r="DV95" i="71"/>
  <c r="DV68" i="71"/>
  <c r="DU67" i="71"/>
  <c r="AG68" i="71"/>
  <c r="AG95" i="71"/>
  <c r="ED68" i="71"/>
  <c r="ED95" i="71"/>
  <c r="DX95" i="71"/>
  <c r="DX68" i="71"/>
  <c r="DX219" i="71"/>
  <c r="DX70" i="71"/>
  <c r="AJ95" i="71"/>
  <c r="AJ68" i="71"/>
  <c r="DW219" i="71"/>
  <c r="DW68" i="71"/>
  <c r="DW95" i="71"/>
  <c r="EP29" i="71"/>
  <c r="AL75" i="71"/>
  <c r="EI100" i="71"/>
  <c r="DY67" i="71"/>
  <c r="P65" i="42" l="1"/>
  <c r="AE65" i="42" s="1"/>
  <c r="P70" i="42"/>
  <c r="O68" i="42"/>
  <c r="AD68" i="42" s="1"/>
  <c r="DC138" i="71"/>
  <c r="EI57" i="71"/>
  <c r="EI89" i="71"/>
  <c r="EJ58" i="71"/>
  <c r="EJ89" i="71" s="1"/>
  <c r="EJ91" i="71"/>
  <c r="BV68" i="71"/>
  <c r="BV75" i="71" s="1"/>
  <c r="ET87" i="71"/>
  <c r="EU53" i="71"/>
  <c r="BG75" i="71"/>
  <c r="DF72" i="71"/>
  <c r="DF91" i="71"/>
  <c r="DF59" i="71"/>
  <c r="DF58" i="71"/>
  <c r="DF89" i="71" s="1"/>
  <c r="DD66" i="71"/>
  <c r="DD67" i="71" s="1"/>
  <c r="DE92" i="71"/>
  <c r="DE65" i="71"/>
  <c r="BU75" i="71"/>
  <c r="EE93" i="71"/>
  <c r="AS181" i="71"/>
  <c r="AS95" i="71"/>
  <c r="AS68" i="71"/>
  <c r="AS75" i="71" s="1"/>
  <c r="AR169" i="71"/>
  <c r="AR181" i="71"/>
  <c r="AR95" i="71"/>
  <c r="AR68" i="71"/>
  <c r="AV75" i="71" s="1"/>
  <c r="BA75" i="71"/>
  <c r="AO75" i="71"/>
  <c r="BI75" i="71"/>
  <c r="BE75" i="71"/>
  <c r="DZ94" i="71"/>
  <c r="EJ72" i="71"/>
  <c r="AQ181" i="71"/>
  <c r="AQ68" i="71"/>
  <c r="AQ75" i="71" s="1"/>
  <c r="AQ169" i="71"/>
  <c r="AQ95" i="71"/>
  <c r="AT181" i="71"/>
  <c r="AT95" i="71"/>
  <c r="AT68" i="71"/>
  <c r="AT169" i="71"/>
  <c r="AF95" i="71"/>
  <c r="AF68" i="71"/>
  <c r="AF75" i="71" s="1"/>
  <c r="AH75" i="71"/>
  <c r="EL77" i="71"/>
  <c r="DZ93" i="71"/>
  <c r="DZ67" i="71"/>
  <c r="AP169" i="71"/>
  <c r="AP68" i="71"/>
  <c r="AP75" i="71" s="1"/>
  <c r="AP95" i="71"/>
  <c r="BK181" i="71"/>
  <c r="BK95" i="71"/>
  <c r="BK68" i="71"/>
  <c r="BK169" i="71"/>
  <c r="AI75" i="71"/>
  <c r="AM75" i="71"/>
  <c r="EE68" i="71"/>
  <c r="EE75" i="71" s="1"/>
  <c r="EE95" i="71"/>
  <c r="EL78" i="71"/>
  <c r="EE139" i="71"/>
  <c r="EF139" i="71" s="1"/>
  <c r="EG63" i="71" s="1"/>
  <c r="EG65" i="71" s="1"/>
  <c r="BT75" i="71"/>
  <c r="BX75" i="71"/>
  <c r="AU169" i="71"/>
  <c r="AU181" i="71"/>
  <c r="AU68" i="71"/>
  <c r="AU95" i="71"/>
  <c r="EK72" i="71"/>
  <c r="EK58" i="71"/>
  <c r="EK89" i="71" s="1"/>
  <c r="DV218" i="71"/>
  <c r="EQ29" i="71"/>
  <c r="BS75" i="71"/>
  <c r="BW75" i="71"/>
  <c r="EI211" i="71"/>
  <c r="EI212" i="71" s="1"/>
  <c r="AN75" i="71"/>
  <c r="DW75" i="71"/>
  <c r="DW218" i="71"/>
  <c r="ED75" i="71"/>
  <c r="EC218" i="71"/>
  <c r="EC75" i="71"/>
  <c r="DX218" i="71"/>
  <c r="DX75" i="71"/>
  <c r="AB75" i="71"/>
  <c r="EA218" i="71"/>
  <c r="EB75" i="71"/>
  <c r="AG75" i="71"/>
  <c r="AK75" i="71"/>
  <c r="BL75" i="71"/>
  <c r="BP75" i="71"/>
  <c r="EL76" i="71"/>
  <c r="EL56" i="71"/>
  <c r="EL91" i="71" s="1"/>
  <c r="DY219" i="71"/>
  <c r="DY68" i="71"/>
  <c r="DY168" i="71"/>
  <c r="DY95" i="71"/>
  <c r="EJ57" i="71"/>
  <c r="DU219" i="71"/>
  <c r="DU68" i="71"/>
  <c r="DV75" i="71" s="1"/>
  <c r="DU95" i="71"/>
  <c r="AE70" i="42" l="1"/>
  <c r="P68" i="42"/>
  <c r="AE68" i="42" s="1"/>
  <c r="BZ75" i="71"/>
  <c r="DD68" i="71"/>
  <c r="DD75" i="71" s="1"/>
  <c r="DD138" i="71"/>
  <c r="EU87" i="71"/>
  <c r="EV53" i="71"/>
  <c r="ER29" i="71"/>
  <c r="ES29" i="71" s="1"/>
  <c r="ET29" i="71" s="1"/>
  <c r="EU29" i="71" s="1"/>
  <c r="EV29" i="71" s="1"/>
  <c r="EW29" i="71" s="1"/>
  <c r="AW75" i="71"/>
  <c r="DF90" i="71"/>
  <c r="DF74" i="71"/>
  <c r="DF61" i="71"/>
  <c r="DF62" i="71" s="1"/>
  <c r="DE66" i="71"/>
  <c r="DE67" i="71" s="1"/>
  <c r="DE68" i="71" s="1"/>
  <c r="DE75" i="71" s="1"/>
  <c r="DF57" i="71"/>
  <c r="AJ75" i="71"/>
  <c r="AR75" i="71"/>
  <c r="EF75" i="71"/>
  <c r="EM77" i="71"/>
  <c r="AT75" i="71"/>
  <c r="AX75" i="71"/>
  <c r="BO75" i="71"/>
  <c r="BK75" i="71"/>
  <c r="DZ68" i="71"/>
  <c r="DZ75" i="71" s="1"/>
  <c r="DZ219" i="71"/>
  <c r="DZ95" i="71"/>
  <c r="EM78" i="71"/>
  <c r="AU75" i="71"/>
  <c r="AY75" i="71"/>
  <c r="EG66" i="71"/>
  <c r="EG67" i="71" s="1"/>
  <c r="EG93" i="71"/>
  <c r="DY75" i="71"/>
  <c r="DY218" i="71"/>
  <c r="EM76" i="71"/>
  <c r="EM56" i="71"/>
  <c r="EM91" i="71" s="1"/>
  <c r="EL58" i="71"/>
  <c r="EL72" i="71"/>
  <c r="DU218" i="71"/>
  <c r="DU75" i="71"/>
  <c r="EK57" i="71"/>
  <c r="DE138" i="71" l="1"/>
  <c r="EL57" i="71"/>
  <c r="EL89" i="71"/>
  <c r="EW53" i="71"/>
  <c r="EW87" i="71" s="1"/>
  <c r="EV87" i="71"/>
  <c r="DF92" i="71"/>
  <c r="DF65" i="71"/>
  <c r="DZ218" i="71"/>
  <c r="EA75" i="71"/>
  <c r="EN77" i="71"/>
  <c r="EN78" i="71"/>
  <c r="EG95" i="71"/>
  <c r="EG68" i="71"/>
  <c r="EG139" i="71"/>
  <c r="EN56" i="71"/>
  <c r="EN76" i="71"/>
  <c r="EM58" i="71"/>
  <c r="EM72" i="71"/>
  <c r="EN58" i="71" l="1"/>
  <c r="EN91" i="71"/>
  <c r="EN90" i="71"/>
  <c r="EM57" i="71"/>
  <c r="EM89" i="71"/>
  <c r="DF66" i="71"/>
  <c r="DF67" i="71" s="1"/>
  <c r="DF68" i="71" s="1"/>
  <c r="DF75" i="71" s="1"/>
  <c r="EO77" i="71"/>
  <c r="EO78" i="71"/>
  <c r="EP3" i="71"/>
  <c r="EP76" i="71" s="1"/>
  <c r="EO56" i="71"/>
  <c r="C76" i="71"/>
  <c r="C75" i="71"/>
  <c r="EG75" i="71"/>
  <c r="C72" i="71"/>
  <c r="EN72" i="71"/>
  <c r="EH63" i="71"/>
  <c r="DF138" i="71" l="1"/>
  <c r="EO91" i="71"/>
  <c r="EO59" i="71"/>
  <c r="EO90" i="71" s="1"/>
  <c r="EN89" i="71"/>
  <c r="EN62" i="71"/>
  <c r="EN92" i="71" s="1"/>
  <c r="EQ77" i="71"/>
  <c r="EP77" i="71"/>
  <c r="EP78" i="71"/>
  <c r="EQ78" i="71"/>
  <c r="EO72" i="71"/>
  <c r="EO58" i="71"/>
  <c r="EQ3" i="71"/>
  <c r="EP56" i="71"/>
  <c r="ER3" i="71" l="1"/>
  <c r="EQ76" i="71"/>
  <c r="EP91" i="71"/>
  <c r="EP59" i="71"/>
  <c r="EO57" i="71"/>
  <c r="EO89" i="71"/>
  <c r="EQ56" i="71"/>
  <c r="EO61" i="71"/>
  <c r="EO62" i="71" s="1"/>
  <c r="EO92" i="71" s="1"/>
  <c r="EP72" i="71"/>
  <c r="EP58" i="71"/>
  <c r="EP57" i="71" l="1"/>
  <c r="EP89" i="71"/>
  <c r="EQ91" i="71"/>
  <c r="EQ59" i="71"/>
  <c r="ES3" i="71"/>
  <c r="ER76" i="71"/>
  <c r="ER56" i="71"/>
  <c r="EO74" i="71"/>
  <c r="EQ72" i="71"/>
  <c r="EQ58" i="71"/>
  <c r="ER58" i="71" l="1"/>
  <c r="ER89" i="71" s="1"/>
  <c r="ER91" i="71"/>
  <c r="ER59" i="71"/>
  <c r="ER72" i="71"/>
  <c r="EQ57" i="71"/>
  <c r="EQ89" i="71"/>
  <c r="ET3" i="71"/>
  <c r="ES76" i="71"/>
  <c r="ES56" i="71"/>
  <c r="EP61" i="71"/>
  <c r="EP62" i="71" s="1"/>
  <c r="EP92" i="71" s="1"/>
  <c r="EP90" i="71"/>
  <c r="EP74" i="71"/>
  <c r="ER57" i="71" l="1"/>
  <c r="ES59" i="71"/>
  <c r="ES91" i="71"/>
  <c r="ES72" i="71"/>
  <c r="ES58" i="71"/>
  <c r="ES57" i="71" s="1"/>
  <c r="EU3" i="71"/>
  <c r="ET76" i="71"/>
  <c r="ET56" i="71"/>
  <c r="ER61" i="71"/>
  <c r="ER62" i="71" s="1"/>
  <c r="ER92" i="71" s="1"/>
  <c r="ER90" i="71"/>
  <c r="EQ61" i="71"/>
  <c r="EQ62" i="71" s="1"/>
  <c r="EQ92" i="71" s="1"/>
  <c r="EQ90" i="71"/>
  <c r="EQ74" i="71"/>
  <c r="EV3" i="71" l="1"/>
  <c r="EU76" i="71"/>
  <c r="EU56" i="71"/>
  <c r="ET59" i="71"/>
  <c r="ET91" i="71"/>
  <c r="ET72" i="71"/>
  <c r="ET58" i="71"/>
  <c r="ET89" i="71" s="1"/>
  <c r="ES89" i="71"/>
  <c r="ES61" i="71"/>
  <c r="ES62" i="71" s="1"/>
  <c r="ES90" i="71"/>
  <c r="EN65" i="71"/>
  <c r="ET57" i="71" l="1"/>
  <c r="ES92" i="71"/>
  <c r="ES65" i="71"/>
  <c r="EU91" i="71"/>
  <c r="EU59" i="71"/>
  <c r="EU72" i="71"/>
  <c r="EU58" i="71"/>
  <c r="EU89" i="71" s="1"/>
  <c r="EN93" i="71"/>
  <c r="EN94" i="71"/>
  <c r="ET90" i="71"/>
  <c r="ET61" i="71"/>
  <c r="ET62" i="71" s="1"/>
  <c r="EW3" i="71"/>
  <c r="EV76" i="71"/>
  <c r="EV56" i="71"/>
  <c r="EN67" i="71"/>
  <c r="EN95" i="71" s="1"/>
  <c r="EU57" i="71" l="1"/>
  <c r="EW76" i="71"/>
  <c r="EW56" i="71"/>
  <c r="EU90" i="71"/>
  <c r="EU61" i="71"/>
  <c r="EU62" i="71" s="1"/>
  <c r="ET92" i="71"/>
  <c r="ET65" i="71"/>
  <c r="ES93" i="71"/>
  <c r="ES66" i="71"/>
  <c r="ES94" i="71" s="1"/>
  <c r="EV59" i="71"/>
  <c r="EV61" i="71" s="1"/>
  <c r="EV72" i="71"/>
  <c r="EV58" i="71"/>
  <c r="EN68" i="71"/>
  <c r="EI62" i="71"/>
  <c r="EI92" i="71" s="1"/>
  <c r="EI90" i="71"/>
  <c r="EJ59" i="71"/>
  <c r="EJ62" i="71" s="1"/>
  <c r="EV62" i="71" l="1"/>
  <c r="EV65" i="71" s="1"/>
  <c r="EV66" i="71" s="1"/>
  <c r="EV67" i="71" s="1"/>
  <c r="EV68" i="71" s="1"/>
  <c r="ES67" i="71"/>
  <c r="ES68" i="71" s="1"/>
  <c r="EU92" i="71"/>
  <c r="EU65" i="71"/>
  <c r="ET93" i="71"/>
  <c r="ET66" i="71"/>
  <c r="ET94" i="71" s="1"/>
  <c r="EJ74" i="71"/>
  <c r="EW59" i="71"/>
  <c r="EW61" i="71" s="1"/>
  <c r="EW72" i="71"/>
  <c r="EW58" i="71"/>
  <c r="EJ90" i="71"/>
  <c r="EV57" i="71"/>
  <c r="EJ92" i="71"/>
  <c r="EK59" i="71"/>
  <c r="ES95" i="71" l="1"/>
  <c r="EW62" i="71"/>
  <c r="EW65" i="71" s="1"/>
  <c r="EW66" i="71" s="1"/>
  <c r="EW67" i="71" s="1"/>
  <c r="ET67" i="71"/>
  <c r="EU93" i="71"/>
  <c r="EU66" i="71"/>
  <c r="EU94" i="71" s="1"/>
  <c r="EW57" i="71"/>
  <c r="EK90" i="71"/>
  <c r="EK62" i="71"/>
  <c r="EK61" i="71"/>
  <c r="EL59" i="71"/>
  <c r="EK74" i="71"/>
  <c r="ET68" i="71" l="1"/>
  <c r="ET95" i="71"/>
  <c r="EU67" i="71"/>
  <c r="EW68" i="71"/>
  <c r="EX67" i="71"/>
  <c r="EY67" i="71" s="1"/>
  <c r="EZ67" i="71" s="1"/>
  <c r="FA67" i="71" s="1"/>
  <c r="FB67" i="71" s="1"/>
  <c r="FC67" i="71" s="1"/>
  <c r="FD67" i="71" s="1"/>
  <c r="FE67" i="71" s="1"/>
  <c r="FF67" i="71" s="1"/>
  <c r="FG67" i="71" s="1"/>
  <c r="FH67" i="71" s="1"/>
  <c r="FI67" i="71" s="1"/>
  <c r="FJ67" i="71" s="1"/>
  <c r="FK67" i="71" s="1"/>
  <c r="FL67" i="71" s="1"/>
  <c r="FM67" i="71" s="1"/>
  <c r="FN67" i="71" s="1"/>
  <c r="FO67" i="71" s="1"/>
  <c r="FP67" i="71" s="1"/>
  <c r="FQ67" i="71" s="1"/>
  <c r="FR67" i="71" s="1"/>
  <c r="FS67" i="71" s="1"/>
  <c r="FT67" i="71" s="1"/>
  <c r="FU67" i="71" s="1"/>
  <c r="FV67" i="71" s="1"/>
  <c r="FW67" i="71" s="1"/>
  <c r="FX67" i="71" s="1"/>
  <c r="FY67" i="71" s="1"/>
  <c r="FZ67" i="71" s="1"/>
  <c r="GA67" i="71" s="1"/>
  <c r="GB67" i="71" s="1"/>
  <c r="GC67" i="71" s="1"/>
  <c r="GD67" i="71" s="1"/>
  <c r="GE67" i="71" s="1"/>
  <c r="GF67" i="71" s="1"/>
  <c r="GG67" i="71" s="1"/>
  <c r="GH67" i="71" s="1"/>
  <c r="GI67" i="71" s="1"/>
  <c r="GJ67" i="71" s="1"/>
  <c r="GK67" i="71" s="1"/>
  <c r="GL67" i="71" s="1"/>
  <c r="GM67" i="71" s="1"/>
  <c r="GN67" i="71" s="1"/>
  <c r="GO67" i="71" s="1"/>
  <c r="GP67" i="71" s="1"/>
  <c r="GQ67" i="71" s="1"/>
  <c r="GR67" i="71" s="1"/>
  <c r="GS67" i="71" s="1"/>
  <c r="GT67" i="71" s="1"/>
  <c r="GU67" i="71" s="1"/>
  <c r="GV67" i="71" s="1"/>
  <c r="GW67" i="71" s="1"/>
  <c r="GX67" i="71" s="1"/>
  <c r="GY67" i="71" s="1"/>
  <c r="GZ67" i="71" s="1"/>
  <c r="HA67" i="71" s="1"/>
  <c r="HB67" i="71" s="1"/>
  <c r="HC67" i="71" s="1"/>
  <c r="HD67" i="71" s="1"/>
  <c r="HE67" i="71" s="1"/>
  <c r="HF67" i="71" s="1"/>
  <c r="HG67" i="71" s="1"/>
  <c r="HH67" i="71" s="1"/>
  <c r="HI67" i="71" s="1"/>
  <c r="HJ67" i="71" s="1"/>
  <c r="HK67" i="71" s="1"/>
  <c r="HL67" i="71" s="1"/>
  <c r="HM67" i="71" s="1"/>
  <c r="HN67" i="71" s="1"/>
  <c r="HO67" i="71" s="1"/>
  <c r="HP67" i="71" s="1"/>
  <c r="HQ67" i="71" s="1"/>
  <c r="HR67" i="71" s="1"/>
  <c r="HS67" i="71" s="1"/>
  <c r="HT67" i="71" s="1"/>
  <c r="HU67" i="71" s="1"/>
  <c r="HV67" i="71" s="1"/>
  <c r="HW67" i="71" s="1"/>
  <c r="HX67" i="71" s="1"/>
  <c r="HY67" i="71" s="1"/>
  <c r="HZ67" i="71" s="1"/>
  <c r="IA67" i="71" s="1"/>
  <c r="IB67" i="71" s="1"/>
  <c r="IC67" i="71" s="1"/>
  <c r="ID67" i="71" s="1"/>
  <c r="IE67" i="71" s="1"/>
  <c r="IF67" i="71" s="1"/>
  <c r="IG67" i="71" s="1"/>
  <c r="IH67" i="71" s="1"/>
  <c r="II67" i="71" s="1"/>
  <c r="IJ67" i="71" s="1"/>
  <c r="IK67" i="71" s="1"/>
  <c r="IL67" i="71" s="1"/>
  <c r="IM67" i="71" s="1"/>
  <c r="IN67" i="71" s="1"/>
  <c r="IO67" i="71" s="1"/>
  <c r="IP67" i="71" s="1"/>
  <c r="IQ67" i="71" s="1"/>
  <c r="IR67" i="71" s="1"/>
  <c r="IS67" i="71" s="1"/>
  <c r="IT67" i="71" s="1"/>
  <c r="IU67" i="71" s="1"/>
  <c r="IV67" i="71" s="1"/>
  <c r="IW67" i="71" s="1"/>
  <c r="EM59" i="71"/>
  <c r="EL74" i="71"/>
  <c r="EL61" i="71"/>
  <c r="EL62" i="71"/>
  <c r="EL90" i="71"/>
  <c r="EK92" i="71"/>
  <c r="EU68" i="71" l="1"/>
  <c r="EU95" i="71"/>
  <c r="EL92" i="71"/>
  <c r="EM62" i="71"/>
  <c r="EN74" i="71"/>
  <c r="EM61" i="71"/>
  <c r="EM74" i="71"/>
  <c r="EM90" i="71"/>
  <c r="EM92" i="71" l="1"/>
  <c r="EI74" i="71"/>
  <c r="EH74" i="71"/>
  <c r="EH90" i="71"/>
  <c r="EH62" i="71"/>
  <c r="EH92" i="71" s="1"/>
  <c r="EH65" i="71" l="1"/>
  <c r="EH93" i="71" l="1"/>
  <c r="EH94" i="71"/>
  <c r="EH67" i="71"/>
  <c r="EH68" i="71" s="1"/>
  <c r="EH75" i="71" s="1"/>
  <c r="EH95" i="71" l="1"/>
  <c r="EH139" i="71"/>
  <c r="EI63" i="71" l="1"/>
  <c r="EI65" i="71" s="1"/>
  <c r="EI93" i="71" l="1"/>
  <c r="EI94" i="71"/>
  <c r="EI67" i="71"/>
  <c r="EI95" i="71" s="1"/>
  <c r="EI68" i="71" l="1"/>
  <c r="EI75" i="71" s="1"/>
  <c r="EI139" i="71"/>
  <c r="EJ63" i="71" s="1"/>
  <c r="EJ65" i="71" s="1"/>
  <c r="EJ93" i="71" s="1"/>
  <c r="EJ66" i="71" l="1"/>
  <c r="EJ94" i="71" s="1"/>
  <c r="EJ67" i="71" l="1"/>
  <c r="EJ68" i="71" s="1"/>
  <c r="EJ75" i="71" s="1"/>
  <c r="EJ95" i="71"/>
  <c r="EJ139" i="71"/>
  <c r="EK63" i="71" l="1"/>
  <c r="EK65" i="71" s="1"/>
  <c r="EK93" i="71" l="1"/>
  <c r="EK66" i="71"/>
  <c r="EK94" i="71" s="1"/>
  <c r="EK67" i="71" l="1"/>
  <c r="EK68" i="71" l="1"/>
  <c r="EK75" i="71" s="1"/>
  <c r="EK95" i="71"/>
  <c r="EK139" i="71"/>
  <c r="EL63" i="71" l="1"/>
  <c r="EL65" i="71" s="1"/>
  <c r="EL66" i="71" l="1"/>
  <c r="EL94" i="71" s="1"/>
  <c r="EL93" i="71"/>
  <c r="EL67" i="71"/>
  <c r="EL68" i="71" l="1"/>
  <c r="EL75" i="71" s="1"/>
  <c r="EL95" i="71"/>
  <c r="EL139" i="71"/>
  <c r="EM63" i="71" l="1"/>
  <c r="EM65" i="71" s="1"/>
  <c r="EM93" i="71" l="1"/>
  <c r="EM66" i="71"/>
  <c r="EM94" i="71" s="1"/>
  <c r="EM67" i="71" l="1"/>
  <c r="EM95" i="71" s="1"/>
  <c r="EM139" i="71"/>
  <c r="EN139" i="71" s="1"/>
  <c r="EM68" i="71" l="1"/>
  <c r="EM75" i="71" s="1"/>
  <c r="EN75" i="71"/>
  <c r="EO63" i="71"/>
  <c r="EO65" i="71" s="1"/>
  <c r="EO93" i="71" l="1"/>
  <c r="EO66" i="71"/>
  <c r="EO94" i="71" s="1"/>
  <c r="EO67" i="71" l="1"/>
  <c r="EO95" i="71" s="1"/>
  <c r="EO139" i="71" l="1"/>
  <c r="EP63" i="71" s="1"/>
  <c r="EP65" i="71" s="1"/>
  <c r="EO68" i="71"/>
  <c r="EO75" i="71" s="1"/>
  <c r="EP93" i="71" l="1"/>
  <c r="EP66" i="71"/>
  <c r="EP94" i="71" s="1"/>
  <c r="EP67" i="71" l="1"/>
  <c r="EP95" i="71" l="1"/>
  <c r="EP68" i="71"/>
  <c r="EP75" i="71" s="1"/>
  <c r="EP139" i="71"/>
  <c r="EQ63" i="71" l="1"/>
  <c r="EQ65" i="71" s="1"/>
  <c r="EQ66" i="71" l="1"/>
  <c r="EQ94" i="71" s="1"/>
  <c r="EQ93" i="71"/>
  <c r="EQ67" i="71" l="1"/>
  <c r="EQ95" i="71" l="1"/>
  <c r="EQ68" i="71"/>
  <c r="EQ75" i="71" s="1"/>
  <c r="EQ139" i="71"/>
  <c r="ER63" i="71" l="1"/>
  <c r="ER65" i="71" s="1"/>
  <c r="ER93" i="71" l="1"/>
  <c r="ER66" i="71"/>
  <c r="ER94" i="71" s="1"/>
  <c r="ER67" i="71" l="1"/>
  <c r="ER68" i="71" s="1"/>
  <c r="ER95" i="71"/>
  <c r="FA75" i="71"/>
  <c r="FA76" i="71" s="1"/>
  <c r="FA77" i="7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Martin</author>
    <author>MLB</author>
  </authors>
  <commentList>
    <comment ref="N4"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 ref="E6" authorId="1" shapeId="0" xr:uid="{00000000-0006-0000-0600-000002000000}">
      <text>
        <r>
          <rPr>
            <b/>
            <sz val="9"/>
            <color indexed="81"/>
            <rFont val="Tahoma"/>
            <family val="2"/>
          </rPr>
          <t>Martin:</t>
        </r>
        <r>
          <rPr>
            <sz val="9"/>
            <color indexed="81"/>
            <rFont val="Tahoma"/>
            <family val="2"/>
          </rPr>
          <t xml:space="preserve">
Approved 11/4/11</t>
        </r>
      </text>
    </comment>
    <comment ref="H13" authorId="2"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MSMB - Andre</author>
    <author>Martin Shkreli</author>
    <author>MLB</author>
    <author>MSMB</author>
    <author>Martin</author>
    <author>tc={87F7743F-B7B2-484F-9ABD-F302B651F898}</author>
    <author xml:space="preserve"> </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tc={4074C536-E10D-4126-A24D-0AAC46FA4222}</author>
    <author>tc={3B857DD8-37A9-4E26-BCDD-046757882E93}</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s>
  <commentList>
    <comment ref="BB2" authorId="0" shapeId="0" xr:uid="{00000000-0006-0000-0700-000001000000}">
      <text>
        <r>
          <rPr>
            <sz val="9"/>
            <color indexed="81"/>
            <rFont val="Tahoma"/>
            <family val="2"/>
          </rPr>
          <t>53rd week</t>
        </r>
      </text>
    </comment>
    <comment ref="O3" authorId="1" shapeId="0" xr:uid="{00000000-0006-0000-0700-000002000000}">
      <text>
        <r>
          <rPr>
            <b/>
            <sz val="8"/>
            <color indexed="81"/>
            <rFont val="Tahoma"/>
            <family val="2"/>
          </rPr>
          <t>Martin Shkreli:</t>
        </r>
        <r>
          <rPr>
            <sz val="8"/>
            <color indexed="81"/>
            <rFont val="Tahoma"/>
            <family val="2"/>
          </rPr>
          <t xml:space="preserve">
GS actual
Bear actual</t>
        </r>
      </text>
    </comment>
    <comment ref="P3" authorId="1"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1" shapeId="0" xr:uid="{00000000-0006-0000-0700-000004000000}">
      <text>
        <r>
          <rPr>
            <b/>
            <sz val="8"/>
            <color indexed="81"/>
            <rFont val="Tahoma"/>
            <family val="2"/>
          </rPr>
          <t>Martin Shkreli:</t>
        </r>
        <r>
          <rPr>
            <sz val="8"/>
            <color indexed="81"/>
            <rFont val="Tahoma"/>
            <family val="2"/>
          </rPr>
          <t xml:space="preserve">
GS actual
Bear actual</t>
        </r>
      </text>
    </comment>
    <comment ref="R3" authorId="1" shapeId="0" xr:uid="{00000000-0006-0000-0700-000005000000}">
      <text>
        <r>
          <rPr>
            <b/>
            <sz val="8"/>
            <color indexed="81"/>
            <rFont val="Tahoma"/>
            <family val="2"/>
          </rPr>
          <t>Martin Shkreli:</t>
        </r>
        <r>
          <rPr>
            <sz val="8"/>
            <color indexed="81"/>
            <rFont val="Tahoma"/>
            <family val="2"/>
          </rPr>
          <t xml:space="preserve">
GS actual
Bear actual</t>
        </r>
      </text>
    </comment>
    <comment ref="U3" authorId="1"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2"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1"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3"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4" shapeId="0" xr:uid="{00000000-0006-0000-0700-00000A000000}">
      <text>
        <r>
          <rPr>
            <b/>
            <sz val="9"/>
            <color indexed="81"/>
            <rFont val="Tahoma"/>
            <family val="2"/>
          </rPr>
          <t>Martin:</t>
        </r>
        <r>
          <rPr>
            <sz val="9"/>
            <color indexed="81"/>
            <rFont val="Tahoma"/>
            <family val="2"/>
          </rPr>
          <t xml:space="preserve">
New Remicade rights from MRK</t>
        </r>
      </text>
    </comment>
    <comment ref="DP3" authorId="5"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Q3" authorId="1"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R3" authorId="1"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DS3" authorId="1"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DT3" authorId="1"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1" shapeId="0" xr:uid="{00000000-0006-0000-0700-00000F000000}">
      <text>
        <r>
          <rPr>
            <b/>
            <sz val="8"/>
            <color indexed="81"/>
            <rFont val="Tahoma"/>
            <family val="2"/>
          </rPr>
          <t>Martin Shkreli:</t>
        </r>
        <r>
          <rPr>
            <sz val="8"/>
            <color indexed="81"/>
            <rFont val="Tahoma"/>
            <family val="2"/>
          </rPr>
          <t xml:space="preserve">
"Showing early promise" - JNJ
Cowen - "modest at best"</t>
        </r>
      </text>
    </comment>
    <comment ref="BA4" authorId="6" shapeId="0" xr:uid="{00000000-0006-0000-0700-000010000000}">
      <text>
        <r>
          <rPr>
            <sz val="8"/>
            <color indexed="81"/>
            <rFont val="Tahoma"/>
            <family val="2"/>
          </rPr>
          <t>JNJ Cowen meeting: Tracking at or slightly above management expectation</t>
        </r>
      </text>
    </comment>
    <comment ref="BE4" authorId="4" shapeId="0" xr:uid="{00000000-0006-0000-0700-000011000000}">
      <text>
        <r>
          <rPr>
            <b/>
            <sz val="9"/>
            <color indexed="81"/>
            <rFont val="Tahoma"/>
            <family val="2"/>
          </rPr>
          <t>Martin:</t>
        </r>
        <r>
          <rPr>
            <sz val="9"/>
            <color indexed="81"/>
            <rFont val="Tahoma"/>
            <family val="2"/>
          </rPr>
          <t xml:space="preserve">
60</t>
        </r>
      </text>
    </comment>
    <comment ref="EB4" authorId="1"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C4" authorId="1"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D4" authorId="6" shapeId="0" xr:uid="{00000000-0006-0000-0700-000014000000}">
      <text>
        <r>
          <rPr>
            <sz val="8"/>
            <color indexed="81"/>
            <rFont val="Tahoma"/>
            <family val="2"/>
          </rPr>
          <t>970m ML estimate</t>
        </r>
      </text>
    </comment>
    <comment ref="EE4" authorId="6" shapeId="0" xr:uid="{00000000-0006-0000-0700-000015000000}">
      <text>
        <r>
          <rPr>
            <sz val="8"/>
            <color indexed="81"/>
            <rFont val="Tahoma"/>
            <family val="2"/>
          </rPr>
          <t>$1250m ML estimate</t>
        </r>
      </text>
    </comment>
    <comment ref="EF4" authorId="1" shapeId="0" xr:uid="{00000000-0006-0000-0700-000016000000}">
      <text>
        <r>
          <rPr>
            <b/>
            <sz val="8"/>
            <color indexed="81"/>
            <rFont val="Tahoma"/>
            <family val="2"/>
          </rPr>
          <t>Martin Shkreli:</t>
        </r>
        <r>
          <rPr>
            <sz val="8"/>
            <color indexed="81"/>
            <rFont val="Tahoma"/>
            <family val="2"/>
          </rPr>
          <t xml:space="preserve">
1091m Piper est</t>
        </r>
      </text>
    </comment>
    <comment ref="AZ6" authorId="1"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B6" authorId="1"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C6" authorId="1" shapeId="0" xr:uid="{00000000-0006-0000-0700-000019000000}">
      <text>
        <r>
          <rPr>
            <b/>
            <sz val="8"/>
            <color indexed="81"/>
            <rFont val="Tahoma"/>
            <family val="2"/>
          </rPr>
          <t>Martin Shkreli:</t>
        </r>
        <r>
          <rPr>
            <sz val="8"/>
            <color indexed="81"/>
            <rFont val="Tahoma"/>
            <family val="2"/>
          </rPr>
          <t xml:space="preserve">
Citigroup 244m</t>
        </r>
      </text>
    </comment>
    <comment ref="EE6" authorId="1" shapeId="0" xr:uid="{00000000-0006-0000-0700-00001A000000}">
      <text>
        <r>
          <rPr>
            <b/>
            <sz val="8"/>
            <color indexed="81"/>
            <rFont val="Tahoma"/>
            <family val="2"/>
          </rPr>
          <t>Martin Shkreli:</t>
        </r>
        <r>
          <rPr>
            <sz val="8"/>
            <color indexed="81"/>
            <rFont val="Tahoma"/>
            <family val="2"/>
          </rPr>
          <t xml:space="preserve">
639m MS est</t>
        </r>
      </text>
    </comment>
    <comment ref="EF6" authorId="1"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2"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1" shapeId="0" xr:uid="{00000000-0006-0000-0700-00001D000000}">
      <text>
        <r>
          <rPr>
            <b/>
            <sz val="8"/>
            <color indexed="81"/>
            <rFont val="Tahoma"/>
            <family val="2"/>
          </rPr>
          <t>Martin Shkreli:</t>
        </r>
        <r>
          <rPr>
            <sz val="8"/>
            <color indexed="81"/>
            <rFont val="Tahoma"/>
            <family val="2"/>
          </rPr>
          <t xml:space="preserve">
Destocking</t>
        </r>
      </text>
    </comment>
    <comment ref="AR8" authorId="2"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2"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2"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M8" authorId="1" shapeId="0" xr:uid="{00000000-0006-0000-0700-000021000000}">
      <text>
        <r>
          <rPr>
            <b/>
            <sz val="8"/>
            <color indexed="81"/>
            <rFont val="Tahoma"/>
            <family val="2"/>
          </rPr>
          <t>Martin Shkreli:</t>
        </r>
        <r>
          <rPr>
            <sz val="8"/>
            <color indexed="81"/>
            <rFont val="Tahoma"/>
            <family val="2"/>
          </rPr>
          <t xml:space="preserve">
&gt;100m in Q2/Q3</t>
        </r>
      </text>
    </comment>
    <comment ref="DN8" authorId="1" shapeId="0" xr:uid="{00000000-0006-0000-0700-000022000000}">
      <text>
        <r>
          <rPr>
            <b/>
            <sz val="8"/>
            <color indexed="81"/>
            <rFont val="Tahoma"/>
            <family val="2"/>
          </rPr>
          <t>Martin Shkreli:</t>
        </r>
        <r>
          <rPr>
            <sz val="8"/>
            <color indexed="81"/>
            <rFont val="Tahoma"/>
            <family val="2"/>
          </rPr>
          <t xml:space="preserve">
450 Pru
508 JPM 378/130</t>
        </r>
      </text>
    </comment>
    <comment ref="DO8" authorId="1" shapeId="0" xr:uid="{00000000-0006-0000-0700-000023000000}">
      <text>
        <r>
          <rPr>
            <b/>
            <sz val="8"/>
            <color indexed="81"/>
            <rFont val="Tahoma"/>
            <family val="2"/>
          </rPr>
          <t>Martin Shkreli:</t>
        </r>
        <r>
          <rPr>
            <sz val="8"/>
            <color indexed="81"/>
            <rFont val="Tahoma"/>
            <family val="2"/>
          </rPr>
          <t xml:space="preserve">
655 Bear
693 Pru, JPM 505/188</t>
        </r>
      </text>
    </comment>
    <comment ref="DP8" authorId="1" shapeId="0" xr:uid="{00000000-0006-0000-0700-000024000000}">
      <text>
        <r>
          <rPr>
            <b/>
            <sz val="8"/>
            <color indexed="81"/>
            <rFont val="Tahoma"/>
            <family val="2"/>
          </rPr>
          <t>Martin Shkreli:</t>
        </r>
        <r>
          <rPr>
            <sz val="8"/>
            <color indexed="81"/>
            <rFont val="Tahoma"/>
            <family val="2"/>
          </rPr>
          <t xml:space="preserve">
853 Bear
859 Pru
856 JPM 591/265</t>
        </r>
      </text>
    </comment>
    <comment ref="DQ8" authorId="1"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R8" authorId="1"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DS8" authorId="1" shapeId="0" xr:uid="{00000000-0006-0000-0700-000027000000}">
      <text>
        <r>
          <rPr>
            <b/>
            <sz val="8"/>
            <color indexed="81"/>
            <rFont val="Tahoma"/>
            <family val="2"/>
          </rPr>
          <t>Martin Shkreli:</t>
        </r>
        <r>
          <rPr>
            <sz val="8"/>
            <color indexed="81"/>
            <rFont val="Tahoma"/>
            <family val="2"/>
          </rPr>
          <t xml:space="preserve">
JPM 1084/520</t>
        </r>
      </text>
    </comment>
    <comment ref="AU9" authorId="2" shapeId="0" xr:uid="{00000000-0006-0000-0700-000028000000}">
      <text>
        <r>
          <rPr>
            <b/>
            <sz val="8"/>
            <color indexed="8"/>
            <rFont val="Times New Roman"/>
            <family val="1"/>
          </rPr>
          <t xml:space="preserve">BBerg:
</t>
        </r>
        <r>
          <rPr>
            <sz val="8"/>
            <color indexed="8"/>
            <rFont val="Times New Roman"/>
            <family val="1"/>
          </rPr>
          <t>generics in EU</t>
        </r>
      </text>
    </comment>
    <comment ref="AW9" authorId="1"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1" shapeId="0" xr:uid="{00000000-0006-0000-0700-00002A000000}">
      <text>
        <r>
          <rPr>
            <b/>
            <sz val="8"/>
            <color indexed="81"/>
            <rFont val="Tahoma"/>
            <family val="2"/>
          </rPr>
          <t>Martin Shkreli:</t>
        </r>
        <r>
          <rPr>
            <sz val="8"/>
            <color indexed="81"/>
            <rFont val="Tahoma"/>
            <family val="2"/>
          </rPr>
          <t xml:space="preserve">
2003 launch for Consta</t>
        </r>
      </text>
    </comment>
    <comment ref="Y10" authorId="1" shapeId="0" xr:uid="{00000000-0006-0000-0700-00002B000000}">
      <text>
        <r>
          <rPr>
            <b/>
            <sz val="8"/>
            <color indexed="81"/>
            <rFont val="Tahoma"/>
            <family val="2"/>
          </rPr>
          <t>Martin Shkreli:</t>
        </r>
        <r>
          <rPr>
            <sz val="8"/>
            <color indexed="81"/>
            <rFont val="Tahoma"/>
            <family val="2"/>
          </rPr>
          <t xml:space="preserve">
German approval?</t>
        </r>
      </text>
    </comment>
    <comment ref="AA10" authorId="1" shapeId="0" xr:uid="{00000000-0006-0000-0700-00002C000000}">
      <text>
        <r>
          <rPr>
            <b/>
            <sz val="8"/>
            <color indexed="81"/>
            <rFont val="Tahoma"/>
            <family val="2"/>
          </rPr>
          <t>Martin Shkreli:</t>
        </r>
        <r>
          <rPr>
            <sz val="8"/>
            <color indexed="81"/>
            <rFont val="Tahoma"/>
            <family val="2"/>
          </rPr>
          <t xml:space="preserve">
Bear 15 actual</t>
        </r>
      </text>
    </comment>
    <comment ref="AB10" authorId="1" shapeId="0" xr:uid="{00000000-0006-0000-0700-00002D000000}">
      <text>
        <r>
          <rPr>
            <b/>
            <sz val="8"/>
            <color indexed="81"/>
            <rFont val="Tahoma"/>
            <family val="2"/>
          </rPr>
          <t>Martin Shkreli:</t>
        </r>
        <r>
          <rPr>
            <sz val="8"/>
            <color indexed="81"/>
            <rFont val="Tahoma"/>
            <family val="2"/>
          </rPr>
          <t xml:space="preserve">
Bear 33 actual</t>
        </r>
      </text>
    </comment>
    <comment ref="AC10" authorId="1"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1" shapeId="0" xr:uid="{00000000-0006-0000-0700-00002F000000}">
      <text>
        <r>
          <rPr>
            <b/>
            <sz val="8"/>
            <color indexed="81"/>
            <rFont val="Tahoma"/>
            <family val="2"/>
          </rPr>
          <t>Martin Shkreli:</t>
        </r>
        <r>
          <rPr>
            <sz val="8"/>
            <color indexed="81"/>
            <rFont val="Tahoma"/>
            <family val="2"/>
          </rPr>
          <t xml:space="preserve">
Bear 68 actual</t>
        </r>
      </text>
    </comment>
    <comment ref="AE10" authorId="1" shapeId="0" xr:uid="{00000000-0006-0000-0700-000030000000}">
      <text>
        <r>
          <rPr>
            <b/>
            <sz val="8"/>
            <color indexed="81"/>
            <rFont val="Tahoma"/>
            <family val="2"/>
          </rPr>
          <t>Martin Shkreli:</t>
        </r>
        <r>
          <rPr>
            <sz val="8"/>
            <color indexed="81"/>
            <rFont val="Tahoma"/>
            <family val="2"/>
          </rPr>
          <t xml:space="preserve">
Bear 51 actual</t>
        </r>
      </text>
    </comment>
    <comment ref="AF10" authorId="1" shapeId="0" xr:uid="{00000000-0006-0000-0700-000031000000}">
      <text>
        <r>
          <rPr>
            <b/>
            <sz val="8"/>
            <color indexed="81"/>
            <rFont val="Tahoma"/>
            <family val="2"/>
          </rPr>
          <t>Martin Shkreli:</t>
        </r>
        <r>
          <rPr>
            <sz val="8"/>
            <color indexed="81"/>
            <rFont val="Tahoma"/>
            <family val="2"/>
          </rPr>
          <t xml:space="preserve">
Bear 67 actual</t>
        </r>
      </text>
    </comment>
    <comment ref="AG10" authorId="1" shapeId="0" xr:uid="{00000000-0006-0000-0700-000032000000}">
      <text>
        <r>
          <rPr>
            <b/>
            <sz val="8"/>
            <color indexed="81"/>
            <rFont val="Tahoma"/>
            <family val="2"/>
          </rPr>
          <t>Martin Shkreli:</t>
        </r>
        <r>
          <rPr>
            <sz val="8"/>
            <color indexed="81"/>
            <rFont val="Tahoma"/>
            <family val="2"/>
          </rPr>
          <t xml:space="preserve">
Bear 86 actual</t>
        </r>
      </text>
    </comment>
    <comment ref="AH10" authorId="1" shapeId="0" xr:uid="{00000000-0006-0000-0700-000033000000}">
      <text>
        <r>
          <rPr>
            <b/>
            <sz val="8"/>
            <color indexed="81"/>
            <rFont val="Tahoma"/>
            <family val="2"/>
          </rPr>
          <t>Martin Shkreli:</t>
        </r>
        <r>
          <rPr>
            <sz val="8"/>
            <color indexed="81"/>
            <rFont val="Tahoma"/>
            <family val="2"/>
          </rPr>
          <t xml:space="preserve">
Bear 106 actual</t>
        </r>
      </text>
    </comment>
    <comment ref="AL10" authorId="1" shapeId="0" xr:uid="{00000000-0006-0000-0700-000034000000}">
      <text>
        <r>
          <rPr>
            <b/>
            <sz val="8"/>
            <color indexed="81"/>
            <rFont val="Tahoma"/>
            <family val="2"/>
          </rPr>
          <t>Martin Shkreli:</t>
        </r>
        <r>
          <rPr>
            <sz val="8"/>
            <color indexed="81"/>
            <rFont val="Tahoma"/>
            <family val="2"/>
          </rPr>
          <t xml:space="preserve">
Bear 170 actual</t>
        </r>
      </text>
    </comment>
    <comment ref="AZ10" authorId="1" shapeId="0" xr:uid="{00000000-0006-0000-0700-000035000000}">
      <text>
        <r>
          <rPr>
            <b/>
            <sz val="8"/>
            <color indexed="81"/>
            <rFont val="Tahoma"/>
            <family val="2"/>
          </rPr>
          <t>Martin Shkreli:</t>
        </r>
        <r>
          <rPr>
            <sz val="8"/>
            <color indexed="81"/>
            <rFont val="Tahoma"/>
            <family val="2"/>
          </rPr>
          <t xml:space="preserve">
Japanese approval
</t>
        </r>
      </text>
    </comment>
    <comment ref="DV10" authorId="1"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DW10" authorId="1" shapeId="0" xr:uid="{00000000-0006-0000-0700-000037000000}">
      <text>
        <r>
          <rPr>
            <b/>
            <sz val="8"/>
            <color indexed="81"/>
            <rFont val="Tahoma"/>
            <family val="2"/>
          </rPr>
          <t>Martin Shkreli:</t>
        </r>
        <r>
          <rPr>
            <sz val="8"/>
            <color indexed="81"/>
            <rFont val="Tahoma"/>
            <family val="2"/>
          </rPr>
          <t xml:space="preserve">
Bear 310 actual
JPM 313 actual</t>
        </r>
      </text>
    </comment>
    <comment ref="DX10" authorId="1" shapeId="0" xr:uid="{00000000-0006-0000-0700-000038000000}">
      <text>
        <r>
          <rPr>
            <b/>
            <sz val="8"/>
            <color indexed="81"/>
            <rFont val="Tahoma"/>
            <family val="2"/>
          </rPr>
          <t>Martin Shkreli:</t>
        </r>
        <r>
          <rPr>
            <sz val="8"/>
            <color indexed="81"/>
            <rFont val="Tahoma"/>
            <family val="2"/>
          </rPr>
          <t xml:space="preserve">
Bear 594 actual</t>
        </r>
      </text>
    </comment>
    <comment ref="EF10" authorId="2"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DV11" authorId="7"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DW11" authorId="8"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DX11" authorId="9"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DY11" authorId="1" shapeId="0" xr:uid="{00000000-0006-0000-0700-00003A000000}">
      <text>
        <r>
          <rPr>
            <b/>
            <sz val="8"/>
            <color indexed="81"/>
            <rFont val="Tahoma"/>
            <family val="2"/>
          </rPr>
          <t>Martin Shkreli:</t>
        </r>
        <r>
          <rPr>
            <sz val="8"/>
            <color indexed="81"/>
            <rFont val="Tahoma"/>
            <family val="2"/>
          </rPr>
          <t xml:space="preserve">
12/19/06 Approval</t>
        </r>
      </text>
    </comment>
    <comment ref="EB11" authorId="1" shapeId="0" xr:uid="{00000000-0006-0000-0700-00003B000000}">
      <text>
        <r>
          <rPr>
            <b/>
            <sz val="8"/>
            <color indexed="81"/>
            <rFont val="Tahoma"/>
            <family val="2"/>
          </rPr>
          <t>Martin Shkreli:</t>
        </r>
        <r>
          <rPr>
            <sz val="8"/>
            <color indexed="81"/>
            <rFont val="Tahoma"/>
            <family val="2"/>
          </rPr>
          <t xml:space="preserve">
JPM estimated 1800 in 2003</t>
        </r>
      </text>
    </comment>
    <comment ref="ED11" authorId="2"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1" shapeId="0" xr:uid="{00000000-0006-0000-0700-000055000000}">
      <text>
        <r>
          <rPr>
            <b/>
            <sz val="8"/>
            <color indexed="81"/>
            <rFont val="Tahoma"/>
            <family val="2"/>
          </rPr>
          <t>Martin Shkreli:</t>
        </r>
        <r>
          <rPr>
            <sz val="8"/>
            <color indexed="81"/>
            <rFont val="Tahoma"/>
            <family val="2"/>
          </rPr>
          <t xml:space="preserve">
Bear IMS #</t>
        </r>
      </text>
    </comment>
    <comment ref="T12" authorId="1" shapeId="0" xr:uid="{00000000-0006-0000-0700-000056000000}">
      <text>
        <r>
          <rPr>
            <b/>
            <sz val="8"/>
            <color indexed="81"/>
            <rFont val="Tahoma"/>
            <family val="2"/>
          </rPr>
          <t>Martin Shkreli:</t>
        </r>
        <r>
          <rPr>
            <sz val="8"/>
            <color indexed="81"/>
            <rFont val="Tahoma"/>
            <family val="2"/>
          </rPr>
          <t xml:space="preserve">
Bear IMS #</t>
        </r>
      </text>
    </comment>
    <comment ref="U12" authorId="1" shapeId="0" xr:uid="{00000000-0006-0000-0700-000057000000}">
      <text>
        <r>
          <rPr>
            <b/>
            <sz val="8"/>
            <color indexed="81"/>
            <rFont val="Tahoma"/>
            <family val="2"/>
          </rPr>
          <t>Martin Shkreli:</t>
        </r>
        <r>
          <rPr>
            <sz val="8"/>
            <color indexed="81"/>
            <rFont val="Tahoma"/>
            <family val="2"/>
          </rPr>
          <t xml:space="preserve">
Bear IMS #</t>
        </r>
      </text>
    </comment>
    <comment ref="V12" authorId="1" shapeId="0" xr:uid="{00000000-0006-0000-0700-000058000000}">
      <text>
        <r>
          <rPr>
            <b/>
            <sz val="8"/>
            <color indexed="81"/>
            <rFont val="Tahoma"/>
            <family val="2"/>
          </rPr>
          <t>Martin Shkreli:</t>
        </r>
        <r>
          <rPr>
            <sz val="8"/>
            <color indexed="81"/>
            <rFont val="Tahoma"/>
            <family val="2"/>
          </rPr>
          <t xml:space="preserve">
Bear IMS #</t>
        </r>
      </text>
    </comment>
    <comment ref="W12" authorId="1" shapeId="0" xr:uid="{00000000-0006-0000-0700-000059000000}">
      <text>
        <r>
          <rPr>
            <b/>
            <sz val="8"/>
            <color indexed="81"/>
            <rFont val="Tahoma"/>
            <family val="2"/>
          </rPr>
          <t>Martin Shkreli:</t>
        </r>
        <r>
          <rPr>
            <sz val="8"/>
            <color indexed="81"/>
            <rFont val="Tahoma"/>
            <family val="2"/>
          </rPr>
          <t xml:space="preserve">
Bear IMS estimate</t>
        </r>
      </text>
    </comment>
    <comment ref="X12" authorId="1" shapeId="0" xr:uid="{00000000-0006-0000-0700-00005A000000}">
      <text>
        <r>
          <rPr>
            <b/>
            <sz val="8"/>
            <color indexed="81"/>
            <rFont val="Tahoma"/>
            <family val="2"/>
          </rPr>
          <t>Martin Shkreli:</t>
        </r>
        <r>
          <rPr>
            <sz val="8"/>
            <color indexed="81"/>
            <rFont val="Tahoma"/>
            <family val="2"/>
          </rPr>
          <t xml:space="preserve">
Bear IMS estimate</t>
        </r>
      </text>
    </comment>
    <comment ref="Y12" authorId="1" shapeId="0" xr:uid="{00000000-0006-0000-0700-00005B000000}">
      <text>
        <r>
          <rPr>
            <b/>
            <sz val="8"/>
            <color indexed="81"/>
            <rFont val="Tahoma"/>
            <family val="2"/>
          </rPr>
          <t>Martin Shkreli:</t>
        </r>
        <r>
          <rPr>
            <sz val="8"/>
            <color indexed="81"/>
            <rFont val="Tahoma"/>
            <family val="2"/>
          </rPr>
          <t xml:space="preserve">
Bear IMS estimate</t>
        </r>
      </text>
    </comment>
    <comment ref="Z12" authorId="1" shapeId="0" xr:uid="{00000000-0006-0000-0700-00005C000000}">
      <text>
        <r>
          <rPr>
            <b/>
            <sz val="8"/>
            <color indexed="81"/>
            <rFont val="Tahoma"/>
            <family val="2"/>
          </rPr>
          <t>Martin Shkreli:</t>
        </r>
        <r>
          <rPr>
            <sz val="8"/>
            <color indexed="81"/>
            <rFont val="Tahoma"/>
            <family val="2"/>
          </rPr>
          <t xml:space="preserve">
Bear IMS estimate</t>
        </r>
      </text>
    </comment>
    <comment ref="AA12" authorId="1" shapeId="0" xr:uid="{00000000-0006-0000-0700-00005D000000}">
      <text>
        <r>
          <rPr>
            <b/>
            <sz val="8"/>
            <color indexed="81"/>
            <rFont val="Tahoma"/>
            <family val="2"/>
          </rPr>
          <t>Martin Shkreli:</t>
        </r>
        <r>
          <rPr>
            <sz val="8"/>
            <color indexed="81"/>
            <rFont val="Tahoma"/>
            <family val="2"/>
          </rPr>
          <t xml:space="preserve">
Bear IMS estimate</t>
        </r>
      </text>
    </comment>
    <comment ref="AB12" authorId="1" shapeId="0" xr:uid="{00000000-0006-0000-0700-00005E000000}">
      <text>
        <r>
          <rPr>
            <b/>
            <sz val="8"/>
            <color indexed="81"/>
            <rFont val="Tahoma"/>
            <family val="2"/>
          </rPr>
          <t>Martin Shkreli:</t>
        </r>
        <r>
          <rPr>
            <sz val="8"/>
            <color indexed="81"/>
            <rFont val="Tahoma"/>
            <family val="2"/>
          </rPr>
          <t xml:space="preserve">
Bear IMS estimate</t>
        </r>
      </text>
    </comment>
    <comment ref="AC12" authorId="1" shapeId="0" xr:uid="{00000000-0006-0000-0700-00005F000000}">
      <text>
        <r>
          <rPr>
            <b/>
            <sz val="8"/>
            <color indexed="81"/>
            <rFont val="Tahoma"/>
            <family val="2"/>
          </rPr>
          <t>Martin Shkreli:</t>
        </r>
        <r>
          <rPr>
            <sz val="8"/>
            <color indexed="81"/>
            <rFont val="Tahoma"/>
            <family val="2"/>
          </rPr>
          <t xml:space="preserve">
Bear IMS estimate</t>
        </r>
      </text>
    </comment>
    <comment ref="AD12" authorId="1" shapeId="0" xr:uid="{00000000-0006-0000-0700-000060000000}">
      <text>
        <r>
          <rPr>
            <b/>
            <sz val="8"/>
            <color indexed="81"/>
            <rFont val="Tahoma"/>
            <family val="2"/>
          </rPr>
          <t>Martin Shkreli:</t>
        </r>
        <r>
          <rPr>
            <sz val="8"/>
            <color indexed="81"/>
            <rFont val="Tahoma"/>
            <family val="2"/>
          </rPr>
          <t xml:space="preserve">
Bear estimate 124</t>
        </r>
      </text>
    </comment>
    <comment ref="AE12" authorId="1" shapeId="0" xr:uid="{00000000-0006-0000-0700-000061000000}">
      <text>
        <r>
          <rPr>
            <b/>
            <sz val="8"/>
            <color indexed="81"/>
            <rFont val="Tahoma"/>
            <family val="2"/>
          </rPr>
          <t>Martin Shkreli:</t>
        </r>
        <r>
          <rPr>
            <sz val="8"/>
            <color indexed="81"/>
            <rFont val="Tahoma"/>
            <family val="2"/>
          </rPr>
          <t xml:space="preserve">
Bear IMS estimate 144</t>
        </r>
      </text>
    </comment>
    <comment ref="AF12" authorId="1" shapeId="0" xr:uid="{00000000-0006-0000-0700-000062000000}">
      <text>
        <r>
          <rPr>
            <b/>
            <sz val="8"/>
            <color indexed="81"/>
            <rFont val="Tahoma"/>
            <family val="2"/>
          </rPr>
          <t>Martin Shkreli:</t>
        </r>
        <r>
          <rPr>
            <sz val="8"/>
            <color indexed="81"/>
            <rFont val="Tahoma"/>
            <family val="2"/>
          </rPr>
          <t xml:space="preserve">
Bear IMS estimate 135</t>
        </r>
      </text>
    </comment>
    <comment ref="AG12" authorId="1" shapeId="0" xr:uid="{00000000-0006-0000-0700-000063000000}">
      <text>
        <r>
          <rPr>
            <b/>
            <sz val="8"/>
            <color indexed="81"/>
            <rFont val="Tahoma"/>
            <family val="2"/>
          </rPr>
          <t>Martin Shkreli:</t>
        </r>
        <r>
          <rPr>
            <sz val="8"/>
            <color indexed="81"/>
            <rFont val="Tahoma"/>
            <family val="2"/>
          </rPr>
          <t xml:space="preserve">
Bear IMS estimate 130</t>
        </r>
      </text>
    </comment>
    <comment ref="AH12" authorId="1"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0"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DS12" authorId="1" shapeId="0" xr:uid="{00000000-0006-0000-0700-000066000000}">
      <text>
        <r>
          <rPr>
            <b/>
            <sz val="8"/>
            <color indexed="81"/>
            <rFont val="Tahoma"/>
            <family val="2"/>
          </rPr>
          <t>Martin Shkreli:</t>
        </r>
        <r>
          <rPr>
            <sz val="8"/>
            <color indexed="81"/>
            <rFont val="Tahoma"/>
            <family val="2"/>
          </rPr>
          <t xml:space="preserve">
Owned by Alza at this time.
JPM 68/0</t>
        </r>
      </text>
    </comment>
    <comment ref="DT12" authorId="1"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DU12" authorId="1"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DV12" authorId="1"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DW12" authorId="1" shapeId="0" xr:uid="{00000000-0006-0000-0700-00006A000000}">
      <text>
        <r>
          <rPr>
            <b/>
            <sz val="8"/>
            <color indexed="81"/>
            <rFont val="Tahoma"/>
            <family val="2"/>
          </rPr>
          <t>Martin Shkreli:</t>
        </r>
        <r>
          <rPr>
            <sz val="8"/>
            <color indexed="81"/>
            <rFont val="Tahoma"/>
            <family val="2"/>
          </rPr>
          <t xml:space="preserve">
Bear estimate 558
744 IMS Raw</t>
        </r>
      </text>
    </comment>
    <comment ref="EF12" authorId="1" shapeId="0" xr:uid="{00000000-0006-0000-0700-00006B000000}">
      <text>
        <r>
          <rPr>
            <b/>
            <sz val="8"/>
            <color indexed="81"/>
            <rFont val="Tahoma"/>
            <family val="2"/>
          </rPr>
          <t>Martin Shkreli:</t>
        </r>
        <r>
          <rPr>
            <sz val="8"/>
            <color indexed="81"/>
            <rFont val="Tahoma"/>
            <family val="2"/>
          </rPr>
          <t xml:space="preserve">
Piper 1650m est</t>
        </r>
      </text>
    </comment>
    <comment ref="CU13" authorId="11"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3" authorId="12"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4" authorId="1"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4" authorId="1"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4" authorId="2" shapeId="0" xr:uid="{00000000-0006-0000-0700-00006E000000}">
      <text>
        <r>
          <rPr>
            <b/>
            <sz val="8"/>
            <color indexed="8"/>
            <rFont val="Times New Roman"/>
            <family val="1"/>
          </rPr>
          <t xml:space="preserve">Bloomberg:
</t>
        </r>
        <r>
          <rPr>
            <sz val="8"/>
            <color indexed="8"/>
            <rFont val="Times New Roman"/>
            <family val="1"/>
          </rPr>
          <t>Europe 75% of sales</t>
        </r>
      </text>
    </comment>
    <comment ref="AW14" authorId="1" shapeId="0" xr:uid="{00000000-0006-0000-0700-00006F000000}">
      <text>
        <r>
          <rPr>
            <b/>
            <sz val="8"/>
            <color indexed="81"/>
            <rFont val="Tahoma"/>
            <family val="2"/>
          </rPr>
          <t>Martin Shkreli:</t>
        </r>
        <r>
          <rPr>
            <sz val="8"/>
            <color indexed="81"/>
            <rFont val="Tahoma"/>
            <family val="2"/>
          </rPr>
          <t xml:space="preserve">
US was $54m.
Ex-US was $205m.</t>
        </r>
      </text>
    </comment>
    <comment ref="AX14" authorId="1"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I14" authorId="1" shapeId="0" xr:uid="{00000000-0006-0000-0700-000071000000}">
      <text>
        <r>
          <rPr>
            <b/>
            <sz val="8"/>
            <color indexed="81"/>
            <rFont val="Tahoma"/>
            <family val="2"/>
          </rPr>
          <t>Martin Shkreli:</t>
        </r>
        <r>
          <rPr>
            <sz val="8"/>
            <color indexed="81"/>
            <rFont val="Tahoma"/>
            <family val="2"/>
          </rPr>
          <t xml:space="preserve">
8/7/1990 approval</t>
        </r>
      </text>
    </comment>
    <comment ref="DO14" authorId="1" shapeId="0" xr:uid="{00000000-0006-0000-0700-000072000000}">
      <text>
        <r>
          <rPr>
            <b/>
            <sz val="8"/>
            <color indexed="81"/>
            <rFont val="Tahoma"/>
            <family val="2"/>
          </rPr>
          <t>Martin Shkreli:</t>
        </r>
        <r>
          <rPr>
            <sz val="8"/>
            <color indexed="81"/>
            <rFont val="Tahoma"/>
            <family val="2"/>
          </rPr>
          <t xml:space="preserve">
172 Pru
170 JPM 130/40</t>
        </r>
      </text>
    </comment>
    <comment ref="DP14" authorId="1" shapeId="0" xr:uid="{00000000-0006-0000-0700-000073000000}">
      <text>
        <r>
          <rPr>
            <b/>
            <sz val="8"/>
            <color indexed="81"/>
            <rFont val="Tahoma"/>
            <family val="2"/>
          </rPr>
          <t>Martin Shkreli:</t>
        </r>
        <r>
          <rPr>
            <sz val="8"/>
            <color indexed="81"/>
            <rFont val="Tahoma"/>
            <family val="2"/>
          </rPr>
          <t xml:space="preserve">
245 Pru
245 Piper
258 JPM 188/70</t>
        </r>
      </text>
    </comment>
    <comment ref="DQ14" authorId="1"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R14" authorId="1"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DS14" authorId="1" shapeId="0" xr:uid="{00000000-0006-0000-0700-000076000000}">
      <text>
        <r>
          <rPr>
            <b/>
            <sz val="8"/>
            <color indexed="81"/>
            <rFont val="Tahoma"/>
            <family val="2"/>
          </rPr>
          <t>Martin Shkreli:</t>
        </r>
        <r>
          <rPr>
            <sz val="8"/>
            <color indexed="81"/>
            <rFont val="Tahoma"/>
            <family val="2"/>
          </rPr>
          <t xml:space="preserve">
JPM 656 406/250</t>
        </r>
      </text>
    </comment>
    <comment ref="B15" authorId="2"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5" authorId="1" shapeId="0" xr:uid="{00000000-0006-0000-0700-00007B000000}">
      <text>
        <r>
          <rPr>
            <b/>
            <sz val="8"/>
            <color indexed="81"/>
            <rFont val="Tahoma"/>
            <family val="2"/>
          </rPr>
          <t>Martin Shkreli:</t>
        </r>
        <r>
          <rPr>
            <sz val="8"/>
            <color indexed="81"/>
            <rFont val="Tahoma"/>
            <family val="2"/>
          </rPr>
          <t xml:space="preserve">
US launch</t>
        </r>
      </text>
    </comment>
    <comment ref="AU15" authorId="2"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5" authorId="13" shapeId="0" xr:uid="{00000000-0006-0000-0700-00007D000000}">
      <text>
        <r>
          <rPr>
            <b/>
            <sz val="8"/>
            <color indexed="81"/>
            <rFont val="Tahoma"/>
            <family val="2"/>
          </rPr>
          <t>RBC:</t>
        </r>
        <r>
          <rPr>
            <sz val="8"/>
            <color indexed="81"/>
            <rFont val="Tahoma"/>
            <family val="2"/>
          </rPr>
          <t xml:space="preserve">
Generic Protonix impacting sales.</t>
        </r>
      </text>
    </comment>
    <comment ref="DR15" authorId="1"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DS15" authorId="1" shapeId="0" xr:uid="{00000000-0006-0000-0700-00007F000000}">
      <text>
        <r>
          <rPr>
            <b/>
            <sz val="8"/>
            <color indexed="81"/>
            <rFont val="Tahoma"/>
            <family val="2"/>
          </rPr>
          <t>Martin Shkreli:</t>
        </r>
        <r>
          <rPr>
            <sz val="8"/>
            <color indexed="81"/>
            <rFont val="Tahoma"/>
            <family val="2"/>
          </rPr>
          <t xml:space="preserve">
MS 275
235 JPM 160/75</t>
        </r>
      </text>
    </comment>
    <comment ref="DT15" authorId="1" shapeId="0" xr:uid="{00000000-0006-0000-0700-000080000000}">
      <text>
        <r>
          <rPr>
            <b/>
            <sz val="8"/>
            <color indexed="81"/>
            <rFont val="Tahoma"/>
            <family val="2"/>
          </rPr>
          <t>Martin Shkreli:</t>
        </r>
        <r>
          <rPr>
            <sz val="8"/>
            <color indexed="81"/>
            <rFont val="Tahoma"/>
            <family val="2"/>
          </rPr>
          <t xml:space="preserve">
556 JPM 380/176</t>
        </r>
      </text>
    </comment>
    <comment ref="B16" authorId="2"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6" authorId="2" shapeId="0" xr:uid="{00000000-0006-0000-0700-000082000000}">
      <text>
        <r>
          <rPr>
            <b/>
            <sz val="8"/>
            <color indexed="8"/>
            <rFont val="Times New Roman"/>
            <family val="1"/>
          </rPr>
          <t xml:space="preserve">Martin Shkreli:
</t>
        </r>
        <r>
          <rPr>
            <sz val="8"/>
            <color indexed="8"/>
            <rFont val="Times New Roman"/>
            <family val="1"/>
          </rPr>
          <t>ex-US generics?</t>
        </r>
      </text>
    </comment>
    <comment ref="DP16" authorId="1" shapeId="0" xr:uid="{00000000-0006-0000-0700-000083000000}">
      <text>
        <r>
          <rPr>
            <b/>
            <sz val="8"/>
            <color indexed="81"/>
            <rFont val="Tahoma"/>
            <family val="2"/>
          </rPr>
          <t>Martin Shkreli:</t>
        </r>
        <r>
          <rPr>
            <sz val="8"/>
            <color indexed="81"/>
            <rFont val="Tahoma"/>
            <family val="2"/>
          </rPr>
          <t xml:space="preserve">
50 JPM 35/15</t>
        </r>
      </text>
    </comment>
    <comment ref="DQ16" authorId="1" shapeId="0" xr:uid="{00000000-0006-0000-0700-000084000000}">
      <text>
        <r>
          <rPr>
            <b/>
            <sz val="8"/>
            <color indexed="81"/>
            <rFont val="Tahoma"/>
            <family val="2"/>
          </rPr>
          <t>Martin Shkreli:</t>
        </r>
        <r>
          <rPr>
            <sz val="8"/>
            <color indexed="81"/>
            <rFont val="Tahoma"/>
            <family val="2"/>
          </rPr>
          <t xml:space="preserve">
80 Bear
38?
87 JPM 65/22</t>
        </r>
      </text>
    </comment>
    <comment ref="DR16" authorId="1" shapeId="0" xr:uid="{00000000-0006-0000-0700-000085000000}">
      <text>
        <r>
          <rPr>
            <b/>
            <sz val="8"/>
            <color indexed="81"/>
            <rFont val="Tahoma"/>
            <family val="2"/>
          </rPr>
          <t>Martin Shkreli:</t>
        </r>
        <r>
          <rPr>
            <sz val="8"/>
            <color indexed="81"/>
            <rFont val="Tahoma"/>
            <family val="2"/>
          </rPr>
          <t xml:space="preserve">
150 Merrill
150 Bear
153 JPM 99/54</t>
        </r>
      </text>
    </comment>
    <comment ref="DS16" authorId="1" shapeId="0" xr:uid="{00000000-0006-0000-0700-000086000000}">
      <text>
        <r>
          <rPr>
            <b/>
            <sz val="8"/>
            <color indexed="81"/>
            <rFont val="Tahoma"/>
            <family val="2"/>
          </rPr>
          <t>Martin Shkreli:</t>
        </r>
        <r>
          <rPr>
            <sz val="8"/>
            <color indexed="81"/>
            <rFont val="Tahoma"/>
            <family val="2"/>
          </rPr>
          <t xml:space="preserve">
309 JPM 225/84</t>
        </r>
      </text>
    </comment>
    <comment ref="EF17" authorId="1" shapeId="0" xr:uid="{00000000-0006-0000-0700-000087000000}">
      <text>
        <r>
          <rPr>
            <b/>
            <sz val="8"/>
            <color indexed="81"/>
            <rFont val="Tahoma"/>
            <family val="2"/>
          </rPr>
          <t>Martin Shkreli:</t>
        </r>
        <r>
          <rPr>
            <sz val="8"/>
            <color indexed="81"/>
            <rFont val="Tahoma"/>
            <family val="2"/>
          </rPr>
          <t xml:space="preserve">
951 Piper est</t>
        </r>
      </text>
    </comment>
    <comment ref="AR20" authorId="2" shapeId="0" xr:uid="{00000000-0006-0000-0700-000048000000}">
      <text>
        <r>
          <rPr>
            <b/>
            <sz val="8"/>
            <color indexed="8"/>
            <rFont val="Times New Roman"/>
            <family val="1"/>
          </rPr>
          <t xml:space="preserve">Bloomberg:
</t>
        </r>
        <r>
          <rPr>
            <sz val="8"/>
            <color indexed="8"/>
            <rFont val="Times New Roman"/>
            <family val="1"/>
          </rPr>
          <t>no Floxin</t>
        </r>
      </text>
    </comment>
    <comment ref="AS20" authorId="2" shapeId="0" xr:uid="{00000000-0006-0000-0700-000049000000}">
      <text>
        <r>
          <rPr>
            <b/>
            <sz val="8"/>
            <color indexed="8"/>
            <rFont val="Times New Roman"/>
            <family val="1"/>
          </rPr>
          <t xml:space="preserve">Bloomberg:
</t>
        </r>
        <r>
          <rPr>
            <sz val="8"/>
            <color indexed="8"/>
            <rFont val="Times New Roman"/>
            <family val="1"/>
          </rPr>
          <t>Incl Floxin</t>
        </r>
      </text>
    </comment>
    <comment ref="AV20" authorId="13" shapeId="0" xr:uid="{00000000-0006-0000-0700-00004A000000}">
      <text>
        <r>
          <rPr>
            <b/>
            <sz val="8"/>
            <color indexed="81"/>
            <rFont val="Tahoma"/>
            <family val="2"/>
          </rPr>
          <t>RBC:</t>
        </r>
        <r>
          <rPr>
            <sz val="8"/>
            <color indexed="81"/>
            <rFont val="Tahoma"/>
            <family val="2"/>
          </rPr>
          <t xml:space="preserve">
Generics in the category</t>
        </r>
      </text>
    </comment>
    <comment ref="BD20" authorId="3" shapeId="0" xr:uid="{00000000-0006-0000-0700-00004B000000}">
      <text>
        <r>
          <rPr>
            <b/>
            <sz val="9"/>
            <color indexed="81"/>
            <rFont val="Tahoma"/>
            <family val="2"/>
          </rPr>
          <t>MSMB:</t>
        </r>
        <r>
          <rPr>
            <sz val="9"/>
            <color indexed="81"/>
            <rFont val="Tahoma"/>
            <family val="2"/>
          </rPr>
          <t xml:space="preserve">
Losing share and weak flu season</t>
        </r>
      </text>
    </comment>
    <comment ref="BI20" authorId="4" shapeId="0" xr:uid="{00000000-0006-0000-0700-00004C000000}">
      <text>
        <r>
          <rPr>
            <b/>
            <sz val="9"/>
            <color indexed="81"/>
            <rFont val="Tahoma"/>
            <family val="2"/>
          </rPr>
          <t>Martin:</t>
        </r>
        <r>
          <rPr>
            <sz val="9"/>
            <color indexed="81"/>
            <rFont val="Tahoma"/>
            <family val="2"/>
          </rPr>
          <t xml:space="preserve">
Generic</t>
        </r>
      </text>
    </comment>
    <comment ref="DI20" authorId="1" shapeId="0" xr:uid="{00000000-0006-0000-0700-00004D000000}">
      <text>
        <r>
          <rPr>
            <b/>
            <sz val="8"/>
            <color indexed="81"/>
            <rFont val="Tahoma"/>
            <family val="2"/>
          </rPr>
          <t>Martin Shkreli:</t>
        </r>
        <r>
          <rPr>
            <sz val="8"/>
            <color indexed="81"/>
            <rFont val="Tahoma"/>
            <family val="2"/>
          </rPr>
          <t xml:space="preserve">
12/28/90 Floxin approval</t>
        </r>
      </text>
    </comment>
    <comment ref="DN20" authorId="1" shapeId="0" xr:uid="{00000000-0006-0000-0700-00004E000000}">
      <text>
        <r>
          <rPr>
            <b/>
            <sz val="8"/>
            <color indexed="81"/>
            <rFont val="Tahoma"/>
            <family val="2"/>
          </rPr>
          <t>Martin Shkreli:</t>
        </r>
        <r>
          <rPr>
            <sz val="8"/>
            <color indexed="81"/>
            <rFont val="Tahoma"/>
            <family val="2"/>
          </rPr>
          <t xml:space="preserve">
185 JPM 165/20</t>
        </r>
      </text>
    </comment>
    <comment ref="DO20" authorId="1" shapeId="0" xr:uid="{00000000-0006-0000-0700-00004F000000}">
      <text>
        <r>
          <rPr>
            <b/>
            <sz val="8"/>
            <color indexed="81"/>
            <rFont val="Tahoma"/>
            <family val="2"/>
          </rPr>
          <t>Martin Shkreli:</t>
        </r>
        <r>
          <rPr>
            <sz val="8"/>
            <color indexed="81"/>
            <rFont val="Tahoma"/>
            <family val="2"/>
          </rPr>
          <t xml:space="preserve">
233 Pru
211 JPM 193/18</t>
        </r>
      </text>
    </comment>
    <comment ref="DP20" authorId="1" shapeId="0" xr:uid="{00000000-0006-0000-0700-000050000000}">
      <text>
        <r>
          <rPr>
            <b/>
            <sz val="8"/>
            <color indexed="81"/>
            <rFont val="Tahoma"/>
            <family val="2"/>
          </rPr>
          <t>Martin Shkreli:</t>
        </r>
        <r>
          <rPr>
            <sz val="8"/>
            <color indexed="81"/>
            <rFont val="Tahoma"/>
            <family val="2"/>
          </rPr>
          <t xml:space="preserve">
380 Pru
344/3 JPM 324/19
310 ? </t>
        </r>
      </text>
    </comment>
    <comment ref="DQ20" authorId="1"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R20" authorId="1"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DS20" authorId="1" shapeId="0" xr:uid="{00000000-0006-0000-0700-000053000000}">
      <text>
        <r>
          <rPr>
            <b/>
            <sz val="8"/>
            <color indexed="81"/>
            <rFont val="Tahoma"/>
            <family val="2"/>
          </rPr>
          <t>Martin Shkreli:</t>
        </r>
        <r>
          <rPr>
            <sz val="8"/>
            <color indexed="81"/>
            <rFont val="Tahoma"/>
            <family val="2"/>
          </rPr>
          <t xml:space="preserve">
1088 JPM 1040/48</t>
        </r>
      </text>
    </comment>
    <comment ref="DT20" authorId="1" shapeId="0" xr:uid="{00000000-0006-0000-0700-000054000000}">
      <text>
        <r>
          <rPr>
            <b/>
            <sz val="8"/>
            <color indexed="81"/>
            <rFont val="Tahoma"/>
            <family val="2"/>
          </rPr>
          <t>Martin Shkreli:</t>
        </r>
        <r>
          <rPr>
            <sz val="8"/>
            <color indexed="81"/>
            <rFont val="Tahoma"/>
            <family val="2"/>
          </rPr>
          <t xml:space="preserve">
JPM 1052
Almost all sales are US</t>
        </r>
      </text>
    </comment>
    <comment ref="EF21" authorId="1" shapeId="0" xr:uid="{00000000-0006-0000-0700-000088000000}">
      <text>
        <r>
          <rPr>
            <b/>
            <sz val="8"/>
            <color indexed="81"/>
            <rFont val="Tahoma"/>
            <family val="2"/>
          </rPr>
          <t>Martin Shkreli:</t>
        </r>
        <r>
          <rPr>
            <sz val="8"/>
            <color indexed="81"/>
            <rFont val="Tahoma"/>
            <family val="2"/>
          </rPr>
          <t xml:space="preserve">
423m Piper est</t>
        </r>
      </text>
    </comment>
    <comment ref="EE23" authorId="1" shapeId="0" xr:uid="{00000000-0006-0000-0700-000089000000}">
      <text>
        <r>
          <rPr>
            <b/>
            <sz val="8"/>
            <color indexed="81"/>
            <rFont val="Tahoma"/>
            <family val="2"/>
          </rPr>
          <t>Martin Shkreli:</t>
        </r>
        <r>
          <rPr>
            <sz val="8"/>
            <color indexed="81"/>
            <rFont val="Tahoma"/>
            <family val="2"/>
          </rPr>
          <t xml:space="preserve">
300m MS est
33m Piper est</t>
        </r>
      </text>
    </comment>
    <comment ref="EF23" authorId="1" shapeId="0" xr:uid="{00000000-0006-0000-0700-00008A000000}">
      <text>
        <r>
          <rPr>
            <b/>
            <sz val="8"/>
            <color indexed="81"/>
            <rFont val="Tahoma"/>
            <family val="2"/>
          </rPr>
          <t>Martin Shkreli:</t>
        </r>
        <r>
          <rPr>
            <sz val="8"/>
            <color indexed="81"/>
            <rFont val="Tahoma"/>
            <family val="2"/>
          </rPr>
          <t xml:space="preserve">
63m Piper est</t>
        </r>
      </text>
    </comment>
    <comment ref="CU24" authorId="14"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29" authorId="1" shapeId="0" xr:uid="{00000000-0006-0000-0700-00003D000000}">
      <text>
        <r>
          <rPr>
            <b/>
            <sz val="8"/>
            <color indexed="81"/>
            <rFont val="Tahoma"/>
            <family val="2"/>
          </rPr>
          <t>Martin Shkreli:</t>
        </r>
        <r>
          <rPr>
            <sz val="8"/>
            <color indexed="81"/>
            <rFont val="Tahoma"/>
            <family val="2"/>
          </rPr>
          <t xml:space="preserve">
769 MS
768 GS
775 JPM</t>
        </r>
      </text>
    </comment>
    <comment ref="AU29" authorId="2"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29" authorId="1" shapeId="0" xr:uid="{00000000-0006-0000-0700-00003F000000}">
      <text>
        <r>
          <rPr>
            <b/>
            <sz val="8"/>
            <color indexed="81"/>
            <rFont val="Tahoma"/>
            <family val="2"/>
          </rPr>
          <t>Martin Shkreli:</t>
        </r>
        <r>
          <rPr>
            <sz val="8"/>
            <color indexed="81"/>
            <rFont val="Tahoma"/>
            <family val="2"/>
          </rPr>
          <t xml:space="preserve">
Share up 5% Y/Y</t>
        </r>
      </text>
    </comment>
    <comment ref="BA29" authorId="10" shapeId="0" xr:uid="{00000000-0006-0000-0700-000040000000}">
      <text>
        <r>
          <rPr>
            <b/>
            <sz val="8"/>
            <color indexed="81"/>
            <rFont val="Tahoma"/>
            <family val="2"/>
          </rPr>
          <t>Marek Biestek:</t>
        </r>
        <r>
          <rPr>
            <sz val="8"/>
            <color indexed="81"/>
            <rFont val="Tahoma"/>
            <family val="2"/>
          </rPr>
          <t xml:space="preserve">
Well below expected</t>
        </r>
      </text>
    </comment>
    <comment ref="DH29" authorId="1" shapeId="0" xr:uid="{00000000-0006-0000-0700-000041000000}">
      <text>
        <r>
          <rPr>
            <b/>
            <sz val="8"/>
            <color indexed="81"/>
            <rFont val="Tahoma"/>
            <family val="2"/>
          </rPr>
          <t>Martin Shkreli:</t>
        </r>
        <r>
          <rPr>
            <sz val="8"/>
            <color indexed="81"/>
            <rFont val="Tahoma"/>
            <family val="2"/>
          </rPr>
          <t xml:space="preserve">
6/1/1989 approval</t>
        </r>
      </text>
    </comment>
    <comment ref="DN29" authorId="1" shapeId="0" xr:uid="{00000000-0006-0000-0700-000042000000}">
      <text>
        <r>
          <rPr>
            <b/>
            <sz val="8"/>
            <color indexed="81"/>
            <rFont val="Tahoma"/>
            <family val="2"/>
          </rPr>
          <t>Martin Shkreli:</t>
        </r>
        <r>
          <rPr>
            <sz val="8"/>
            <color indexed="81"/>
            <rFont val="Tahoma"/>
            <family val="2"/>
          </rPr>
          <t xml:space="preserve">
840 Pru
846 JPM</t>
        </r>
      </text>
    </comment>
    <comment ref="DO29" authorId="1" shapeId="0" xr:uid="{00000000-0006-0000-0700-000043000000}">
      <text>
        <r>
          <rPr>
            <b/>
            <sz val="8"/>
            <color indexed="81"/>
            <rFont val="Tahoma"/>
            <family val="2"/>
          </rPr>
          <t>Martin Shkreli:</t>
        </r>
        <r>
          <rPr>
            <sz val="8"/>
            <color indexed="81"/>
            <rFont val="Tahoma"/>
            <family val="2"/>
          </rPr>
          <t xml:space="preserve">
1000 Bear
1008 Pru
1016 JPM</t>
        </r>
      </text>
    </comment>
    <comment ref="DP29" authorId="1"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Q29" authorId="1"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R29" authorId="1"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DS29" authorId="1" shapeId="0" xr:uid="{00000000-0006-0000-0700-000047000000}">
      <text>
        <r>
          <rPr>
            <b/>
            <sz val="8"/>
            <color indexed="81"/>
            <rFont val="Tahoma"/>
            <family val="2"/>
          </rPr>
          <t>Martin Shkreli:</t>
        </r>
        <r>
          <rPr>
            <sz val="8"/>
            <color indexed="81"/>
            <rFont val="Tahoma"/>
            <family val="2"/>
          </rPr>
          <t xml:space="preserve">
1810/899 JPM</t>
        </r>
      </text>
    </comment>
    <comment ref="B30" authorId="1" shapeId="0" xr:uid="{00000000-0006-0000-0700-000077000000}">
      <text>
        <r>
          <rPr>
            <b/>
            <sz val="8"/>
            <color indexed="81"/>
            <rFont val="Tahoma"/>
            <family val="2"/>
          </rPr>
          <t>Martin Shkreli:</t>
        </r>
        <r>
          <rPr>
            <sz val="8"/>
            <color indexed="81"/>
            <rFont val="Tahoma"/>
            <family val="2"/>
          </rPr>
          <t xml:space="preserve">
10/16/2003 license</t>
        </r>
      </text>
    </comment>
    <comment ref="DV30" authorId="1" shapeId="0" xr:uid="{00000000-0006-0000-0700-000078000000}">
      <text>
        <r>
          <rPr>
            <b/>
            <sz val="8"/>
            <color indexed="81"/>
            <rFont val="Tahoma"/>
            <family val="2"/>
          </rPr>
          <t>Martin Shkreli:</t>
        </r>
        <r>
          <rPr>
            <sz val="8"/>
            <color indexed="81"/>
            <rFont val="Tahoma"/>
            <family val="2"/>
          </rPr>
          <t xml:space="preserve">
10/16/2003 license</t>
        </r>
      </text>
    </comment>
    <comment ref="EB30" authorId="1" shapeId="0" xr:uid="{00000000-0006-0000-0700-000079000000}">
      <text>
        <r>
          <rPr>
            <b/>
            <sz val="8"/>
            <color indexed="81"/>
            <rFont val="Tahoma"/>
            <family val="2"/>
          </rPr>
          <t>Martin Shkreli:</t>
        </r>
        <r>
          <rPr>
            <sz val="8"/>
            <color indexed="81"/>
            <rFont val="Tahoma"/>
            <family val="2"/>
          </rPr>
          <t xml:space="preserve">
JPM estimated 425 in 2003</t>
        </r>
      </text>
    </comment>
    <comment ref="S35" authorId="1" shapeId="0" xr:uid="{00000000-0006-0000-0700-00008B000000}">
      <text>
        <r>
          <rPr>
            <b/>
            <sz val="8"/>
            <color indexed="81"/>
            <rFont val="Tahoma"/>
            <family val="2"/>
          </rPr>
          <t>Martin Shkreli:</t>
        </r>
        <r>
          <rPr>
            <sz val="8"/>
            <color indexed="81"/>
            <rFont val="Tahoma"/>
            <family val="2"/>
          </rPr>
          <t xml:space="preserve">
Bear IMS estimate 112</t>
        </r>
      </text>
    </comment>
    <comment ref="T35" authorId="1" shapeId="0" xr:uid="{00000000-0006-0000-0700-00008C000000}">
      <text>
        <r>
          <rPr>
            <b/>
            <sz val="8"/>
            <color indexed="81"/>
            <rFont val="Tahoma"/>
            <family val="2"/>
          </rPr>
          <t>Martin Shkreli:</t>
        </r>
        <r>
          <rPr>
            <sz val="8"/>
            <color indexed="81"/>
            <rFont val="Tahoma"/>
            <family val="2"/>
          </rPr>
          <t xml:space="preserve">
Bear IMS estimate 117</t>
        </r>
      </text>
    </comment>
    <comment ref="U35" authorId="1" shapeId="0" xr:uid="{00000000-0006-0000-0700-00008D000000}">
      <text>
        <r>
          <rPr>
            <b/>
            <sz val="8"/>
            <color indexed="81"/>
            <rFont val="Tahoma"/>
            <family val="2"/>
          </rPr>
          <t>Martin Shkreli:</t>
        </r>
        <r>
          <rPr>
            <sz val="8"/>
            <color indexed="81"/>
            <rFont val="Tahoma"/>
            <family val="2"/>
          </rPr>
          <t xml:space="preserve">
Bear IMS estimate 130</t>
        </r>
      </text>
    </comment>
    <comment ref="V35" authorId="1" shapeId="0" xr:uid="{00000000-0006-0000-0700-00008E000000}">
      <text>
        <r>
          <rPr>
            <b/>
            <sz val="8"/>
            <color indexed="81"/>
            <rFont val="Tahoma"/>
            <family val="2"/>
          </rPr>
          <t>Martin Shkreli:</t>
        </r>
        <r>
          <rPr>
            <sz val="8"/>
            <color indexed="81"/>
            <rFont val="Tahoma"/>
            <family val="2"/>
          </rPr>
          <t xml:space="preserve">
Bear IMS estimate 143</t>
        </r>
      </text>
    </comment>
    <comment ref="W35" authorId="1" shapeId="0" xr:uid="{00000000-0006-0000-0700-00008F000000}">
      <text>
        <r>
          <rPr>
            <b/>
            <sz val="8"/>
            <color indexed="81"/>
            <rFont val="Tahoma"/>
            <family val="2"/>
          </rPr>
          <t>Martin Shkreli:</t>
        </r>
        <r>
          <rPr>
            <sz val="8"/>
            <color indexed="81"/>
            <rFont val="Tahoma"/>
            <family val="2"/>
          </rPr>
          <t xml:space="preserve">
Bear IMS estimate 147</t>
        </r>
      </text>
    </comment>
    <comment ref="X35" authorId="1" shapeId="0" xr:uid="{00000000-0006-0000-0700-000090000000}">
      <text>
        <r>
          <rPr>
            <b/>
            <sz val="8"/>
            <color indexed="81"/>
            <rFont val="Tahoma"/>
            <family val="2"/>
          </rPr>
          <t>Martin Shkreli:</t>
        </r>
        <r>
          <rPr>
            <sz val="8"/>
            <color indexed="81"/>
            <rFont val="Tahoma"/>
            <family val="2"/>
          </rPr>
          <t xml:space="preserve">
Bear IMS estimate 146</t>
        </r>
      </text>
    </comment>
    <comment ref="Y35" authorId="1" shapeId="0" xr:uid="{00000000-0006-0000-0700-000091000000}">
      <text>
        <r>
          <rPr>
            <b/>
            <sz val="8"/>
            <color indexed="81"/>
            <rFont val="Tahoma"/>
            <family val="2"/>
          </rPr>
          <t>Martin Shkreli:</t>
        </r>
        <r>
          <rPr>
            <sz val="8"/>
            <color indexed="81"/>
            <rFont val="Tahoma"/>
            <family val="2"/>
          </rPr>
          <t xml:space="preserve">
Bear IMS estimate 64</t>
        </r>
      </text>
    </comment>
    <comment ref="Z35" authorId="1" shapeId="0" xr:uid="{00000000-0006-0000-0700-000092000000}">
      <text>
        <r>
          <rPr>
            <b/>
            <sz val="8"/>
            <color indexed="81"/>
            <rFont val="Tahoma"/>
            <family val="2"/>
          </rPr>
          <t>Martin Shkreli:</t>
        </r>
        <r>
          <rPr>
            <sz val="8"/>
            <color indexed="81"/>
            <rFont val="Tahoma"/>
            <family val="2"/>
          </rPr>
          <t xml:space="preserve">
Bear IMS estimate 57</t>
        </r>
      </text>
    </comment>
    <comment ref="AA35" authorId="1" shapeId="0" xr:uid="{00000000-0006-0000-0700-000093000000}">
      <text>
        <r>
          <rPr>
            <b/>
            <sz val="8"/>
            <color indexed="81"/>
            <rFont val="Tahoma"/>
            <family val="2"/>
          </rPr>
          <t>Martin Shkreli:</t>
        </r>
        <r>
          <rPr>
            <sz val="8"/>
            <color indexed="81"/>
            <rFont val="Tahoma"/>
            <family val="2"/>
          </rPr>
          <t xml:space="preserve">
Bear IMS estimate 59</t>
        </r>
      </text>
    </comment>
    <comment ref="AB35" authorId="1" shapeId="0" xr:uid="{00000000-0006-0000-0700-000094000000}">
      <text>
        <r>
          <rPr>
            <b/>
            <sz val="8"/>
            <color indexed="81"/>
            <rFont val="Tahoma"/>
            <family val="2"/>
          </rPr>
          <t>Martin Shkreli:</t>
        </r>
        <r>
          <rPr>
            <sz val="8"/>
            <color indexed="81"/>
            <rFont val="Tahoma"/>
            <family val="2"/>
          </rPr>
          <t xml:space="preserve">
Bear IMS estimate 60</t>
        </r>
      </text>
    </comment>
    <comment ref="AC35" authorId="1" shapeId="0" xr:uid="{00000000-0006-0000-0700-000095000000}">
      <text>
        <r>
          <rPr>
            <b/>
            <sz val="8"/>
            <color indexed="81"/>
            <rFont val="Tahoma"/>
            <family val="2"/>
          </rPr>
          <t>Martin Shkreli:</t>
        </r>
        <r>
          <rPr>
            <sz val="8"/>
            <color indexed="81"/>
            <rFont val="Tahoma"/>
            <family val="2"/>
          </rPr>
          <t xml:space="preserve">
Bear IMS estimate 63</t>
        </r>
      </text>
    </comment>
    <comment ref="AD35" authorId="1" shapeId="0" xr:uid="{00000000-0006-0000-0700-000096000000}">
      <text>
        <r>
          <rPr>
            <b/>
            <sz val="8"/>
            <color indexed="81"/>
            <rFont val="Tahoma"/>
            <family val="2"/>
          </rPr>
          <t>Martin Shkreli:</t>
        </r>
        <r>
          <rPr>
            <sz val="8"/>
            <color indexed="81"/>
            <rFont val="Tahoma"/>
            <family val="2"/>
          </rPr>
          <t xml:space="preserve">
Bear IMS estimate 65</t>
        </r>
      </text>
    </comment>
    <comment ref="AE35" authorId="1" shapeId="0" xr:uid="{00000000-0006-0000-0700-000097000000}">
      <text>
        <r>
          <rPr>
            <b/>
            <sz val="8"/>
            <color indexed="81"/>
            <rFont val="Tahoma"/>
            <family val="2"/>
          </rPr>
          <t>Martin Shkreli:</t>
        </r>
        <r>
          <rPr>
            <sz val="8"/>
            <color indexed="81"/>
            <rFont val="Tahoma"/>
            <family val="2"/>
          </rPr>
          <t xml:space="preserve">
Bear IMS estimate 64</t>
        </r>
      </text>
    </comment>
    <comment ref="AF35" authorId="1" shapeId="0" xr:uid="{00000000-0006-0000-0700-000098000000}">
      <text>
        <r>
          <rPr>
            <b/>
            <sz val="8"/>
            <color indexed="81"/>
            <rFont val="Tahoma"/>
            <family val="2"/>
          </rPr>
          <t>Martin Shkreli:</t>
        </r>
        <r>
          <rPr>
            <sz val="8"/>
            <color indexed="81"/>
            <rFont val="Tahoma"/>
            <family val="2"/>
          </rPr>
          <t xml:space="preserve">
Bear IMS estimate 69</t>
        </r>
      </text>
    </comment>
    <comment ref="AG35" authorId="1" shapeId="0" xr:uid="{00000000-0006-0000-0700-000099000000}">
      <text>
        <r>
          <rPr>
            <b/>
            <sz val="8"/>
            <color indexed="81"/>
            <rFont val="Tahoma"/>
            <family val="2"/>
          </rPr>
          <t>Martin Shkreli:</t>
        </r>
        <r>
          <rPr>
            <sz val="8"/>
            <color indexed="81"/>
            <rFont val="Tahoma"/>
            <family val="2"/>
          </rPr>
          <t xml:space="preserve">
Bear IMS estimate 72</t>
        </r>
      </text>
    </comment>
    <comment ref="AH35" authorId="1" shapeId="0" xr:uid="{00000000-0006-0000-0700-00009A000000}">
      <text>
        <r>
          <rPr>
            <b/>
            <sz val="8"/>
            <color indexed="81"/>
            <rFont val="Tahoma"/>
            <family val="2"/>
          </rPr>
          <t>Martin Shkreli:</t>
        </r>
        <r>
          <rPr>
            <sz val="8"/>
            <color indexed="81"/>
            <rFont val="Tahoma"/>
            <family val="2"/>
          </rPr>
          <t xml:space="preserve">
Bear IMS estimate 74</t>
        </r>
      </text>
    </comment>
    <comment ref="AI35" authorId="1" shapeId="0" xr:uid="{00000000-0006-0000-0700-00009B000000}">
      <text>
        <r>
          <rPr>
            <b/>
            <sz val="8"/>
            <color indexed="81"/>
            <rFont val="Tahoma"/>
            <family val="2"/>
          </rPr>
          <t>Martin Shkreli:</t>
        </r>
        <r>
          <rPr>
            <sz val="8"/>
            <color indexed="81"/>
            <rFont val="Tahoma"/>
            <family val="2"/>
          </rPr>
          <t xml:space="preserve">
Bear IMS estimate</t>
        </r>
      </text>
    </comment>
    <comment ref="AJ35" authorId="1" shapeId="0" xr:uid="{00000000-0006-0000-0700-00009C000000}">
      <text>
        <r>
          <rPr>
            <b/>
            <sz val="8"/>
            <color indexed="81"/>
            <rFont val="Tahoma"/>
            <family val="2"/>
          </rPr>
          <t>Martin Shkreli:</t>
        </r>
        <r>
          <rPr>
            <sz val="8"/>
            <color indexed="81"/>
            <rFont val="Tahoma"/>
            <family val="2"/>
          </rPr>
          <t xml:space="preserve">
Bear IMS estimate</t>
        </r>
      </text>
    </comment>
    <comment ref="AK35" authorId="1" shapeId="0" xr:uid="{00000000-0006-0000-0700-00009D000000}">
      <text>
        <r>
          <rPr>
            <b/>
            <sz val="8"/>
            <color indexed="81"/>
            <rFont val="Tahoma"/>
            <family val="2"/>
          </rPr>
          <t>Martin Shkreli:</t>
        </r>
        <r>
          <rPr>
            <sz val="8"/>
            <color indexed="81"/>
            <rFont val="Tahoma"/>
            <family val="2"/>
          </rPr>
          <t xml:space="preserve">
Bear IMS estimate</t>
        </r>
      </text>
    </comment>
    <comment ref="AL35" authorId="1" shapeId="0" xr:uid="{00000000-0006-0000-0700-00009E000000}">
      <text>
        <r>
          <rPr>
            <b/>
            <sz val="8"/>
            <color indexed="81"/>
            <rFont val="Tahoma"/>
            <family val="2"/>
          </rPr>
          <t>Martin Shkreli:</t>
        </r>
        <r>
          <rPr>
            <sz val="8"/>
            <color indexed="81"/>
            <rFont val="Tahoma"/>
            <family val="2"/>
          </rPr>
          <t xml:space="preserve">
Bear IMS estimate</t>
        </r>
      </text>
    </comment>
    <comment ref="AM35" authorId="1" shapeId="0" xr:uid="{00000000-0006-0000-0700-00009F000000}">
      <text>
        <r>
          <rPr>
            <b/>
            <sz val="8"/>
            <color indexed="81"/>
            <rFont val="Tahoma"/>
            <family val="2"/>
          </rPr>
          <t>Martin Shkreli:</t>
        </r>
        <r>
          <rPr>
            <sz val="8"/>
            <color indexed="81"/>
            <rFont val="Tahoma"/>
            <family val="2"/>
          </rPr>
          <t xml:space="preserve">
Bear IMS estimate</t>
        </r>
      </text>
    </comment>
    <comment ref="AN35" authorId="1" shapeId="0" xr:uid="{00000000-0006-0000-0700-0000A0000000}">
      <text>
        <r>
          <rPr>
            <b/>
            <sz val="8"/>
            <color indexed="81"/>
            <rFont val="Tahoma"/>
            <family val="2"/>
          </rPr>
          <t>Martin Shkreli:</t>
        </r>
        <r>
          <rPr>
            <sz val="8"/>
            <color indexed="81"/>
            <rFont val="Tahoma"/>
            <family val="2"/>
          </rPr>
          <t xml:space="preserve">
Bear IMS estimate</t>
        </r>
      </text>
    </comment>
    <comment ref="DN35" authorId="1" shapeId="0" xr:uid="{00000000-0006-0000-0700-0000A1000000}">
      <text>
        <r>
          <rPr>
            <b/>
            <sz val="8"/>
            <color indexed="81"/>
            <rFont val="Tahoma"/>
            <family val="2"/>
          </rPr>
          <t>Martin Shkreli:</t>
        </r>
        <r>
          <rPr>
            <sz val="8"/>
            <color indexed="81"/>
            <rFont val="Tahoma"/>
            <family val="2"/>
          </rPr>
          <t xml:space="preserve">
3/3/95 approval
158 JPM 158/0</t>
        </r>
      </text>
    </comment>
    <comment ref="DO35" authorId="1" shapeId="0" xr:uid="{00000000-0006-0000-0700-0000A2000000}">
      <text>
        <r>
          <rPr>
            <b/>
            <sz val="8"/>
            <color indexed="81"/>
            <rFont val="Tahoma"/>
            <family val="2"/>
          </rPr>
          <t>Martin Shkreli:</t>
        </r>
        <r>
          <rPr>
            <sz val="8"/>
            <color indexed="81"/>
            <rFont val="Tahoma"/>
            <family val="2"/>
          </rPr>
          <t xml:space="preserve">
264 Pru
255 JPM 255/0</t>
        </r>
      </text>
    </comment>
    <comment ref="DP35" authorId="1"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Q35" authorId="1"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R35" authorId="1"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DS35" authorId="1" shapeId="0" xr:uid="{00000000-0006-0000-0700-0000A6000000}">
      <text>
        <r>
          <rPr>
            <b/>
            <sz val="8"/>
            <color indexed="81"/>
            <rFont val="Tahoma"/>
            <family val="2"/>
          </rPr>
          <t>Martin Shkreli:</t>
        </r>
        <r>
          <rPr>
            <sz val="8"/>
            <color indexed="81"/>
            <rFont val="Tahoma"/>
            <family val="2"/>
          </rPr>
          <t xml:space="preserve">
521 JPM 517/4</t>
        </r>
      </text>
    </comment>
    <comment ref="DT35" authorId="1"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DU35" authorId="1"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DV35" authorId="1"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DW35" authorId="1"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DX35" authorId="1"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K36" authorId="1" shapeId="0" xr:uid="{00000000-0006-0000-0700-0000AC000000}">
      <text>
        <r>
          <rPr>
            <b/>
            <sz val="8"/>
            <color indexed="81"/>
            <rFont val="Tahoma"/>
            <family val="2"/>
          </rPr>
          <t>Martin Shkreli:</t>
        </r>
        <r>
          <rPr>
            <sz val="8"/>
            <color indexed="81"/>
            <rFont val="Tahoma"/>
            <family val="2"/>
          </rPr>
          <t xml:space="preserve">
9/11/92 approval</t>
        </r>
      </text>
    </comment>
    <comment ref="DN36" authorId="1" shapeId="0" xr:uid="{00000000-0006-0000-0700-0000AD000000}">
      <text>
        <r>
          <rPr>
            <b/>
            <sz val="8"/>
            <color indexed="81"/>
            <rFont val="Tahoma"/>
            <family val="2"/>
          </rPr>
          <t>Martin Shkreli:</t>
        </r>
        <r>
          <rPr>
            <sz val="8"/>
            <color indexed="81"/>
            <rFont val="Tahoma"/>
            <family val="2"/>
          </rPr>
          <t xml:space="preserve">
490 JPM 100/390</t>
        </r>
      </text>
    </comment>
    <comment ref="DO36" authorId="1" shapeId="0" xr:uid="{00000000-0006-0000-0700-0000AE000000}">
      <text>
        <r>
          <rPr>
            <b/>
            <sz val="8"/>
            <color indexed="81"/>
            <rFont val="Tahoma"/>
            <family val="2"/>
          </rPr>
          <t>Martin Shkreli:</t>
        </r>
        <r>
          <rPr>
            <sz val="8"/>
            <color indexed="81"/>
            <rFont val="Tahoma"/>
            <family val="2"/>
          </rPr>
          <t xml:space="preserve">
657 Pru
649 JPM 289/360</t>
        </r>
      </text>
    </comment>
    <comment ref="DP36" authorId="1"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Q36" authorId="1"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R36" authorId="1"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DW36" authorId="1" shapeId="0" xr:uid="{00000000-0006-0000-0700-0000B2000000}">
      <text>
        <r>
          <rPr>
            <b/>
            <sz val="8"/>
            <color indexed="81"/>
            <rFont val="Tahoma"/>
            <family val="2"/>
          </rPr>
          <t>Martin Shkreli:</t>
        </r>
        <r>
          <rPr>
            <sz val="8"/>
            <color indexed="81"/>
            <rFont val="Tahoma"/>
            <family val="2"/>
          </rPr>
          <t xml:space="preserve">
ELAB launches generic</t>
        </r>
      </text>
    </comment>
    <comment ref="B37" authorId="1" shapeId="0" xr:uid="{00000000-0006-0000-0700-0000B3000000}">
      <text>
        <r>
          <rPr>
            <b/>
            <sz val="8"/>
            <color indexed="81"/>
            <rFont val="Tahoma"/>
            <family val="2"/>
          </rPr>
          <t>Martin Shkreli:</t>
        </r>
        <r>
          <rPr>
            <sz val="8"/>
            <color indexed="81"/>
            <rFont val="Tahoma"/>
            <family val="2"/>
          </rPr>
          <t xml:space="preserve">
OrthoEVRA, Ortho-TriCyclen</t>
        </r>
      </text>
    </comment>
    <comment ref="AD37" authorId="1" shapeId="0" xr:uid="{00000000-0006-0000-0700-0000B4000000}">
      <text>
        <r>
          <rPr>
            <b/>
            <sz val="8"/>
            <color indexed="81"/>
            <rFont val="Tahoma"/>
            <family val="2"/>
          </rPr>
          <t>Martin Shkreli:</t>
        </r>
        <r>
          <rPr>
            <sz val="8"/>
            <color indexed="81"/>
            <rFont val="Tahoma"/>
            <family val="2"/>
          </rPr>
          <t xml:space="preserve">
Barr launches generic</t>
        </r>
      </text>
    </comment>
    <comment ref="AG37" authorId="1" shapeId="0" xr:uid="{00000000-0006-0000-0700-0000B5000000}">
      <text>
        <r>
          <rPr>
            <b/>
            <sz val="8"/>
            <color indexed="81"/>
            <rFont val="Tahoma"/>
            <family val="2"/>
          </rPr>
          <t>Martin Shkreli:</t>
        </r>
        <r>
          <rPr>
            <sz val="8"/>
            <color indexed="81"/>
            <rFont val="Tahoma"/>
            <family val="2"/>
          </rPr>
          <t xml:space="preserve">
Ortho Tri Cyclen patient expires</t>
        </r>
      </text>
    </comment>
    <comment ref="DN37" authorId="1" shapeId="0" xr:uid="{00000000-0006-0000-0700-0000B6000000}">
      <text>
        <r>
          <rPr>
            <b/>
            <sz val="8"/>
            <color indexed="81"/>
            <rFont val="Tahoma"/>
            <family val="2"/>
          </rPr>
          <t>Martin Shkreli:</t>
        </r>
        <r>
          <rPr>
            <sz val="8"/>
            <color indexed="81"/>
            <rFont val="Tahoma"/>
            <family val="2"/>
          </rPr>
          <t xml:space="preserve">
580 JPM 430/150</t>
        </r>
      </text>
    </comment>
    <comment ref="DO37" authorId="1" shapeId="0" xr:uid="{00000000-0006-0000-0700-0000B7000000}">
      <text>
        <r>
          <rPr>
            <b/>
            <sz val="8"/>
            <color indexed="81"/>
            <rFont val="Tahoma"/>
            <family val="2"/>
          </rPr>
          <t>Martin Shkreli:</t>
        </r>
        <r>
          <rPr>
            <sz val="8"/>
            <color indexed="81"/>
            <rFont val="Tahoma"/>
            <family val="2"/>
          </rPr>
          <t xml:space="preserve">
590 Pru
582 JPM 432/150</t>
        </r>
      </text>
    </comment>
    <comment ref="DP37" authorId="1"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Q37" authorId="1"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R37" authorId="1"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DS37" authorId="1" shapeId="0" xr:uid="{00000000-0006-0000-0700-0000BB000000}">
      <text>
        <r>
          <rPr>
            <b/>
            <sz val="8"/>
            <color indexed="81"/>
            <rFont val="Tahoma"/>
            <family val="2"/>
          </rPr>
          <t>Martin Shkreli:</t>
        </r>
        <r>
          <rPr>
            <sz val="8"/>
            <color indexed="81"/>
            <rFont val="Tahoma"/>
            <family val="2"/>
          </rPr>
          <t xml:space="preserve">
956 JPM 841/115</t>
        </r>
      </text>
    </comment>
    <comment ref="DT37" authorId="1" shapeId="0" xr:uid="{00000000-0006-0000-0700-0000BC000000}">
      <text>
        <r>
          <rPr>
            <b/>
            <sz val="8"/>
            <color indexed="81"/>
            <rFont val="Tahoma"/>
            <family val="2"/>
          </rPr>
          <t>Martin Shkreli:</t>
        </r>
        <r>
          <rPr>
            <sz val="8"/>
            <color indexed="81"/>
            <rFont val="Tahoma"/>
            <family val="2"/>
          </rPr>
          <t xml:space="preserve">
Ortho TriCyclen 671m</t>
        </r>
      </text>
    </comment>
    <comment ref="DR38" authorId="1" shapeId="0" xr:uid="{00000000-0006-0000-0700-0000BD000000}">
      <text>
        <r>
          <rPr>
            <b/>
            <sz val="8"/>
            <color indexed="81"/>
            <rFont val="Tahoma"/>
            <family val="2"/>
          </rPr>
          <t>Martin Shkreli:</t>
        </r>
        <r>
          <rPr>
            <sz val="8"/>
            <color indexed="81"/>
            <rFont val="Tahoma"/>
            <family val="2"/>
          </rPr>
          <t xml:space="preserve">
Ditropan 87m</t>
        </r>
      </text>
    </comment>
    <comment ref="DS38" authorId="1" shapeId="0" xr:uid="{00000000-0006-0000-0700-0000BE000000}">
      <text>
        <r>
          <rPr>
            <b/>
            <sz val="8"/>
            <color indexed="81"/>
            <rFont val="Tahoma"/>
            <family val="2"/>
          </rPr>
          <t>Martin Shkreli:</t>
        </r>
        <r>
          <rPr>
            <sz val="8"/>
            <color indexed="81"/>
            <rFont val="Tahoma"/>
            <family val="2"/>
          </rPr>
          <t xml:space="preserve">
Ditropan 179m JPM</t>
        </r>
      </text>
    </comment>
    <comment ref="DT38" authorId="1" shapeId="0" xr:uid="{00000000-0006-0000-0700-0000BF000000}">
      <text>
        <r>
          <rPr>
            <b/>
            <sz val="8"/>
            <color indexed="81"/>
            <rFont val="Tahoma"/>
            <family val="2"/>
          </rPr>
          <t>Martin Shkreli:</t>
        </r>
        <r>
          <rPr>
            <sz val="8"/>
            <color indexed="81"/>
            <rFont val="Tahoma"/>
            <family val="2"/>
          </rPr>
          <t xml:space="preserve">
Ditropan 235m JPM</t>
        </r>
      </text>
    </comment>
    <comment ref="DU38" authorId="1" shapeId="0" xr:uid="{00000000-0006-0000-0700-0000C0000000}">
      <text>
        <r>
          <rPr>
            <b/>
            <sz val="8"/>
            <color indexed="81"/>
            <rFont val="Tahoma"/>
            <family val="2"/>
          </rPr>
          <t xml:space="preserve">Martin Shkreli:
</t>
        </r>
        <r>
          <rPr>
            <sz val="8"/>
            <color indexed="81"/>
            <rFont val="Tahoma"/>
            <family val="2"/>
          </rPr>
          <t>Ditropan 290m JPM</t>
        </r>
      </text>
    </comment>
    <comment ref="DV38" authorId="1" shapeId="0" xr:uid="{00000000-0006-0000-0700-0000C1000000}">
      <text>
        <r>
          <rPr>
            <b/>
            <sz val="8"/>
            <color indexed="81"/>
            <rFont val="Tahoma"/>
            <family val="2"/>
          </rPr>
          <t>Martin Shkreli:</t>
        </r>
        <r>
          <rPr>
            <sz val="8"/>
            <color indexed="81"/>
            <rFont val="Tahoma"/>
            <family val="2"/>
          </rPr>
          <t xml:space="preserve">
Ditropan 370m JPM</t>
        </r>
      </text>
    </comment>
    <comment ref="DW38" authorId="1" shapeId="0" xr:uid="{00000000-0006-0000-0700-0000C2000000}">
      <text>
        <r>
          <rPr>
            <b/>
            <sz val="8"/>
            <color indexed="81"/>
            <rFont val="Tahoma"/>
            <family val="2"/>
          </rPr>
          <t>Martin Shkreli:</t>
        </r>
        <r>
          <rPr>
            <sz val="8"/>
            <color indexed="81"/>
            <rFont val="Tahoma"/>
            <family val="2"/>
          </rPr>
          <t xml:space="preserve">
Ditropan 425m JPM</t>
        </r>
      </text>
    </comment>
    <comment ref="T39" authorId="1" shapeId="0" xr:uid="{00000000-0006-0000-0700-0000C3000000}">
      <text>
        <r>
          <rPr>
            <b/>
            <sz val="8"/>
            <color indexed="81"/>
            <rFont val="Tahoma"/>
            <family val="2"/>
          </rPr>
          <t>Martin Shkreli:</t>
        </r>
        <r>
          <rPr>
            <sz val="8"/>
            <color indexed="81"/>
            <rFont val="Tahoma"/>
            <family val="2"/>
          </rPr>
          <t xml:space="preserve">
Bear IMS estimate 5</t>
        </r>
      </text>
    </comment>
    <comment ref="U39" authorId="1" shapeId="0" xr:uid="{00000000-0006-0000-0700-0000C4000000}">
      <text>
        <r>
          <rPr>
            <b/>
            <sz val="8"/>
            <color indexed="81"/>
            <rFont val="Tahoma"/>
            <family val="2"/>
          </rPr>
          <t>Martin Shkreli:</t>
        </r>
        <r>
          <rPr>
            <sz val="8"/>
            <color indexed="81"/>
            <rFont val="Tahoma"/>
            <family val="2"/>
          </rPr>
          <t xml:space="preserve">
Bear IMS estimate 8</t>
        </r>
      </text>
    </comment>
    <comment ref="V39" authorId="1" shapeId="0" xr:uid="{00000000-0006-0000-0700-0000C5000000}">
      <text>
        <r>
          <rPr>
            <b/>
            <sz val="8"/>
            <color indexed="81"/>
            <rFont val="Tahoma"/>
            <family val="2"/>
          </rPr>
          <t>Martin Shkreli:</t>
        </r>
        <r>
          <rPr>
            <sz val="8"/>
            <color indexed="81"/>
            <rFont val="Tahoma"/>
            <family val="2"/>
          </rPr>
          <t xml:space="preserve">
Bear IMS estimate</t>
        </r>
      </text>
    </comment>
    <comment ref="W39" authorId="1" shapeId="0" xr:uid="{00000000-0006-0000-0700-0000C6000000}">
      <text>
        <r>
          <rPr>
            <b/>
            <sz val="8"/>
            <color indexed="81"/>
            <rFont val="Tahoma"/>
            <family val="2"/>
          </rPr>
          <t>Martin Shkreli:</t>
        </r>
        <r>
          <rPr>
            <sz val="8"/>
            <color indexed="81"/>
            <rFont val="Tahoma"/>
            <family val="2"/>
          </rPr>
          <t xml:space="preserve">
Bear IMS estimate</t>
        </r>
      </text>
    </comment>
    <comment ref="X39" authorId="1" shapeId="0" xr:uid="{00000000-0006-0000-0700-0000C7000000}">
      <text>
        <r>
          <rPr>
            <b/>
            <sz val="8"/>
            <color indexed="81"/>
            <rFont val="Tahoma"/>
            <family val="2"/>
          </rPr>
          <t>Martin Shkreli:</t>
        </r>
        <r>
          <rPr>
            <sz val="8"/>
            <color indexed="81"/>
            <rFont val="Tahoma"/>
            <family val="2"/>
          </rPr>
          <t xml:space="preserve">
Bear IMS estimate</t>
        </r>
      </text>
    </comment>
    <comment ref="Y39" authorId="1" shapeId="0" xr:uid="{00000000-0006-0000-0700-0000C8000000}">
      <text>
        <r>
          <rPr>
            <b/>
            <sz val="8"/>
            <color indexed="81"/>
            <rFont val="Tahoma"/>
            <family val="2"/>
          </rPr>
          <t>Martin Shkreli:</t>
        </r>
        <r>
          <rPr>
            <sz val="8"/>
            <color indexed="81"/>
            <rFont val="Tahoma"/>
            <family val="2"/>
          </rPr>
          <t xml:space="preserve">
Bear IMS estimate</t>
        </r>
      </text>
    </comment>
    <comment ref="Z39" authorId="1" shapeId="0" xr:uid="{00000000-0006-0000-0700-0000C9000000}">
      <text>
        <r>
          <rPr>
            <b/>
            <sz val="8"/>
            <color indexed="81"/>
            <rFont val="Tahoma"/>
            <family val="2"/>
          </rPr>
          <t>Martin Shkreli:</t>
        </r>
        <r>
          <rPr>
            <sz val="8"/>
            <color indexed="81"/>
            <rFont val="Tahoma"/>
            <family val="2"/>
          </rPr>
          <t xml:space="preserve">
Bear IMS estimate</t>
        </r>
      </text>
    </comment>
    <comment ref="AA39" authorId="1" shapeId="0" xr:uid="{00000000-0006-0000-0700-0000CA000000}">
      <text>
        <r>
          <rPr>
            <b/>
            <sz val="8"/>
            <color indexed="81"/>
            <rFont val="Tahoma"/>
            <family val="2"/>
          </rPr>
          <t>Martin Shkreli:</t>
        </r>
        <r>
          <rPr>
            <sz val="8"/>
            <color indexed="81"/>
            <rFont val="Tahoma"/>
            <family val="2"/>
          </rPr>
          <t xml:space="preserve">
Bear IMS estimate</t>
        </r>
      </text>
    </comment>
    <comment ref="AB39" authorId="1" shapeId="0" xr:uid="{00000000-0006-0000-0700-0000CB000000}">
      <text>
        <r>
          <rPr>
            <b/>
            <sz val="8"/>
            <color indexed="81"/>
            <rFont val="Tahoma"/>
            <family val="2"/>
          </rPr>
          <t>Martin Shkreli:</t>
        </r>
        <r>
          <rPr>
            <sz val="8"/>
            <color indexed="81"/>
            <rFont val="Tahoma"/>
            <family val="2"/>
          </rPr>
          <t xml:space="preserve">
Bear IMS estimate</t>
        </r>
      </text>
    </comment>
    <comment ref="AC39" authorId="1" shapeId="0" xr:uid="{00000000-0006-0000-0700-0000CC000000}">
      <text>
        <r>
          <rPr>
            <b/>
            <sz val="8"/>
            <color indexed="81"/>
            <rFont val="Tahoma"/>
            <family val="2"/>
          </rPr>
          <t>Martin Shkreli:</t>
        </r>
        <r>
          <rPr>
            <sz val="8"/>
            <color indexed="81"/>
            <rFont val="Tahoma"/>
            <family val="2"/>
          </rPr>
          <t xml:space="preserve">
Bear IMS estimate</t>
        </r>
      </text>
    </comment>
    <comment ref="AD39" authorId="1" shapeId="0" xr:uid="{00000000-0006-0000-0700-0000CD000000}">
      <text>
        <r>
          <rPr>
            <b/>
            <sz val="8"/>
            <color indexed="81"/>
            <rFont val="Tahoma"/>
            <family val="2"/>
          </rPr>
          <t>Martin Shkreli:</t>
        </r>
        <r>
          <rPr>
            <sz val="8"/>
            <color indexed="81"/>
            <rFont val="Tahoma"/>
            <family val="2"/>
          </rPr>
          <t xml:space="preserve">
Bear IMS estimate</t>
        </r>
      </text>
    </comment>
    <comment ref="AE39" authorId="1" shapeId="0" xr:uid="{00000000-0006-0000-0700-0000CE000000}">
      <text>
        <r>
          <rPr>
            <b/>
            <sz val="8"/>
            <color indexed="81"/>
            <rFont val="Tahoma"/>
            <family val="2"/>
          </rPr>
          <t>Martin Shkreli:</t>
        </r>
        <r>
          <rPr>
            <sz val="8"/>
            <color indexed="81"/>
            <rFont val="Tahoma"/>
            <family val="2"/>
          </rPr>
          <t xml:space="preserve">
Bear IMS estimate</t>
        </r>
      </text>
    </comment>
    <comment ref="AF39" authorId="1" shapeId="0" xr:uid="{00000000-0006-0000-0700-0000CF000000}">
      <text>
        <r>
          <rPr>
            <b/>
            <sz val="8"/>
            <color indexed="81"/>
            <rFont val="Tahoma"/>
            <family val="2"/>
          </rPr>
          <t>Martin Shkreli:</t>
        </r>
        <r>
          <rPr>
            <sz val="8"/>
            <color indexed="81"/>
            <rFont val="Tahoma"/>
            <family val="2"/>
          </rPr>
          <t xml:space="preserve">
Bear IMS estimate</t>
        </r>
      </text>
    </comment>
    <comment ref="AG39" authorId="1" shapeId="0" xr:uid="{00000000-0006-0000-0700-0000D0000000}">
      <text>
        <r>
          <rPr>
            <b/>
            <sz val="8"/>
            <color indexed="81"/>
            <rFont val="Tahoma"/>
            <family val="2"/>
          </rPr>
          <t>Martin Shkreli:</t>
        </r>
        <r>
          <rPr>
            <sz val="8"/>
            <color indexed="81"/>
            <rFont val="Tahoma"/>
            <family val="2"/>
          </rPr>
          <t xml:space="preserve">
Bear IMS estimate</t>
        </r>
      </text>
    </comment>
    <comment ref="AH39" authorId="1" shapeId="0" xr:uid="{00000000-0006-0000-0700-0000D1000000}">
      <text>
        <r>
          <rPr>
            <b/>
            <sz val="8"/>
            <color indexed="81"/>
            <rFont val="Tahoma"/>
            <family val="2"/>
          </rPr>
          <t>Martin Shkreli:</t>
        </r>
        <r>
          <rPr>
            <sz val="8"/>
            <color indexed="81"/>
            <rFont val="Tahoma"/>
            <family val="2"/>
          </rPr>
          <t xml:space="preserve">
Bear IMS estimate</t>
        </r>
      </text>
    </comment>
    <comment ref="AI39" authorId="1" shapeId="0" xr:uid="{00000000-0006-0000-0700-0000D2000000}">
      <text>
        <r>
          <rPr>
            <b/>
            <sz val="8"/>
            <color indexed="81"/>
            <rFont val="Tahoma"/>
            <family val="2"/>
          </rPr>
          <t>Martin Shkreli:</t>
        </r>
        <r>
          <rPr>
            <sz val="8"/>
            <color indexed="81"/>
            <rFont val="Tahoma"/>
            <family val="2"/>
          </rPr>
          <t xml:space="preserve">
Bear IMS estimate</t>
        </r>
      </text>
    </comment>
    <comment ref="AJ39" authorId="1" shapeId="0" xr:uid="{00000000-0006-0000-0700-0000D3000000}">
      <text>
        <r>
          <rPr>
            <b/>
            <sz val="8"/>
            <color indexed="81"/>
            <rFont val="Tahoma"/>
            <family val="2"/>
          </rPr>
          <t>Martin Shkreli:</t>
        </r>
        <r>
          <rPr>
            <sz val="8"/>
            <color indexed="81"/>
            <rFont val="Tahoma"/>
            <family val="2"/>
          </rPr>
          <t xml:space="preserve">
Bear IMS estimate</t>
        </r>
      </text>
    </comment>
    <comment ref="AK39" authorId="1" shapeId="0" xr:uid="{00000000-0006-0000-0700-0000D4000000}">
      <text>
        <r>
          <rPr>
            <b/>
            <sz val="8"/>
            <color indexed="81"/>
            <rFont val="Tahoma"/>
            <family val="2"/>
          </rPr>
          <t>Martin Shkreli:</t>
        </r>
        <r>
          <rPr>
            <sz val="8"/>
            <color indexed="81"/>
            <rFont val="Tahoma"/>
            <family val="2"/>
          </rPr>
          <t xml:space="preserve">
Bear IMS estimate</t>
        </r>
      </text>
    </comment>
    <comment ref="AL39" authorId="1" shapeId="0" xr:uid="{00000000-0006-0000-0700-0000D5000000}">
      <text>
        <r>
          <rPr>
            <b/>
            <sz val="8"/>
            <color indexed="81"/>
            <rFont val="Tahoma"/>
            <family val="2"/>
          </rPr>
          <t>Martin Shkreli:</t>
        </r>
        <r>
          <rPr>
            <sz val="8"/>
            <color indexed="81"/>
            <rFont val="Tahoma"/>
            <family val="2"/>
          </rPr>
          <t xml:space="preserve">
Bear IMS estimate</t>
        </r>
      </text>
    </comment>
    <comment ref="AM39" authorId="1" shapeId="0" xr:uid="{00000000-0006-0000-0700-0000D6000000}">
      <text>
        <r>
          <rPr>
            <b/>
            <sz val="8"/>
            <color indexed="81"/>
            <rFont val="Tahoma"/>
            <family val="2"/>
          </rPr>
          <t>Martin Shkreli:</t>
        </r>
        <r>
          <rPr>
            <sz val="8"/>
            <color indexed="81"/>
            <rFont val="Tahoma"/>
            <family val="2"/>
          </rPr>
          <t xml:space="preserve">
Bear IMS estimate</t>
        </r>
      </text>
    </comment>
    <comment ref="AN39" authorId="1" shapeId="0" xr:uid="{00000000-0006-0000-0700-0000D7000000}">
      <text>
        <r>
          <rPr>
            <b/>
            <sz val="8"/>
            <color indexed="81"/>
            <rFont val="Tahoma"/>
            <family val="2"/>
          </rPr>
          <t>Martin Shkreli:</t>
        </r>
        <r>
          <rPr>
            <sz val="8"/>
            <color indexed="81"/>
            <rFont val="Tahoma"/>
            <family val="2"/>
          </rPr>
          <t xml:space="preserve">
Bear IMS estimate</t>
        </r>
      </text>
    </comment>
    <comment ref="DT39" authorId="1"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DU39" authorId="1"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DV39" authorId="1"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DW39" authorId="1"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DX39" authorId="1"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DY42" authorId="15"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DZ42" authorId="16"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A42" authorId="17"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B42" authorId="1" shapeId="0" xr:uid="{00000000-0006-0000-0700-0000DD000000}">
      <text>
        <r>
          <rPr>
            <b/>
            <sz val="8"/>
            <color indexed="81"/>
            <rFont val="Tahoma"/>
            <family val="2"/>
          </rPr>
          <t>Martin Shkreli:</t>
        </r>
        <r>
          <rPr>
            <sz val="8"/>
            <color indexed="81"/>
            <rFont val="Tahoma"/>
            <family val="2"/>
          </rPr>
          <t xml:space="preserve">
UBS $50m estimate</t>
        </r>
      </text>
    </comment>
    <comment ref="EC42" authorId="1" shapeId="0" xr:uid="{00000000-0006-0000-0700-0000DE000000}">
      <text>
        <r>
          <rPr>
            <b/>
            <sz val="8"/>
            <color indexed="81"/>
            <rFont val="Tahoma"/>
            <family val="2"/>
          </rPr>
          <t>Martin Shkreli:</t>
        </r>
        <r>
          <rPr>
            <sz val="8"/>
            <color indexed="81"/>
            <rFont val="Tahoma"/>
            <family val="2"/>
          </rPr>
          <t xml:space="preserve">
$87m UBS estimate
$300m ML estimate</t>
        </r>
      </text>
    </comment>
    <comment ref="ED42" authorId="1" shapeId="0" xr:uid="{00000000-0006-0000-0700-0000DF000000}">
      <text>
        <r>
          <rPr>
            <b/>
            <sz val="8"/>
            <color indexed="81"/>
            <rFont val="Tahoma"/>
            <family val="2"/>
          </rPr>
          <t>Martin Shkreli:</t>
        </r>
        <r>
          <rPr>
            <sz val="8"/>
            <color indexed="81"/>
            <rFont val="Tahoma"/>
            <family val="2"/>
          </rPr>
          <t xml:space="preserve">
$403m UBS
$550m ML</t>
        </r>
      </text>
    </comment>
    <comment ref="EE42" authorId="1" shapeId="0" xr:uid="{00000000-0006-0000-0700-0000E0000000}">
      <text>
        <r>
          <rPr>
            <b/>
            <sz val="8"/>
            <color indexed="81"/>
            <rFont val="Tahoma"/>
            <family val="2"/>
          </rPr>
          <t>Martin Shkreli:</t>
        </r>
        <r>
          <rPr>
            <sz val="8"/>
            <color indexed="81"/>
            <rFont val="Tahoma"/>
            <family val="2"/>
          </rPr>
          <t xml:space="preserve">
MS 650m est
ML 800m est</t>
        </r>
      </text>
    </comment>
    <comment ref="EF42" authorId="1" shapeId="0" xr:uid="{00000000-0006-0000-0700-0000E1000000}">
      <text>
        <r>
          <rPr>
            <b/>
            <sz val="8"/>
            <color indexed="81"/>
            <rFont val="Tahoma"/>
            <family val="2"/>
          </rPr>
          <t>Martin Shkreli:</t>
        </r>
        <r>
          <rPr>
            <sz val="8"/>
            <color indexed="81"/>
            <rFont val="Tahoma"/>
            <family val="2"/>
          </rPr>
          <t xml:space="preserve">
496m Piper est</t>
        </r>
      </text>
    </comment>
    <comment ref="S44" authorId="1" shapeId="0" xr:uid="{00000000-0006-0000-0700-0000E2000000}">
      <text>
        <r>
          <rPr>
            <b/>
            <sz val="8"/>
            <color indexed="81"/>
            <rFont val="Tahoma"/>
            <family val="2"/>
          </rPr>
          <t>Martin Shkreli:</t>
        </r>
        <r>
          <rPr>
            <sz val="8"/>
            <color indexed="81"/>
            <rFont val="Tahoma"/>
            <family val="2"/>
          </rPr>
          <t xml:space="preserve">
675 MS2</t>
        </r>
      </text>
    </comment>
    <comment ref="T44" authorId="1" shapeId="0" xr:uid="{00000000-0006-0000-0700-0000E3000000}">
      <text>
        <r>
          <rPr>
            <b/>
            <sz val="8"/>
            <color indexed="81"/>
            <rFont val="Tahoma"/>
            <family val="2"/>
          </rPr>
          <t>Martin Shkreli:</t>
        </r>
        <r>
          <rPr>
            <sz val="8"/>
            <color indexed="81"/>
            <rFont val="Tahoma"/>
            <family val="2"/>
          </rPr>
          <t xml:space="preserve">
737 MS2</t>
        </r>
      </text>
    </comment>
    <comment ref="U44" authorId="1" shapeId="0" xr:uid="{00000000-0006-0000-0700-0000E4000000}">
      <text>
        <r>
          <rPr>
            <b/>
            <sz val="8"/>
            <color indexed="81"/>
            <rFont val="Tahoma"/>
            <family val="2"/>
          </rPr>
          <t>Martin Shkreli:</t>
        </r>
        <r>
          <rPr>
            <sz val="8"/>
            <color indexed="81"/>
            <rFont val="Tahoma"/>
            <family val="2"/>
          </rPr>
          <t xml:space="preserve">
573 MS2</t>
        </r>
      </text>
    </comment>
    <comment ref="AP44" authorId="2"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4" authorId="18"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N44" authorId="1" shapeId="0" xr:uid="{00000000-0006-0000-0700-0000E6000000}">
      <text>
        <r>
          <rPr>
            <b/>
            <sz val="8"/>
            <color indexed="81"/>
            <rFont val="Tahoma"/>
            <family val="2"/>
          </rPr>
          <t>Martin Shkreli:</t>
        </r>
        <r>
          <rPr>
            <sz val="8"/>
            <color indexed="81"/>
            <rFont val="Tahoma"/>
            <family val="2"/>
          </rPr>
          <t xml:space="preserve">
1382 JPM 225/1157</t>
        </r>
      </text>
    </comment>
    <comment ref="DO44" authorId="1" shapeId="0" xr:uid="{00000000-0006-0000-0700-0000E7000000}">
      <text>
        <r>
          <rPr>
            <b/>
            <sz val="8"/>
            <color indexed="81"/>
            <rFont val="Tahoma"/>
            <family val="2"/>
          </rPr>
          <t>Martin Shkreli:</t>
        </r>
        <r>
          <rPr>
            <sz val="8"/>
            <color indexed="81"/>
            <rFont val="Tahoma"/>
            <family val="2"/>
          </rPr>
          <t xml:space="preserve">
1756 Pru
1533 JPM 314/1219</t>
        </r>
      </text>
    </comment>
    <comment ref="DP44" authorId="1"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Q44" authorId="1"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R44" authorId="1"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DS44" authorId="1"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A44" authorId="1"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5" authorId="1" shapeId="0" xr:uid="{00000000-0006-0000-0700-0000ED000000}">
      <text>
        <r>
          <rPr>
            <b/>
            <sz val="8"/>
            <color indexed="81"/>
            <rFont val="Tahoma"/>
            <family val="2"/>
          </rPr>
          <t>Martin Shkreli:</t>
        </r>
        <r>
          <rPr>
            <sz val="8"/>
            <color indexed="81"/>
            <rFont val="Tahoma"/>
            <family val="2"/>
          </rPr>
          <t xml:space="preserve">
18m DES Bear</t>
        </r>
      </text>
    </comment>
    <comment ref="Y45" authorId="1" shapeId="0" xr:uid="{00000000-0006-0000-0700-0000EE000000}">
      <text>
        <r>
          <rPr>
            <b/>
            <sz val="8"/>
            <color indexed="81"/>
            <rFont val="Tahoma"/>
            <family val="2"/>
          </rPr>
          <t>Martin Shkreli:</t>
        </r>
        <r>
          <rPr>
            <sz val="8"/>
            <color indexed="81"/>
            <rFont val="Tahoma"/>
            <family val="2"/>
          </rPr>
          <t xml:space="preserve">
44m DES Bear</t>
        </r>
      </text>
    </comment>
    <comment ref="Z45" authorId="1" shapeId="0" xr:uid="{00000000-0006-0000-0700-0000EF000000}">
      <text>
        <r>
          <rPr>
            <b/>
            <sz val="8"/>
            <color indexed="81"/>
            <rFont val="Tahoma"/>
            <family val="2"/>
          </rPr>
          <t>Martin Shkreli:</t>
        </r>
        <r>
          <rPr>
            <sz val="8"/>
            <color indexed="81"/>
            <rFont val="Tahoma"/>
            <family val="2"/>
          </rPr>
          <t xml:space="preserve">
50m DES Bear</t>
        </r>
      </text>
    </comment>
    <comment ref="AA45" authorId="1" shapeId="0" xr:uid="{00000000-0006-0000-0700-0000F0000000}">
      <text>
        <r>
          <rPr>
            <b/>
            <sz val="8"/>
            <color indexed="81"/>
            <rFont val="Tahoma"/>
            <family val="2"/>
          </rPr>
          <t>Martin Shkreli:</t>
        </r>
        <r>
          <rPr>
            <sz val="8"/>
            <color indexed="81"/>
            <rFont val="Tahoma"/>
            <family val="2"/>
          </rPr>
          <t xml:space="preserve">
75m DES Bear</t>
        </r>
      </text>
    </comment>
    <comment ref="AB45" authorId="1" shapeId="0" xr:uid="{00000000-0006-0000-0700-0000F1000000}">
      <text>
        <r>
          <rPr>
            <b/>
            <sz val="8"/>
            <color indexed="81"/>
            <rFont val="Tahoma"/>
            <family val="2"/>
          </rPr>
          <t>Martin Shkreli:</t>
        </r>
        <r>
          <rPr>
            <sz val="8"/>
            <color indexed="81"/>
            <rFont val="Tahoma"/>
            <family val="2"/>
          </rPr>
          <t xml:space="preserve">
198m DES Bear</t>
        </r>
      </text>
    </comment>
    <comment ref="AC45" authorId="1" shapeId="0" xr:uid="{00000000-0006-0000-0700-0000F2000000}">
      <text>
        <r>
          <rPr>
            <b/>
            <sz val="8"/>
            <color indexed="81"/>
            <rFont val="Tahoma"/>
            <family val="2"/>
          </rPr>
          <t>Martin Shkreli:</t>
        </r>
        <r>
          <rPr>
            <sz val="8"/>
            <color indexed="81"/>
            <rFont val="Tahoma"/>
            <family val="2"/>
          </rPr>
          <t xml:space="preserve">
489m DES Bear</t>
        </r>
      </text>
    </comment>
    <comment ref="AD45" authorId="1" shapeId="0" xr:uid="{00000000-0006-0000-0700-0000F3000000}">
      <text>
        <r>
          <rPr>
            <b/>
            <sz val="8"/>
            <color indexed="81"/>
            <rFont val="Tahoma"/>
            <family val="2"/>
          </rPr>
          <t>Martin Shkreli:</t>
        </r>
        <r>
          <rPr>
            <sz val="8"/>
            <color indexed="81"/>
            <rFont val="Tahoma"/>
            <family val="2"/>
          </rPr>
          <t xml:space="preserve">
550m DES Bear</t>
        </r>
      </text>
    </comment>
    <comment ref="AE45" authorId="1" shapeId="0" xr:uid="{00000000-0006-0000-0700-0000F4000000}">
      <text>
        <r>
          <rPr>
            <b/>
            <sz val="8"/>
            <color indexed="81"/>
            <rFont val="Tahoma"/>
            <family val="2"/>
          </rPr>
          <t>Martin Shkreli:</t>
        </r>
        <r>
          <rPr>
            <sz val="8"/>
            <color indexed="81"/>
            <rFont val="Tahoma"/>
            <family val="2"/>
          </rPr>
          <t xml:space="preserve">
532m DES Bear</t>
        </r>
      </text>
    </comment>
    <comment ref="AF45" authorId="1" shapeId="0" xr:uid="{00000000-0006-0000-0700-0000F5000000}">
      <text>
        <r>
          <rPr>
            <b/>
            <sz val="8"/>
            <color indexed="81"/>
            <rFont val="Tahoma"/>
            <family val="2"/>
          </rPr>
          <t>Martin Shkreli:</t>
        </r>
        <r>
          <rPr>
            <sz val="8"/>
            <color indexed="81"/>
            <rFont val="Tahoma"/>
            <family val="2"/>
          </rPr>
          <t xml:space="preserve">
331m DES Bear</t>
        </r>
      </text>
    </comment>
    <comment ref="AG45" authorId="1" shapeId="0" xr:uid="{00000000-0006-0000-0700-0000F6000000}">
      <text>
        <r>
          <rPr>
            <b/>
            <sz val="8"/>
            <color indexed="81"/>
            <rFont val="Tahoma"/>
            <family val="2"/>
          </rPr>
          <t>Martin Shkreli:</t>
        </r>
        <r>
          <rPr>
            <sz val="8"/>
            <color indexed="81"/>
            <rFont val="Tahoma"/>
            <family val="2"/>
          </rPr>
          <t xml:space="preserve">
439m DES Bear</t>
        </r>
      </text>
    </comment>
    <comment ref="AH45" authorId="1" shapeId="0" xr:uid="{00000000-0006-0000-0700-0000F7000000}">
      <text>
        <r>
          <rPr>
            <b/>
            <sz val="8"/>
            <color indexed="81"/>
            <rFont val="Tahoma"/>
            <family val="2"/>
          </rPr>
          <t>Martin Shkreli:</t>
        </r>
        <r>
          <rPr>
            <sz val="8"/>
            <color indexed="81"/>
            <rFont val="Tahoma"/>
            <family val="2"/>
          </rPr>
          <t xml:space="preserve">
561m DES Bear</t>
        </r>
      </text>
    </comment>
    <comment ref="AI45" authorId="1" shapeId="0" xr:uid="{00000000-0006-0000-0700-0000F8000000}">
      <text>
        <r>
          <rPr>
            <b/>
            <sz val="8"/>
            <color indexed="81"/>
            <rFont val="Tahoma"/>
            <family val="2"/>
          </rPr>
          <t>Martin Shkreli:</t>
        </r>
        <r>
          <rPr>
            <sz val="8"/>
            <color indexed="81"/>
            <rFont val="Tahoma"/>
            <family val="2"/>
          </rPr>
          <t xml:space="preserve">
617 DES bear actual</t>
        </r>
      </text>
    </comment>
    <comment ref="AJ45" authorId="1" shapeId="0" xr:uid="{00000000-0006-0000-0700-0000F9000000}">
      <text>
        <r>
          <rPr>
            <b/>
            <sz val="8"/>
            <color indexed="81"/>
            <rFont val="Tahoma"/>
            <family val="2"/>
          </rPr>
          <t>Martin Shkreli:</t>
        </r>
        <r>
          <rPr>
            <sz val="8"/>
            <color indexed="81"/>
            <rFont val="Tahoma"/>
            <family val="2"/>
          </rPr>
          <t xml:space="preserve">
659 bear des actual</t>
        </r>
      </text>
    </comment>
    <comment ref="AK45" authorId="1" shapeId="0" xr:uid="{00000000-0006-0000-0700-0000FA000000}">
      <text>
        <r>
          <rPr>
            <b/>
            <sz val="8"/>
            <color indexed="81"/>
            <rFont val="Tahoma"/>
            <family val="2"/>
          </rPr>
          <t>Martin Shkreli:</t>
        </r>
        <r>
          <rPr>
            <sz val="8"/>
            <color indexed="81"/>
            <rFont val="Tahoma"/>
            <family val="2"/>
          </rPr>
          <t xml:space="preserve">
656 bear actual des</t>
        </r>
      </text>
    </comment>
    <comment ref="AL45" authorId="1" shapeId="0" xr:uid="{00000000-0006-0000-0700-0000FB000000}">
      <text>
        <r>
          <rPr>
            <b/>
            <sz val="8"/>
            <color indexed="81"/>
            <rFont val="Tahoma"/>
            <family val="2"/>
          </rPr>
          <t>Martin Shkreli:</t>
        </r>
        <r>
          <rPr>
            <sz val="8"/>
            <color indexed="81"/>
            <rFont val="Tahoma"/>
            <family val="2"/>
          </rPr>
          <t xml:space="preserve">
670 bear des actual</t>
        </r>
      </text>
    </comment>
    <comment ref="AM45" authorId="1" shapeId="0" xr:uid="{00000000-0006-0000-0700-0000FC000000}">
      <text>
        <r>
          <rPr>
            <b/>
            <sz val="8"/>
            <color indexed="81"/>
            <rFont val="Tahoma"/>
            <family val="2"/>
          </rPr>
          <t>Martin Shkreli:</t>
        </r>
        <r>
          <rPr>
            <sz val="8"/>
            <color indexed="81"/>
            <rFont val="Tahoma"/>
            <family val="2"/>
          </rPr>
          <t xml:space="preserve">
717 Bear DES actual</t>
        </r>
      </text>
    </comment>
    <comment ref="AN45" authorId="1" shapeId="0" xr:uid="{00000000-0006-0000-0700-0000FD000000}">
      <text>
        <r>
          <rPr>
            <b/>
            <sz val="8"/>
            <color indexed="81"/>
            <rFont val="Tahoma"/>
            <family val="2"/>
          </rPr>
          <t>Martin Shkreli:</t>
        </r>
        <r>
          <rPr>
            <sz val="8"/>
            <color indexed="81"/>
            <rFont val="Tahoma"/>
            <family val="2"/>
          </rPr>
          <t xml:space="preserve">
695 DES Bear actual</t>
        </r>
      </text>
    </comment>
    <comment ref="BA45" authorId="10" shapeId="0" xr:uid="{00000000-0006-0000-0700-0000FE000000}">
      <text>
        <r>
          <rPr>
            <b/>
            <sz val="8"/>
            <color indexed="81"/>
            <rFont val="Tahoma"/>
            <family val="2"/>
          </rPr>
          <t>Marek Biestek:</t>
        </r>
        <r>
          <rPr>
            <sz val="8"/>
            <color indexed="81"/>
            <rFont val="Tahoma"/>
            <family val="2"/>
          </rPr>
          <t xml:space="preserve">
Well below expectations</t>
        </r>
      </text>
    </comment>
    <comment ref="BC45" authorId="0" shapeId="0" xr:uid="{00000000-0006-0000-0700-0000FF000000}">
      <text>
        <r>
          <rPr>
            <b/>
            <sz val="9"/>
            <color indexed="81"/>
            <rFont val="Tahoma"/>
            <family val="2"/>
          </rPr>
          <t>MSMB - Andre:</t>
        </r>
        <r>
          <rPr>
            <sz val="9"/>
            <color indexed="81"/>
            <rFont val="Tahoma"/>
            <family val="2"/>
          </rPr>
          <t xml:space="preserve">
Cypher 190m, -27%</t>
        </r>
      </text>
    </comment>
    <comment ref="BD45" authorId="3" shapeId="0" xr:uid="{00000000-0006-0000-0700-000000010000}">
      <text>
        <r>
          <rPr>
            <b/>
            <sz val="9"/>
            <color indexed="81"/>
            <rFont val="Tahoma"/>
            <family val="2"/>
          </rPr>
          <t>MSMB:</t>
        </r>
        <r>
          <rPr>
            <sz val="9"/>
            <color indexed="81"/>
            <rFont val="Tahoma"/>
            <family val="2"/>
          </rPr>
          <t xml:space="preserve">
Cypher 170m, -29% y/y</t>
        </r>
      </text>
    </comment>
    <comment ref="DQ45" authorId="1" shapeId="0" xr:uid="{00000000-0006-0000-0700-000001010000}">
      <text>
        <r>
          <rPr>
            <b/>
            <sz val="8"/>
            <color indexed="81"/>
            <rFont val="Tahoma"/>
            <family val="2"/>
          </rPr>
          <t>Martin Shkreli:</t>
        </r>
        <r>
          <rPr>
            <sz val="8"/>
            <color indexed="81"/>
            <rFont val="Tahoma"/>
            <family val="2"/>
          </rPr>
          <t xml:space="preserve">
914 Cowen</t>
        </r>
      </text>
    </comment>
    <comment ref="DR45" authorId="1" shapeId="0" xr:uid="{00000000-0006-0000-0700-000002010000}">
      <text>
        <r>
          <rPr>
            <b/>
            <sz val="8"/>
            <color indexed="81"/>
            <rFont val="Tahoma"/>
            <family val="2"/>
          </rPr>
          <t>Martin Shkreli:</t>
        </r>
        <r>
          <rPr>
            <sz val="8"/>
            <color indexed="81"/>
            <rFont val="Tahoma"/>
            <family val="2"/>
          </rPr>
          <t xml:space="preserve">
Bear 935 actual</t>
        </r>
      </text>
    </comment>
    <comment ref="DS45" authorId="1" shapeId="0" xr:uid="{00000000-0006-0000-0700-000003010000}">
      <text>
        <r>
          <rPr>
            <b/>
            <sz val="8"/>
            <color indexed="81"/>
            <rFont val="Tahoma"/>
            <family val="2"/>
          </rPr>
          <t>Martin Shkreli:</t>
        </r>
        <r>
          <rPr>
            <sz val="8"/>
            <color indexed="81"/>
            <rFont val="Tahoma"/>
            <family val="2"/>
          </rPr>
          <t xml:space="preserve">
Bear actual 1056</t>
        </r>
      </text>
    </comment>
    <comment ref="DU45" authorId="1" shapeId="0" xr:uid="{00000000-0006-0000-0700-000004010000}">
      <text>
        <r>
          <rPr>
            <b/>
            <sz val="8"/>
            <color indexed="81"/>
            <rFont val="Tahoma"/>
            <family val="2"/>
          </rPr>
          <t>Martin Shkreli:</t>
        </r>
        <r>
          <rPr>
            <sz val="8"/>
            <color indexed="81"/>
            <rFont val="Tahoma"/>
            <family val="2"/>
          </rPr>
          <t xml:space="preserve">
112 DES Bear</t>
        </r>
      </text>
    </comment>
    <comment ref="DW45" authorId="1" shapeId="0" xr:uid="{00000000-0006-0000-0700-000005010000}">
      <text>
        <r>
          <rPr>
            <b/>
            <sz val="8"/>
            <color indexed="81"/>
            <rFont val="Tahoma"/>
            <family val="2"/>
          </rPr>
          <t>Martin Shkreli:</t>
        </r>
        <r>
          <rPr>
            <sz val="8"/>
            <color indexed="81"/>
            <rFont val="Tahoma"/>
            <family val="2"/>
          </rPr>
          <t xml:space="preserve">
1863 DES bear</t>
        </r>
      </text>
    </comment>
    <comment ref="DX45" authorId="1" shapeId="0" xr:uid="{00000000-0006-0000-0700-000006010000}">
      <text>
        <r>
          <rPr>
            <b/>
            <sz val="8"/>
            <color indexed="81"/>
            <rFont val="Tahoma"/>
            <family val="2"/>
          </rPr>
          <t>Martin Shkreli:</t>
        </r>
        <r>
          <rPr>
            <sz val="8"/>
            <color indexed="81"/>
            <rFont val="Tahoma"/>
            <family val="2"/>
          </rPr>
          <t xml:space="preserve">
2606 DES Bear actual</t>
        </r>
      </text>
    </comment>
    <comment ref="EA45" authorId="2"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R46" authorId="1" shapeId="0" xr:uid="{00000000-0006-0000-0700-000008010000}">
      <text>
        <r>
          <rPr>
            <b/>
            <sz val="8"/>
            <color indexed="81"/>
            <rFont val="Tahoma"/>
            <family val="2"/>
          </rPr>
          <t>Martin Shkreli:</t>
        </r>
        <r>
          <rPr>
            <sz val="8"/>
            <color indexed="81"/>
            <rFont val="Tahoma"/>
            <family val="2"/>
          </rPr>
          <t xml:space="preserve">
Bear 1702 actual</t>
        </r>
      </text>
    </comment>
    <comment ref="B47" authorId="1"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47" authorId="1" shapeId="0" xr:uid="{00000000-0006-0000-0700-00000A010000}">
      <text>
        <r>
          <rPr>
            <b/>
            <sz val="8"/>
            <color indexed="81"/>
            <rFont val="Tahoma"/>
            <family val="2"/>
          </rPr>
          <t>Martin Shkreli:</t>
        </r>
        <r>
          <rPr>
            <sz val="8"/>
            <color indexed="81"/>
            <rFont val="Tahoma"/>
            <family val="2"/>
          </rPr>
          <t xml:space="preserve">
577 MS 2
577 Bear actual</t>
        </r>
      </text>
    </comment>
    <comment ref="T47" authorId="1" shapeId="0" xr:uid="{00000000-0006-0000-0700-00000B010000}">
      <text>
        <r>
          <rPr>
            <b/>
            <sz val="8"/>
            <color indexed="81"/>
            <rFont val="Tahoma"/>
            <family val="2"/>
          </rPr>
          <t>Martin Shkreli:</t>
        </r>
        <r>
          <rPr>
            <sz val="8"/>
            <color indexed="81"/>
            <rFont val="Tahoma"/>
            <family val="2"/>
          </rPr>
          <t xml:space="preserve">
594 MS 2</t>
        </r>
      </text>
    </comment>
    <comment ref="U47" authorId="1" shapeId="0" xr:uid="{00000000-0006-0000-0700-00000C010000}">
      <text>
        <r>
          <rPr>
            <b/>
            <sz val="8"/>
            <color indexed="81"/>
            <rFont val="Tahoma"/>
            <family val="2"/>
          </rPr>
          <t>Martin Shkreli:</t>
        </r>
        <r>
          <rPr>
            <sz val="8"/>
            <color indexed="81"/>
            <rFont val="Tahoma"/>
            <family val="2"/>
          </rPr>
          <t xml:space="preserve">
597 MS 2</t>
        </r>
      </text>
    </comment>
    <comment ref="V47" authorId="1" shapeId="0" xr:uid="{00000000-0006-0000-0700-00000D010000}">
      <text>
        <r>
          <rPr>
            <b/>
            <sz val="8"/>
            <color indexed="81"/>
            <rFont val="Tahoma"/>
            <family val="2"/>
          </rPr>
          <t>Martin Shkreli:</t>
        </r>
        <r>
          <rPr>
            <sz val="8"/>
            <color indexed="81"/>
            <rFont val="Tahoma"/>
            <family val="2"/>
          </rPr>
          <t xml:space="preserve">
Bear 607 actual</t>
        </r>
      </text>
    </comment>
    <comment ref="BC47"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Q47" authorId="1" shapeId="0" xr:uid="{00000000-0006-0000-0700-00000F010000}">
      <text>
        <r>
          <rPr>
            <b/>
            <sz val="8"/>
            <color indexed="81"/>
            <rFont val="Tahoma"/>
            <family val="2"/>
          </rPr>
          <t>Martin Shkreli:</t>
        </r>
        <r>
          <rPr>
            <sz val="8"/>
            <color indexed="81"/>
            <rFont val="Tahoma"/>
            <family val="2"/>
          </rPr>
          <t xml:space="preserve">
1608 JPM
1800 Cowen</t>
        </r>
      </text>
    </comment>
    <comment ref="DR47" authorId="1" shapeId="0" xr:uid="{00000000-0006-0000-0700-000010010000}">
      <text>
        <r>
          <rPr>
            <b/>
            <sz val="8"/>
            <color indexed="81"/>
            <rFont val="Tahoma"/>
            <family val="2"/>
          </rPr>
          <t>Martin Shkreli:</t>
        </r>
        <r>
          <rPr>
            <sz val="8"/>
            <color indexed="81"/>
            <rFont val="Tahoma"/>
            <family val="2"/>
          </rPr>
          <t xml:space="preserve">
1936 Cowen
1830 Bear Actual</t>
        </r>
      </text>
    </comment>
    <comment ref="DT47" authorId="1" shapeId="0" xr:uid="{00000000-0006-0000-0700-000011010000}">
      <text>
        <r>
          <rPr>
            <b/>
            <sz val="8"/>
            <color indexed="81"/>
            <rFont val="Tahoma"/>
            <family val="2"/>
          </rPr>
          <t>Martin Shkreli:</t>
        </r>
        <r>
          <rPr>
            <sz val="8"/>
            <color indexed="81"/>
            <rFont val="Tahoma"/>
            <family val="2"/>
          </rPr>
          <t xml:space="preserve">
2246 Bear actual</t>
        </r>
      </text>
    </comment>
    <comment ref="DQ48" authorId="1" shapeId="0" xr:uid="{00000000-0006-0000-0700-000012010000}">
      <text>
        <r>
          <rPr>
            <b/>
            <sz val="8"/>
            <color indexed="81"/>
            <rFont val="Tahoma"/>
            <family val="2"/>
          </rPr>
          <t>Martin Shkreli:</t>
        </r>
        <r>
          <rPr>
            <sz val="8"/>
            <color indexed="81"/>
            <rFont val="Tahoma"/>
            <family val="2"/>
          </rPr>
          <t xml:space="preserve">
1144 Cowen</t>
        </r>
      </text>
    </comment>
    <comment ref="DR48" authorId="1" shapeId="0" xr:uid="{00000000-0006-0000-0700-000013010000}">
      <text>
        <r>
          <rPr>
            <b/>
            <sz val="8"/>
            <color indexed="81"/>
            <rFont val="Tahoma"/>
            <family val="2"/>
          </rPr>
          <t>Martin Shkreli:</t>
        </r>
        <r>
          <rPr>
            <sz val="8"/>
            <color indexed="81"/>
            <rFont val="Tahoma"/>
            <family val="2"/>
          </rPr>
          <t xml:space="preserve">
1315 Cowen
Bear 1371 actual</t>
        </r>
      </text>
    </comment>
    <comment ref="BS49" authorId="4" shapeId="0" xr:uid="{00000000-0006-0000-0700-000014010000}">
      <text>
        <r>
          <rPr>
            <b/>
            <sz val="9"/>
            <color indexed="81"/>
            <rFont val="Tahoma"/>
            <family val="2"/>
          </rPr>
          <t>Martin:</t>
        </r>
        <r>
          <rPr>
            <sz val="9"/>
            <color indexed="81"/>
            <rFont val="Tahoma"/>
            <family val="2"/>
          </rPr>
          <t xml:space="preserve">
Infection prevention</t>
        </r>
      </text>
    </comment>
    <comment ref="S51" authorId="1" shapeId="0" xr:uid="{00000000-0006-0000-0700-000015010000}">
      <text>
        <r>
          <rPr>
            <b/>
            <sz val="8"/>
            <color indexed="81"/>
            <rFont val="Tahoma"/>
            <family val="2"/>
          </rPr>
          <t>Martin Shkreli:</t>
        </r>
        <r>
          <rPr>
            <sz val="8"/>
            <color indexed="81"/>
            <rFont val="Tahoma"/>
            <family val="2"/>
          </rPr>
          <t xml:space="preserve">
258 MS 2
258 Bear actual</t>
        </r>
      </text>
    </comment>
    <comment ref="T51" authorId="1" shapeId="0" xr:uid="{00000000-0006-0000-0700-000016010000}">
      <text>
        <r>
          <rPr>
            <b/>
            <sz val="8"/>
            <color indexed="81"/>
            <rFont val="Tahoma"/>
            <family val="2"/>
          </rPr>
          <t>Martin Shkreli:</t>
        </r>
        <r>
          <rPr>
            <sz val="8"/>
            <color indexed="81"/>
            <rFont val="Tahoma"/>
            <family val="2"/>
          </rPr>
          <t xml:space="preserve">
264 MS 2
264 Bear actual</t>
        </r>
      </text>
    </comment>
    <comment ref="U51" authorId="1" shapeId="0" xr:uid="{00000000-0006-0000-0700-000017010000}">
      <text>
        <r>
          <rPr>
            <b/>
            <sz val="8"/>
            <color indexed="81"/>
            <rFont val="Tahoma"/>
            <family val="2"/>
          </rPr>
          <t>Martin Shkreli:</t>
        </r>
        <r>
          <rPr>
            <sz val="8"/>
            <color indexed="81"/>
            <rFont val="Tahoma"/>
            <family val="2"/>
          </rPr>
          <t xml:space="preserve">
288 MS 2
288 bear actual</t>
        </r>
      </text>
    </comment>
    <comment ref="AL51" authorId="1" shapeId="0" xr:uid="{00000000-0006-0000-0700-000018010000}">
      <text>
        <r>
          <rPr>
            <b/>
            <sz val="8"/>
            <color indexed="81"/>
            <rFont val="Tahoma"/>
            <family val="2"/>
          </rPr>
          <t>Martin Shkreli:</t>
        </r>
        <r>
          <rPr>
            <sz val="8"/>
            <color indexed="81"/>
            <rFont val="Tahoma"/>
            <family val="2"/>
          </rPr>
          <t xml:space="preserve">
FDA Warning Letter</t>
        </r>
      </text>
    </comment>
    <comment ref="AM51" authorId="2" shapeId="0" xr:uid="{00000000-0006-0000-0700-000019010000}">
      <text>
        <r>
          <rPr>
            <sz val="8"/>
            <color indexed="8"/>
            <rFont val="Times New Roman"/>
            <family val="1"/>
          </rPr>
          <t>Animus acquisition completed</t>
        </r>
      </text>
    </comment>
    <comment ref="DQ51" authorId="1" shapeId="0" xr:uid="{00000000-0006-0000-0700-00001A010000}">
      <text>
        <r>
          <rPr>
            <b/>
            <sz val="8"/>
            <color indexed="81"/>
            <rFont val="Tahoma"/>
            <family val="2"/>
          </rPr>
          <t>Martin Shkreli:</t>
        </r>
        <r>
          <rPr>
            <sz val="8"/>
            <color indexed="81"/>
            <rFont val="Tahoma"/>
            <family val="2"/>
          </rPr>
          <t xml:space="preserve">
996 JPM
988 Cowen</t>
        </r>
      </text>
    </comment>
    <comment ref="DR51" authorId="1"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DT51" authorId="1" shapeId="0" xr:uid="{00000000-0006-0000-0700-00001C010000}">
      <text>
        <r>
          <rPr>
            <b/>
            <sz val="8"/>
            <color indexed="81"/>
            <rFont val="Tahoma"/>
            <family val="2"/>
          </rPr>
          <t>Martin Shkreli:</t>
        </r>
        <r>
          <rPr>
            <sz val="8"/>
            <color indexed="81"/>
            <rFont val="Tahoma"/>
            <family val="2"/>
          </rPr>
          <t xml:space="preserve">
1095 Bear actual</t>
        </r>
      </text>
    </comment>
    <comment ref="DQ52" authorId="1" shapeId="0" xr:uid="{00000000-0006-0000-0700-00001D010000}">
      <text>
        <r>
          <rPr>
            <b/>
            <sz val="8"/>
            <color indexed="81"/>
            <rFont val="Tahoma"/>
            <family val="2"/>
          </rPr>
          <t>Martin Shkreli:</t>
        </r>
        <r>
          <rPr>
            <sz val="8"/>
            <color indexed="81"/>
            <rFont val="Tahoma"/>
            <family val="2"/>
          </rPr>
          <t xml:space="preserve">
972 Cowen
988 JPM</t>
        </r>
      </text>
    </comment>
    <comment ref="DR52" authorId="1" shapeId="0" xr:uid="{00000000-0006-0000-0700-00001E010000}">
      <text>
        <r>
          <rPr>
            <b/>
            <sz val="8"/>
            <color indexed="81"/>
            <rFont val="Tahoma"/>
            <family val="2"/>
          </rPr>
          <t>Martin Shkreli:</t>
        </r>
        <r>
          <rPr>
            <sz val="8"/>
            <color indexed="81"/>
            <rFont val="Tahoma"/>
            <family val="2"/>
          </rPr>
          <t xml:space="preserve">
919 Cowen
940 Bear actual</t>
        </r>
      </text>
    </comment>
    <comment ref="S53" authorId="1" shapeId="0" xr:uid="{00000000-0006-0000-0700-00001F010000}">
      <text>
        <r>
          <rPr>
            <b/>
            <sz val="8"/>
            <color indexed="81"/>
            <rFont val="Tahoma"/>
            <family val="2"/>
          </rPr>
          <t>Martin Shkreli:</t>
        </r>
        <r>
          <rPr>
            <sz val="8"/>
            <color indexed="81"/>
            <rFont val="Tahoma"/>
            <family val="2"/>
          </rPr>
          <t xml:space="preserve">
259 MS 2
259 Bear actual</t>
        </r>
      </text>
    </comment>
    <comment ref="T53" authorId="1" shapeId="0" xr:uid="{00000000-0006-0000-0700-000020010000}">
      <text>
        <r>
          <rPr>
            <b/>
            <sz val="8"/>
            <color indexed="81"/>
            <rFont val="Tahoma"/>
            <family val="2"/>
          </rPr>
          <t>Martin Shkreli:</t>
        </r>
        <r>
          <rPr>
            <sz val="8"/>
            <color indexed="81"/>
            <rFont val="Tahoma"/>
            <family val="2"/>
          </rPr>
          <t xml:space="preserve">
258 MS 2
258 Bear actual</t>
        </r>
      </text>
    </comment>
    <comment ref="U53" authorId="1" shapeId="0" xr:uid="{00000000-0006-0000-0700-000021010000}">
      <text>
        <r>
          <rPr>
            <b/>
            <sz val="8"/>
            <color indexed="81"/>
            <rFont val="Tahoma"/>
            <family val="2"/>
          </rPr>
          <t>Martin Shkreli:</t>
        </r>
        <r>
          <rPr>
            <sz val="8"/>
            <color indexed="81"/>
            <rFont val="Tahoma"/>
            <family val="2"/>
          </rPr>
          <t xml:space="preserve">
275 MS2
275 Bear actual</t>
        </r>
      </text>
    </comment>
    <comment ref="DQ53" authorId="1" shapeId="0" xr:uid="{00000000-0006-0000-0700-000022010000}">
      <text>
        <r>
          <rPr>
            <b/>
            <sz val="8"/>
            <color indexed="81"/>
            <rFont val="Tahoma"/>
            <family val="2"/>
          </rPr>
          <t>Martin Shkreli:</t>
        </r>
        <r>
          <rPr>
            <sz val="8"/>
            <color indexed="81"/>
            <rFont val="Tahoma"/>
            <family val="2"/>
          </rPr>
          <t xml:space="preserve">
866 Cowen</t>
        </r>
      </text>
    </comment>
    <comment ref="DR53" authorId="1" shapeId="0" xr:uid="{00000000-0006-0000-0700-000023010000}">
      <text>
        <r>
          <rPr>
            <b/>
            <sz val="8"/>
            <color indexed="81"/>
            <rFont val="Tahoma"/>
            <family val="2"/>
          </rPr>
          <t>Martin Shkreli:</t>
        </r>
        <r>
          <rPr>
            <sz val="8"/>
            <color indexed="81"/>
            <rFont val="Tahoma"/>
            <family val="2"/>
          </rPr>
          <t xml:space="preserve">
937 Bear actual</t>
        </r>
      </text>
    </comment>
    <comment ref="DT53" authorId="1" shapeId="0" xr:uid="{00000000-0006-0000-0700-000024010000}">
      <text>
        <r>
          <rPr>
            <b/>
            <sz val="8"/>
            <color indexed="81"/>
            <rFont val="Tahoma"/>
            <family val="2"/>
          </rPr>
          <t>Martin Shkreli:</t>
        </r>
        <r>
          <rPr>
            <sz val="8"/>
            <color indexed="81"/>
            <rFont val="Tahoma"/>
            <family val="2"/>
          </rPr>
          <t xml:space="preserve">
1044 Bear actual</t>
        </r>
      </text>
    </comment>
    <comment ref="O54" authorId="1" shapeId="0" xr:uid="{00000000-0006-0000-0700-000025010000}">
      <text>
        <r>
          <rPr>
            <b/>
            <sz val="8"/>
            <color indexed="81"/>
            <rFont val="Tahoma"/>
            <family val="2"/>
          </rPr>
          <t>Martin Shkreli:</t>
        </r>
        <r>
          <rPr>
            <sz val="8"/>
            <color indexed="81"/>
            <rFont val="Tahoma"/>
            <family val="2"/>
          </rPr>
          <t xml:space="preserve">
142 Bear actual</t>
        </r>
      </text>
    </comment>
    <comment ref="P54" authorId="1" shapeId="0" xr:uid="{00000000-0006-0000-0700-000026010000}">
      <text>
        <r>
          <rPr>
            <b/>
            <sz val="8"/>
            <color indexed="81"/>
            <rFont val="Tahoma"/>
            <family val="2"/>
          </rPr>
          <t>Martin Shkreli:</t>
        </r>
        <r>
          <rPr>
            <sz val="8"/>
            <color indexed="81"/>
            <rFont val="Tahoma"/>
            <family val="2"/>
          </rPr>
          <t xml:space="preserve">
137 Bear actual</t>
        </r>
      </text>
    </comment>
    <comment ref="Q54" authorId="1" shapeId="0" xr:uid="{00000000-0006-0000-0700-000027010000}">
      <text>
        <r>
          <rPr>
            <b/>
            <sz val="8"/>
            <color indexed="81"/>
            <rFont val="Tahoma"/>
            <family val="2"/>
          </rPr>
          <t>Martin Shkreli:</t>
        </r>
        <r>
          <rPr>
            <sz val="8"/>
            <color indexed="81"/>
            <rFont val="Tahoma"/>
            <family val="2"/>
          </rPr>
          <t xml:space="preserve">
143 Bear actual</t>
        </r>
      </text>
    </comment>
    <comment ref="R54" authorId="1" shapeId="0" xr:uid="{00000000-0006-0000-0700-000028010000}">
      <text>
        <r>
          <rPr>
            <b/>
            <sz val="8"/>
            <color indexed="81"/>
            <rFont val="Tahoma"/>
            <family val="2"/>
          </rPr>
          <t>Martin Shkreli:</t>
        </r>
        <r>
          <rPr>
            <sz val="8"/>
            <color indexed="81"/>
            <rFont val="Tahoma"/>
            <family val="2"/>
          </rPr>
          <t xml:space="preserve">
133 Bear actual</t>
        </r>
      </text>
    </comment>
    <comment ref="S54" authorId="1" shapeId="0" xr:uid="{00000000-0006-0000-0700-000029010000}">
      <text>
        <r>
          <rPr>
            <b/>
            <sz val="8"/>
            <color indexed="81"/>
            <rFont val="Tahoma"/>
            <family val="2"/>
          </rPr>
          <t>Martin Shkreli:</t>
        </r>
        <r>
          <rPr>
            <sz val="8"/>
            <color indexed="81"/>
            <rFont val="Tahoma"/>
            <family val="2"/>
          </rPr>
          <t xml:space="preserve">
83 MS2
83 Bear actual</t>
        </r>
      </text>
    </comment>
    <comment ref="T54" authorId="1" shapeId="0" xr:uid="{00000000-0006-0000-0700-00002A010000}">
      <text>
        <r>
          <rPr>
            <b/>
            <sz val="8"/>
            <color indexed="81"/>
            <rFont val="Tahoma"/>
            <family val="2"/>
          </rPr>
          <t>Martin Shkreli:</t>
        </r>
        <r>
          <rPr>
            <sz val="8"/>
            <color indexed="81"/>
            <rFont val="Tahoma"/>
            <family val="2"/>
          </rPr>
          <t xml:space="preserve">
67 MS2
131 Bear actual</t>
        </r>
      </text>
    </comment>
    <comment ref="U54" authorId="1" shapeId="0" xr:uid="{00000000-0006-0000-0700-00002B010000}">
      <text>
        <r>
          <rPr>
            <b/>
            <sz val="8"/>
            <color indexed="81"/>
            <rFont val="Tahoma"/>
            <family val="2"/>
          </rPr>
          <t>Martin Shkreli:</t>
        </r>
        <r>
          <rPr>
            <sz val="8"/>
            <color indexed="81"/>
            <rFont val="Tahoma"/>
            <family val="2"/>
          </rPr>
          <t xml:space="preserve">
34 MS2
98 Bear actual</t>
        </r>
      </text>
    </comment>
    <comment ref="V54" authorId="1" shapeId="0" xr:uid="{00000000-0006-0000-0700-00002C010000}">
      <text>
        <r>
          <rPr>
            <b/>
            <sz val="8"/>
            <color indexed="81"/>
            <rFont val="Tahoma"/>
            <family val="2"/>
          </rPr>
          <t>Martin Shkreli:</t>
        </r>
        <r>
          <rPr>
            <sz val="8"/>
            <color indexed="81"/>
            <rFont val="Tahoma"/>
            <family val="2"/>
          </rPr>
          <t xml:space="preserve">
30 Bear actual</t>
        </r>
      </text>
    </comment>
    <comment ref="W54" authorId="1" shapeId="0" xr:uid="{00000000-0006-0000-0700-00002D010000}">
      <text>
        <r>
          <rPr>
            <b/>
            <sz val="8"/>
            <color indexed="81"/>
            <rFont val="Tahoma"/>
            <family val="2"/>
          </rPr>
          <t>Martin Shkreli:</t>
        </r>
        <r>
          <rPr>
            <sz val="8"/>
            <color indexed="81"/>
            <rFont val="Tahoma"/>
            <family val="2"/>
          </rPr>
          <t xml:space="preserve">
29 Bear actual</t>
        </r>
      </text>
    </comment>
    <comment ref="Y54" authorId="1" shapeId="0" xr:uid="{00000000-0006-0000-0700-00002E010000}">
      <text>
        <r>
          <rPr>
            <b/>
            <sz val="8"/>
            <color indexed="81"/>
            <rFont val="Tahoma"/>
            <family val="2"/>
          </rPr>
          <t>Martin Shkreli:</t>
        </r>
        <r>
          <rPr>
            <sz val="8"/>
            <color indexed="81"/>
            <rFont val="Tahoma"/>
            <family val="2"/>
          </rPr>
          <t xml:space="preserve">
32 Bear actual</t>
        </r>
      </text>
    </comment>
    <comment ref="Z54" authorId="1" shapeId="0" xr:uid="{00000000-0006-0000-0700-00002F010000}">
      <text>
        <r>
          <rPr>
            <b/>
            <sz val="8"/>
            <color indexed="81"/>
            <rFont val="Tahoma"/>
            <family val="2"/>
          </rPr>
          <t>Martin Shkreli:</t>
        </r>
        <r>
          <rPr>
            <sz val="8"/>
            <color indexed="81"/>
            <rFont val="Tahoma"/>
            <family val="2"/>
          </rPr>
          <t xml:space="preserve">
24 Bear actual</t>
        </r>
      </text>
    </comment>
    <comment ref="AA54" authorId="1" shapeId="0" xr:uid="{00000000-0006-0000-0700-000030010000}">
      <text>
        <r>
          <rPr>
            <b/>
            <sz val="8"/>
            <color indexed="81"/>
            <rFont val="Tahoma"/>
            <family val="2"/>
          </rPr>
          <t>Martin Shkreli:</t>
        </r>
        <r>
          <rPr>
            <sz val="8"/>
            <color indexed="81"/>
            <rFont val="Tahoma"/>
            <family val="2"/>
          </rPr>
          <t xml:space="preserve">
17m Bear actual</t>
        </r>
      </text>
    </comment>
    <comment ref="AB54" authorId="1" shapeId="0" xr:uid="{00000000-0006-0000-0700-000031010000}">
      <text>
        <r>
          <rPr>
            <b/>
            <sz val="8"/>
            <color indexed="81"/>
            <rFont val="Tahoma"/>
            <family val="2"/>
          </rPr>
          <t>Martin Shkreli:</t>
        </r>
        <r>
          <rPr>
            <sz val="8"/>
            <color indexed="81"/>
            <rFont val="Tahoma"/>
            <family val="2"/>
          </rPr>
          <t xml:space="preserve">
17m Bear actual</t>
        </r>
      </text>
    </comment>
    <comment ref="DR54" authorId="1" shapeId="0" xr:uid="{00000000-0006-0000-0700-000032010000}">
      <text>
        <r>
          <rPr>
            <b/>
            <sz val="8"/>
            <color indexed="81"/>
            <rFont val="Tahoma"/>
            <family val="2"/>
          </rPr>
          <t>Martin Shkreli:</t>
        </r>
        <r>
          <rPr>
            <sz val="8"/>
            <color indexed="81"/>
            <rFont val="Tahoma"/>
            <family val="2"/>
          </rPr>
          <t xml:space="preserve">
1156 Bear actual</t>
        </r>
      </text>
    </comment>
    <comment ref="DS54" authorId="1" shapeId="0" xr:uid="{00000000-0006-0000-0700-000033010000}">
      <text>
        <r>
          <rPr>
            <b/>
            <sz val="8"/>
            <color indexed="81"/>
            <rFont val="Tahoma"/>
            <family val="2"/>
          </rPr>
          <t>Martin Shkreli:</t>
        </r>
        <r>
          <rPr>
            <sz val="8"/>
            <color indexed="81"/>
            <rFont val="Tahoma"/>
            <family val="2"/>
          </rPr>
          <t xml:space="preserve">
554 Bear actual</t>
        </r>
      </text>
    </comment>
    <comment ref="DT54" authorId="1" shapeId="0" xr:uid="{00000000-0006-0000-0700-000034010000}">
      <text>
        <r>
          <rPr>
            <b/>
            <sz val="8"/>
            <color indexed="81"/>
            <rFont val="Tahoma"/>
            <family val="2"/>
          </rPr>
          <t>Martin Shkreli:</t>
        </r>
        <r>
          <rPr>
            <sz val="8"/>
            <color indexed="81"/>
            <rFont val="Tahoma"/>
            <family val="2"/>
          </rPr>
          <t xml:space="preserve">
341 Bear actual</t>
        </r>
      </text>
    </comment>
    <comment ref="DU54" authorId="1" shapeId="0" xr:uid="{00000000-0006-0000-0700-000035010000}">
      <text>
        <r>
          <rPr>
            <b/>
            <sz val="8"/>
            <color indexed="81"/>
            <rFont val="Tahoma"/>
            <family val="2"/>
          </rPr>
          <t>Martin Shkreli:</t>
        </r>
        <r>
          <rPr>
            <sz val="8"/>
            <color indexed="81"/>
            <rFont val="Tahoma"/>
            <family val="2"/>
          </rPr>
          <t xml:space="preserve">
118 bear actual</t>
        </r>
      </text>
    </comment>
    <comment ref="DV54" authorId="1" shapeId="0" xr:uid="{00000000-0006-0000-0700-000036010000}">
      <text>
        <r>
          <rPr>
            <b/>
            <sz val="8"/>
            <color indexed="81"/>
            <rFont val="Tahoma"/>
            <family val="2"/>
          </rPr>
          <t>Martin Shkreli:</t>
        </r>
        <r>
          <rPr>
            <sz val="8"/>
            <color indexed="81"/>
            <rFont val="Tahoma"/>
            <family val="2"/>
          </rPr>
          <t xml:space="preserve">
Bear 68 actual</t>
        </r>
      </text>
    </comment>
    <comment ref="S55" authorId="1" shapeId="0" xr:uid="{00000000-0006-0000-0700-000037010000}">
      <text>
        <r>
          <rPr>
            <b/>
            <sz val="8"/>
            <color indexed="81"/>
            <rFont val="Tahoma"/>
            <family val="2"/>
          </rPr>
          <t>Martin Shkreli:</t>
        </r>
        <r>
          <rPr>
            <sz val="8"/>
            <color indexed="81"/>
            <rFont val="Tahoma"/>
            <family val="2"/>
          </rPr>
          <t xml:space="preserve">
1631 MS2</t>
        </r>
      </text>
    </comment>
    <comment ref="T55" authorId="1" shapeId="0" xr:uid="{00000000-0006-0000-0700-000038010000}">
      <text>
        <r>
          <rPr>
            <b/>
            <sz val="8"/>
            <color indexed="81"/>
            <rFont val="Tahoma"/>
            <family val="2"/>
          </rPr>
          <t>Martin Shkreli:</t>
        </r>
        <r>
          <rPr>
            <sz val="8"/>
            <color indexed="81"/>
            <rFont val="Tahoma"/>
            <family val="2"/>
          </rPr>
          <t xml:space="preserve">
1529 MS2</t>
        </r>
      </text>
    </comment>
    <comment ref="U55" authorId="1" shapeId="0" xr:uid="{00000000-0006-0000-0700-000039010000}">
      <text>
        <r>
          <rPr>
            <b/>
            <sz val="8"/>
            <color indexed="81"/>
            <rFont val="Tahoma"/>
            <family val="2"/>
          </rPr>
          <t>Martin Shkreli:</t>
        </r>
        <r>
          <rPr>
            <sz val="8"/>
            <color indexed="81"/>
            <rFont val="Tahoma"/>
            <family val="2"/>
          </rPr>
          <t xml:space="preserve">
1609 MS2</t>
        </r>
      </text>
    </comment>
    <comment ref="AU55" authorId="1" shapeId="0" xr:uid="{00000000-0006-0000-0700-00003A010000}">
      <text>
        <r>
          <rPr>
            <b/>
            <sz val="8"/>
            <color indexed="81"/>
            <rFont val="Tahoma"/>
            <family val="2"/>
          </rPr>
          <t>Martin Shkreli:</t>
        </r>
        <r>
          <rPr>
            <sz val="8"/>
            <color indexed="81"/>
            <rFont val="Tahoma"/>
            <family val="2"/>
          </rPr>
          <t xml:space="preserve">
Zyrtec build</t>
        </r>
      </text>
    </comment>
    <comment ref="AY55" authorId="1"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55" authorId="6" shapeId="0" xr:uid="{00000000-0006-0000-0700-00003C010000}">
      <text>
        <r>
          <rPr>
            <sz val="8"/>
            <color indexed="81"/>
            <rFont val="Tahoma"/>
            <family val="2"/>
          </rPr>
          <t>August Cowen meeting: not seeing economy improving</t>
        </r>
      </text>
    </comment>
    <comment ref="BD55" authorId="3"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55" authorId="19"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55" authorId="20"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55" authorId="21"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55" authorId="22"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DR55" authorId="1" shapeId="0" xr:uid="{00000000-0006-0000-0700-00003E010000}">
      <text>
        <r>
          <rPr>
            <b/>
            <sz val="8"/>
            <color indexed="81"/>
            <rFont val="Tahoma"/>
            <family val="2"/>
          </rPr>
          <t>Martin Shkreli:</t>
        </r>
        <r>
          <rPr>
            <sz val="8"/>
            <color indexed="81"/>
            <rFont val="Tahoma"/>
            <family val="2"/>
          </rPr>
          <t xml:space="preserve">
6248 bear
6862 cowen</t>
        </r>
      </text>
    </comment>
    <comment ref="DS55" authorId="1" shapeId="0" xr:uid="{00000000-0006-0000-0700-00003F010000}">
      <text>
        <r>
          <rPr>
            <b/>
            <sz val="8"/>
            <color indexed="81"/>
            <rFont val="Tahoma"/>
            <family val="2"/>
          </rPr>
          <t>Martin Shkreli:</t>
        </r>
        <r>
          <rPr>
            <sz val="8"/>
            <color indexed="81"/>
            <rFont val="Tahoma"/>
            <family val="2"/>
          </rPr>
          <t xml:space="preserve">
6271 bear</t>
        </r>
      </text>
    </comment>
    <comment ref="DT55" authorId="1" shapeId="0" xr:uid="{00000000-0006-0000-0700-000040010000}">
      <text>
        <r>
          <rPr>
            <b/>
            <sz val="8"/>
            <color indexed="81"/>
            <rFont val="Tahoma"/>
            <family val="2"/>
          </rPr>
          <t>Martin Shkreli:</t>
        </r>
        <r>
          <rPr>
            <sz val="8"/>
            <color indexed="81"/>
            <rFont val="Tahoma"/>
            <family val="2"/>
          </rPr>
          <t xml:space="preserve">
6321 bear</t>
        </r>
      </text>
    </comment>
    <comment ref="EC55" authorId="3" shapeId="0" xr:uid="{00000000-0006-0000-0700-000041010000}">
      <text>
        <r>
          <rPr>
            <b/>
            <sz val="9"/>
            <color indexed="81"/>
            <rFont val="Tahoma"/>
            <family val="2"/>
          </rPr>
          <t>MSMB:</t>
        </r>
        <r>
          <rPr>
            <sz val="9"/>
            <color indexed="81"/>
            <rFont val="Tahoma"/>
            <family val="2"/>
          </rPr>
          <t xml:space="preserve">
McNeil recall is 650m in sales last 3 years</t>
        </r>
      </text>
    </comment>
    <comment ref="K56" authorId="1" shapeId="0" xr:uid="{00000000-0006-0000-0700-000042010000}">
      <text>
        <r>
          <rPr>
            <b/>
            <sz val="8"/>
            <color indexed="81"/>
            <rFont val="Tahoma"/>
            <family val="2"/>
          </rPr>
          <t>Martin Shkreli:</t>
        </r>
        <r>
          <rPr>
            <sz val="8"/>
            <color indexed="81"/>
            <rFont val="Tahoma"/>
            <family val="2"/>
          </rPr>
          <t xml:space="preserve">
6859? jpm</t>
        </r>
      </text>
    </comment>
    <comment ref="L56" authorId="1" shapeId="0" xr:uid="{00000000-0006-0000-0700-000043010000}">
      <text>
        <r>
          <rPr>
            <b/>
            <sz val="8"/>
            <color indexed="81"/>
            <rFont val="Tahoma"/>
            <family val="2"/>
          </rPr>
          <t>Martin Shkreli:</t>
        </r>
        <r>
          <rPr>
            <sz val="8"/>
            <color indexed="81"/>
            <rFont val="Tahoma"/>
            <family val="2"/>
          </rPr>
          <t xml:space="preserve">
7099 jpm</t>
        </r>
      </text>
    </comment>
    <comment ref="M56" authorId="1" shapeId="0" xr:uid="{00000000-0006-0000-0700-000044010000}">
      <text>
        <r>
          <rPr>
            <b/>
            <sz val="8"/>
            <color indexed="81"/>
            <rFont val="Tahoma"/>
            <family val="2"/>
          </rPr>
          <t>Martin Shkreli:</t>
        </r>
        <r>
          <rPr>
            <sz val="8"/>
            <color indexed="81"/>
            <rFont val="Tahoma"/>
            <family val="2"/>
          </rPr>
          <t xml:space="preserve">
7085 jpm</t>
        </r>
      </text>
    </comment>
    <comment ref="N56" authorId="1" shapeId="0" xr:uid="{00000000-0006-0000-0700-000045010000}">
      <text>
        <r>
          <rPr>
            <b/>
            <sz val="8"/>
            <color indexed="81"/>
            <rFont val="Tahoma"/>
            <family val="2"/>
          </rPr>
          <t>Martin Shkreli:</t>
        </r>
        <r>
          <rPr>
            <sz val="8"/>
            <color indexed="81"/>
            <rFont val="Tahoma"/>
            <family val="2"/>
          </rPr>
          <t xml:space="preserve">
6964 jpm</t>
        </r>
      </text>
    </comment>
    <comment ref="O56" authorId="1" shapeId="0" xr:uid="{00000000-0006-0000-0700-000046010000}">
      <text>
        <r>
          <rPr>
            <b/>
            <sz val="8"/>
            <color indexed="81"/>
            <rFont val="Tahoma"/>
            <family val="2"/>
          </rPr>
          <t>Martin Shkreli:</t>
        </r>
        <r>
          <rPr>
            <sz val="8"/>
            <color indexed="81"/>
            <rFont val="Tahoma"/>
            <family val="2"/>
          </rPr>
          <t xml:space="preserve">
7440 jpm
7440 bear</t>
        </r>
      </text>
    </comment>
    <comment ref="P56" authorId="1" shapeId="0" xr:uid="{00000000-0006-0000-0700-000047010000}">
      <text>
        <r>
          <rPr>
            <b/>
            <sz val="8"/>
            <color indexed="81"/>
            <rFont val="Tahoma"/>
            <family val="2"/>
          </rPr>
          <t>Martin Shkreli:</t>
        </r>
        <r>
          <rPr>
            <sz val="8"/>
            <color indexed="81"/>
            <rFont val="Tahoma"/>
            <family val="2"/>
          </rPr>
          <t xml:space="preserve">
7670 jpm
7670 bear</t>
        </r>
      </text>
    </comment>
    <comment ref="Q56" authorId="1" shapeId="0" xr:uid="{00000000-0006-0000-0700-000048010000}">
      <text>
        <r>
          <rPr>
            <b/>
            <sz val="8"/>
            <color indexed="81"/>
            <rFont val="Tahoma"/>
            <family val="2"/>
          </rPr>
          <t>Martin Shkreli:</t>
        </r>
        <r>
          <rPr>
            <sz val="8"/>
            <color indexed="81"/>
            <rFont val="Tahoma"/>
            <family val="2"/>
          </rPr>
          <t xml:space="preserve">
7438 jpm
7438 bear</t>
        </r>
      </text>
    </comment>
    <comment ref="R56" authorId="1" shapeId="0" xr:uid="{00000000-0006-0000-0700-000049010000}">
      <text>
        <r>
          <rPr>
            <b/>
            <sz val="8"/>
            <color indexed="81"/>
            <rFont val="Tahoma"/>
            <family val="2"/>
          </rPr>
          <t>Martin Shkreli:</t>
        </r>
        <r>
          <rPr>
            <sz val="8"/>
            <color indexed="81"/>
            <rFont val="Tahoma"/>
            <family val="2"/>
          </rPr>
          <t xml:space="preserve">
7298 jpm
7298 bear</t>
        </r>
      </text>
    </comment>
    <comment ref="S56" authorId="1"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56" authorId="1"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56" authorId="1"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56" authorId="1"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56" authorId="1" shapeId="0" xr:uid="{00000000-0006-0000-0700-00004E010000}">
      <text>
        <r>
          <rPr>
            <b/>
            <sz val="8"/>
            <color indexed="81"/>
            <rFont val="Tahoma"/>
            <family val="2"/>
          </rPr>
          <t>Martin Shkreli:</t>
        </r>
        <r>
          <rPr>
            <sz val="8"/>
            <color indexed="81"/>
            <rFont val="Tahoma"/>
            <family val="2"/>
          </rPr>
          <t xml:space="preserve">
Inventory +80m
FX -365m</t>
        </r>
      </text>
    </comment>
    <comment ref="AB56" authorId="1"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56" authorId="1" shapeId="0" xr:uid="{00000000-0006-0000-0700-000050010000}">
      <text>
        <r>
          <rPr>
            <b/>
            <sz val="8"/>
            <color indexed="81"/>
            <rFont val="Tahoma"/>
            <family val="2"/>
          </rPr>
          <t>Martin Shkreli:</t>
        </r>
        <r>
          <rPr>
            <sz val="8"/>
            <color indexed="81"/>
            <rFont val="Tahoma"/>
            <family val="2"/>
          </rPr>
          <t xml:space="preserve">
Acquisitions -45
FX -318</t>
        </r>
      </text>
    </comment>
    <comment ref="AD56" authorId="1" shapeId="0" xr:uid="{00000000-0006-0000-0700-000051010000}">
      <text>
        <r>
          <rPr>
            <b/>
            <sz val="8"/>
            <color indexed="81"/>
            <rFont val="Tahoma"/>
            <family val="2"/>
          </rPr>
          <t>Martin Shkreli:</t>
        </r>
        <r>
          <rPr>
            <sz val="8"/>
            <color indexed="81"/>
            <rFont val="Tahoma"/>
            <family val="2"/>
          </rPr>
          <t xml:space="preserve">
11254 JPM
FX -525</t>
        </r>
      </text>
    </comment>
    <comment ref="AL56" authorId="1"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56" authorId="2" shapeId="0" xr:uid="{00000000-0006-0000-0700-000053010000}">
      <text>
        <r>
          <rPr>
            <b/>
            <sz val="8"/>
            <color indexed="8"/>
            <rFont val="Times New Roman"/>
            <family val="1"/>
          </rPr>
          <t xml:space="preserve">Martin Shkreli:
</t>
        </r>
        <r>
          <rPr>
            <sz val="8"/>
            <color indexed="8"/>
            <rFont val="Times New Roman"/>
            <family val="1"/>
          </rPr>
          <t>10-11%</t>
        </r>
      </text>
    </comment>
    <comment ref="AZ56" authorId="1" shapeId="0" xr:uid="{00000000-0006-0000-0700-000054010000}">
      <text>
        <r>
          <rPr>
            <b/>
            <sz val="8"/>
            <color indexed="81"/>
            <rFont val="Tahoma"/>
            <family val="2"/>
          </rPr>
          <t>Martin Shkreli:</t>
        </r>
        <r>
          <rPr>
            <sz val="8"/>
            <color indexed="81"/>
            <rFont val="Tahoma"/>
            <family val="2"/>
          </rPr>
          <t xml:space="preserve">
7/4: 14.980bn consensus</t>
        </r>
      </text>
    </comment>
    <comment ref="BC56" authorId="0" shapeId="0" xr:uid="{00000000-0006-0000-0700-000055010000}">
      <text>
        <r>
          <rPr>
            <b/>
            <sz val="9"/>
            <color indexed="81"/>
            <rFont val="Tahoma"/>
            <family val="2"/>
          </rPr>
          <t>MSMB - Andre:</t>
        </r>
        <r>
          <rPr>
            <sz val="9"/>
            <color indexed="81"/>
            <rFont val="Tahoma"/>
            <family val="2"/>
          </rPr>
          <t xml:space="preserve">
60m impact from reform</t>
        </r>
      </text>
    </comment>
    <comment ref="BD56" authorId="3"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56" authorId="23"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56" authorId="24"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I56" authorId="1" shapeId="0" xr:uid="{00000000-0006-0000-0700-000057010000}">
      <text>
        <r>
          <rPr>
            <b/>
            <sz val="8"/>
            <color indexed="81"/>
            <rFont val="Tahoma"/>
            <family val="2"/>
          </rPr>
          <t>Martin Shkreli:</t>
        </r>
        <r>
          <rPr>
            <sz val="8"/>
            <color indexed="81"/>
            <rFont val="Tahoma"/>
            <family val="2"/>
          </rPr>
          <t xml:space="preserve">
11331 bear</t>
        </r>
      </text>
    </comment>
    <comment ref="DJ56" authorId="1" shapeId="0" xr:uid="{00000000-0006-0000-0700-000058010000}">
      <text>
        <r>
          <rPr>
            <b/>
            <sz val="8"/>
            <color indexed="81"/>
            <rFont val="Tahoma"/>
            <family val="2"/>
          </rPr>
          <t>Martin Shkreli:</t>
        </r>
        <r>
          <rPr>
            <sz val="8"/>
            <color indexed="81"/>
            <rFont val="Tahoma"/>
            <family val="2"/>
          </rPr>
          <t xml:space="preserve">
12571 bear</t>
        </r>
      </text>
    </comment>
    <comment ref="DK56" authorId="1" shapeId="0" xr:uid="{00000000-0006-0000-0700-000059010000}">
      <text>
        <r>
          <rPr>
            <b/>
            <sz val="8"/>
            <color indexed="81"/>
            <rFont val="Tahoma"/>
            <family val="2"/>
          </rPr>
          <t>Martin Shkreli:</t>
        </r>
        <r>
          <rPr>
            <sz val="8"/>
            <color indexed="81"/>
            <rFont val="Tahoma"/>
            <family val="2"/>
          </rPr>
          <t xml:space="preserve">
13985 bear</t>
        </r>
      </text>
    </comment>
    <comment ref="DL56" authorId="1" shapeId="0" xr:uid="{00000000-0006-0000-0700-00005A010000}">
      <text>
        <r>
          <rPr>
            <b/>
            <sz val="8"/>
            <color indexed="81"/>
            <rFont val="Tahoma"/>
            <family val="2"/>
          </rPr>
          <t>Martin Shkreli:</t>
        </r>
        <r>
          <rPr>
            <sz val="8"/>
            <color indexed="81"/>
            <rFont val="Tahoma"/>
            <family val="2"/>
          </rPr>
          <t xml:space="preserve">
14302 bear</t>
        </r>
      </text>
    </comment>
    <comment ref="DM56" authorId="1" shapeId="0" xr:uid="{00000000-0006-0000-0700-00005B010000}">
      <text>
        <r>
          <rPr>
            <b/>
            <sz val="8"/>
            <color indexed="81"/>
            <rFont val="Tahoma"/>
            <family val="2"/>
          </rPr>
          <t>Martin Shkreli:</t>
        </r>
        <r>
          <rPr>
            <sz val="8"/>
            <color indexed="81"/>
            <rFont val="Tahoma"/>
            <family val="2"/>
          </rPr>
          <t xml:space="preserve">
15916 bear</t>
        </r>
      </text>
    </comment>
    <comment ref="DN56" authorId="1" shapeId="0" xr:uid="{00000000-0006-0000-0700-00005C010000}">
      <text>
        <r>
          <rPr>
            <b/>
            <sz val="8"/>
            <color indexed="81"/>
            <rFont val="Tahoma"/>
            <family val="2"/>
          </rPr>
          <t>Martin Shkreli:</t>
        </r>
        <r>
          <rPr>
            <sz val="8"/>
            <color indexed="81"/>
            <rFont val="Tahoma"/>
            <family val="2"/>
          </rPr>
          <t xml:space="preserve">
19068 bear</t>
        </r>
      </text>
    </comment>
    <comment ref="DO56" authorId="1" shapeId="0" xr:uid="{00000000-0006-0000-0700-00005D010000}">
      <text>
        <r>
          <rPr>
            <b/>
            <sz val="8"/>
            <color indexed="81"/>
            <rFont val="Tahoma"/>
            <family val="2"/>
          </rPr>
          <t>Martin Shkreli:</t>
        </r>
        <r>
          <rPr>
            <sz val="8"/>
            <color indexed="81"/>
            <rFont val="Tahoma"/>
            <family val="2"/>
          </rPr>
          <t xml:space="preserve">
21984 bear</t>
        </r>
      </text>
    </comment>
    <comment ref="DP56" authorId="1" shapeId="0" xr:uid="{00000000-0006-0000-0700-00005E010000}">
      <text>
        <r>
          <rPr>
            <b/>
            <sz val="8"/>
            <color indexed="81"/>
            <rFont val="Tahoma"/>
            <family val="2"/>
          </rPr>
          <t>Martin Shkreli:</t>
        </r>
        <r>
          <rPr>
            <sz val="8"/>
            <color indexed="81"/>
            <rFont val="Tahoma"/>
            <family val="2"/>
          </rPr>
          <t xml:space="preserve">
23118 bear</t>
        </r>
      </text>
    </comment>
    <comment ref="DQ56" authorId="1" shapeId="0" xr:uid="{00000000-0006-0000-0700-00005F010000}">
      <text>
        <r>
          <rPr>
            <b/>
            <sz val="8"/>
            <color indexed="81"/>
            <rFont val="Tahoma"/>
            <family val="2"/>
          </rPr>
          <t>Martin Shkreli:</t>
        </r>
        <r>
          <rPr>
            <sz val="8"/>
            <color indexed="81"/>
            <rFont val="Tahoma"/>
            <family val="2"/>
          </rPr>
          <t xml:space="preserve">
24398 bear</t>
        </r>
      </text>
    </comment>
    <comment ref="DR56" authorId="1"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DS56" authorId="1"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DT56" authorId="1" shapeId="0" xr:uid="{00000000-0006-0000-0700-000062010000}">
      <text>
        <r>
          <rPr>
            <b/>
            <sz val="8"/>
            <color indexed="81"/>
            <rFont val="Tahoma"/>
            <family val="2"/>
          </rPr>
          <t>Martin Shkreli:</t>
        </r>
        <r>
          <rPr>
            <sz val="8"/>
            <color indexed="81"/>
            <rFont val="Tahoma"/>
            <family val="2"/>
          </rPr>
          <t xml:space="preserve">
32318 bear
</t>
        </r>
      </text>
    </comment>
    <comment ref="DY56" authorId="2" shapeId="0" xr:uid="{00000000-0006-0000-0700-000063010000}">
      <text>
        <r>
          <rPr>
            <b/>
            <sz val="8"/>
            <color indexed="8"/>
            <rFont val="Times New Roman"/>
            <family val="1"/>
          </rPr>
          <t xml:space="preserve">Bloomberg:
</t>
        </r>
        <r>
          <rPr>
            <sz val="8"/>
            <color indexed="8"/>
            <rFont val="Times New Roman"/>
            <family val="1"/>
          </rPr>
          <t>was 52.887</t>
        </r>
      </text>
    </comment>
    <comment ref="DZ56" authorId="2"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A56" authorId="2" shapeId="0" xr:uid="{00000000-0006-0000-0700-000065010000}">
      <text>
        <r>
          <rPr>
            <sz val="8"/>
            <color indexed="8"/>
            <rFont val="Times New Roman"/>
            <family val="1"/>
          </rPr>
          <t>Estimate was 62.604
Official result was 63.747b</t>
        </r>
      </text>
    </comment>
    <comment ref="EB56" authorId="2"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C56" authorId="2"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K57" authorId="1" shapeId="0" xr:uid="{00000000-0006-0000-0700-000068010000}">
      <text>
        <r>
          <rPr>
            <b/>
            <sz val="8"/>
            <color indexed="81"/>
            <rFont val="Tahoma"/>
            <family val="2"/>
          </rPr>
          <t>Martin Shkreli:</t>
        </r>
        <r>
          <rPr>
            <sz val="8"/>
            <color indexed="81"/>
            <rFont val="Tahoma"/>
            <family val="2"/>
          </rPr>
          <t xml:space="preserve">
2080? jpm</t>
        </r>
      </text>
    </comment>
    <comment ref="L57" authorId="1" shapeId="0" xr:uid="{00000000-0006-0000-0700-000069010000}">
      <text>
        <r>
          <rPr>
            <b/>
            <sz val="8"/>
            <color indexed="81"/>
            <rFont val="Tahoma"/>
            <family val="2"/>
          </rPr>
          <t>Martin Shkreli:</t>
        </r>
        <r>
          <rPr>
            <sz val="8"/>
            <color indexed="81"/>
            <rFont val="Tahoma"/>
            <family val="2"/>
          </rPr>
          <t xml:space="preserve">
2135 jpm</t>
        </r>
      </text>
    </comment>
    <comment ref="M57" authorId="1" shapeId="0" xr:uid="{00000000-0006-0000-0700-00006A010000}">
      <text>
        <r>
          <rPr>
            <b/>
            <sz val="8"/>
            <color indexed="81"/>
            <rFont val="Tahoma"/>
            <family val="2"/>
          </rPr>
          <t>Martin Shkreli:</t>
        </r>
        <r>
          <rPr>
            <sz val="8"/>
            <color indexed="81"/>
            <rFont val="Tahoma"/>
            <family val="2"/>
          </rPr>
          <t xml:space="preserve">
2087 jpm</t>
        </r>
      </text>
    </comment>
    <comment ref="N57" authorId="1" shapeId="0" xr:uid="{00000000-0006-0000-0700-00006B010000}">
      <text>
        <r>
          <rPr>
            <b/>
            <sz val="8"/>
            <color indexed="81"/>
            <rFont val="Tahoma"/>
            <family val="2"/>
          </rPr>
          <t>Martin Shkreli:</t>
        </r>
        <r>
          <rPr>
            <sz val="8"/>
            <color indexed="81"/>
            <rFont val="Tahoma"/>
            <family val="2"/>
          </rPr>
          <t xml:space="preserve">
2196 jpm</t>
        </r>
      </text>
    </comment>
    <comment ref="O57" authorId="1" shapeId="0" xr:uid="{00000000-0006-0000-0700-00006C010000}">
      <text>
        <r>
          <rPr>
            <b/>
            <sz val="8"/>
            <color indexed="81"/>
            <rFont val="Tahoma"/>
            <family val="2"/>
          </rPr>
          <t>Martin Shkreli:</t>
        </r>
        <r>
          <rPr>
            <sz val="8"/>
            <color indexed="81"/>
            <rFont val="Tahoma"/>
            <family val="2"/>
          </rPr>
          <t xml:space="preserve">
2242 jpm
2242 bear</t>
        </r>
      </text>
    </comment>
    <comment ref="P57" authorId="1" shapeId="0" xr:uid="{00000000-0006-0000-0700-00006D010000}">
      <text>
        <r>
          <rPr>
            <b/>
            <sz val="8"/>
            <color indexed="81"/>
            <rFont val="Tahoma"/>
            <family val="2"/>
          </rPr>
          <t>Martin Shkreli:</t>
        </r>
        <r>
          <rPr>
            <sz val="8"/>
            <color indexed="81"/>
            <rFont val="Tahoma"/>
            <family val="2"/>
          </rPr>
          <t xml:space="preserve">
2261 jpm
2261 bear</t>
        </r>
      </text>
    </comment>
    <comment ref="Q57" authorId="1" shapeId="0" xr:uid="{00000000-0006-0000-0700-00006E010000}">
      <text>
        <r>
          <rPr>
            <b/>
            <sz val="8"/>
            <color indexed="81"/>
            <rFont val="Tahoma"/>
            <family val="2"/>
          </rPr>
          <t>Martin Shkreli:</t>
        </r>
        <r>
          <rPr>
            <sz val="8"/>
            <color indexed="81"/>
            <rFont val="Tahoma"/>
            <family val="2"/>
          </rPr>
          <t xml:space="preserve">
2191 jpm
2191 bear</t>
        </r>
      </text>
    </comment>
    <comment ref="R57" authorId="1" shapeId="0" xr:uid="{00000000-0006-0000-0700-00006F010000}">
      <text>
        <r>
          <rPr>
            <b/>
            <sz val="8"/>
            <color indexed="81"/>
            <rFont val="Tahoma"/>
            <family val="2"/>
          </rPr>
          <t>Martin Shkreli:</t>
        </r>
        <r>
          <rPr>
            <sz val="8"/>
            <color indexed="81"/>
            <rFont val="Tahoma"/>
            <family val="2"/>
          </rPr>
          <t xml:space="preserve">
2214 jpm
2214 bear</t>
        </r>
      </text>
    </comment>
    <comment ref="S57" authorId="1" shapeId="0" xr:uid="{00000000-0006-0000-0700-000070010000}">
      <text>
        <r>
          <rPr>
            <b/>
            <sz val="8"/>
            <color indexed="81"/>
            <rFont val="Tahoma"/>
            <family val="2"/>
          </rPr>
          <t>Martin Shkreli:</t>
        </r>
        <r>
          <rPr>
            <sz val="8"/>
            <color indexed="81"/>
            <rFont val="Tahoma"/>
            <family val="2"/>
          </rPr>
          <t xml:space="preserve">
2311 bear
2311 jpm</t>
        </r>
      </text>
    </comment>
    <comment ref="T57" authorId="1" shapeId="0" xr:uid="{00000000-0006-0000-0700-000071010000}">
      <text>
        <r>
          <rPr>
            <b/>
            <sz val="8"/>
            <color indexed="81"/>
            <rFont val="Tahoma"/>
            <family val="2"/>
          </rPr>
          <t>Martin Shkreli:</t>
        </r>
        <r>
          <rPr>
            <sz val="8"/>
            <color indexed="81"/>
            <rFont val="Tahoma"/>
            <family val="2"/>
          </rPr>
          <t xml:space="preserve">
2372 bear</t>
        </r>
      </text>
    </comment>
    <comment ref="U57" authorId="1" shapeId="0" xr:uid="{00000000-0006-0000-0700-000072010000}">
      <text>
        <r>
          <rPr>
            <b/>
            <sz val="8"/>
            <color indexed="81"/>
            <rFont val="Tahoma"/>
            <family val="2"/>
          </rPr>
          <t>Martin Shkreli:</t>
        </r>
        <r>
          <rPr>
            <sz val="8"/>
            <color indexed="81"/>
            <rFont val="Tahoma"/>
            <family val="2"/>
          </rPr>
          <t xml:space="preserve">
2396 bear</t>
        </r>
      </text>
    </comment>
    <comment ref="V57" authorId="1" shapeId="0" xr:uid="{00000000-0006-0000-0700-000073010000}">
      <text>
        <r>
          <rPr>
            <b/>
            <sz val="8"/>
            <color indexed="81"/>
            <rFont val="Tahoma"/>
            <family val="2"/>
          </rPr>
          <t>Martin Shkreli:</t>
        </r>
        <r>
          <rPr>
            <sz val="8"/>
            <color indexed="81"/>
            <rFont val="Tahoma"/>
            <family val="2"/>
          </rPr>
          <t xml:space="preserve">
2502 bear</t>
        </r>
      </text>
    </comment>
    <comment ref="AI57" authorId="1" shapeId="0" xr:uid="{00000000-0006-0000-0700-000074010000}">
      <text>
        <r>
          <rPr>
            <b/>
            <sz val="8"/>
            <color indexed="81"/>
            <rFont val="Tahoma"/>
            <family val="2"/>
          </rPr>
          <t>Martin Shkreli:</t>
        </r>
        <r>
          <rPr>
            <sz val="8"/>
            <color indexed="81"/>
            <rFont val="Tahoma"/>
            <family val="2"/>
          </rPr>
          <t xml:space="preserve">
3482 bear</t>
        </r>
      </text>
    </comment>
    <comment ref="AJ57" authorId="1" shapeId="0" xr:uid="{00000000-0006-0000-0700-000075010000}">
      <text>
        <r>
          <rPr>
            <b/>
            <sz val="8"/>
            <color indexed="81"/>
            <rFont val="Tahoma"/>
            <family val="2"/>
          </rPr>
          <t>Martin Shkreli:</t>
        </r>
        <r>
          <rPr>
            <sz val="8"/>
            <color indexed="81"/>
            <rFont val="Tahoma"/>
            <family val="2"/>
          </rPr>
          <t xml:space="preserve">
3508 bear</t>
        </r>
      </text>
    </comment>
    <comment ref="AK57" authorId="1" shapeId="0" xr:uid="{00000000-0006-0000-0700-000076010000}">
      <text>
        <r>
          <rPr>
            <b/>
            <sz val="8"/>
            <color indexed="81"/>
            <rFont val="Tahoma"/>
            <family val="2"/>
          </rPr>
          <t>Martin Shkreli:</t>
        </r>
        <r>
          <rPr>
            <sz val="8"/>
            <color indexed="81"/>
            <rFont val="Tahoma"/>
            <family val="2"/>
          </rPr>
          <t xml:space="preserve">
3340 bear</t>
        </r>
      </text>
    </comment>
    <comment ref="AL57" authorId="1" shapeId="0" xr:uid="{00000000-0006-0000-0700-000077010000}">
      <text>
        <r>
          <rPr>
            <b/>
            <sz val="8"/>
            <color indexed="81"/>
            <rFont val="Tahoma"/>
            <family val="2"/>
          </rPr>
          <t>Martin Shkreli:</t>
        </r>
        <r>
          <rPr>
            <sz val="8"/>
            <color indexed="81"/>
            <rFont val="Tahoma"/>
            <family val="2"/>
          </rPr>
          <t xml:space="preserve">
3624 bear</t>
        </r>
      </text>
    </comment>
    <comment ref="DI57" authorId="1" shapeId="0" xr:uid="{00000000-0006-0000-0700-000078010000}">
      <text>
        <r>
          <rPr>
            <b/>
            <sz val="8"/>
            <color indexed="81"/>
            <rFont val="Tahoma"/>
            <family val="2"/>
          </rPr>
          <t>Martin Shkreli:</t>
        </r>
        <r>
          <rPr>
            <sz val="8"/>
            <color indexed="81"/>
            <rFont val="Tahoma"/>
            <family val="2"/>
          </rPr>
          <t xml:space="preserve">
3957 bear</t>
        </r>
      </text>
    </comment>
    <comment ref="DJ57" authorId="1" shapeId="0" xr:uid="{00000000-0006-0000-0700-000079010000}">
      <text>
        <r>
          <rPr>
            <b/>
            <sz val="8"/>
            <color indexed="81"/>
            <rFont val="Tahoma"/>
            <family val="2"/>
          </rPr>
          <t>Martin Shkreli:</t>
        </r>
        <r>
          <rPr>
            <sz val="8"/>
            <color indexed="81"/>
            <rFont val="Tahoma"/>
            <family val="2"/>
          </rPr>
          <t xml:space="preserve">
4248 bear</t>
        </r>
      </text>
    </comment>
    <comment ref="DK57" authorId="1" shapeId="0" xr:uid="{00000000-0006-0000-0700-00007A010000}">
      <text>
        <r>
          <rPr>
            <b/>
            <sz val="8"/>
            <color indexed="81"/>
            <rFont val="Tahoma"/>
            <family val="2"/>
          </rPr>
          <t>Martin Shkreli:</t>
        </r>
        <r>
          <rPr>
            <sz val="8"/>
            <color indexed="81"/>
            <rFont val="Tahoma"/>
            <family val="2"/>
          </rPr>
          <t xml:space="preserve">
4748 bear</t>
        </r>
      </text>
    </comment>
    <comment ref="DL57" authorId="1" shapeId="0" xr:uid="{00000000-0006-0000-0700-00007B010000}">
      <text>
        <r>
          <rPr>
            <b/>
            <sz val="8"/>
            <color indexed="81"/>
            <rFont val="Tahoma"/>
            <family val="2"/>
          </rPr>
          <t>Martin Shkreli:</t>
        </r>
        <r>
          <rPr>
            <sz val="8"/>
            <color indexed="81"/>
            <rFont val="Tahoma"/>
            <family val="2"/>
          </rPr>
          <t xml:space="preserve">
4869 bear</t>
        </r>
      </text>
    </comment>
    <comment ref="DM57" authorId="1" shapeId="0" xr:uid="{00000000-0006-0000-0700-00007C010000}">
      <text>
        <r>
          <rPr>
            <b/>
            <sz val="8"/>
            <color indexed="81"/>
            <rFont val="Tahoma"/>
            <family val="2"/>
          </rPr>
          <t>Martin Shkreli:</t>
        </r>
        <r>
          <rPr>
            <sz val="8"/>
            <color indexed="81"/>
            <rFont val="Tahoma"/>
            <family val="2"/>
          </rPr>
          <t xml:space="preserve">
5350 bear</t>
        </r>
      </text>
    </comment>
    <comment ref="DN57" authorId="1" shapeId="0" xr:uid="{00000000-0006-0000-0700-00007D010000}">
      <text>
        <r>
          <rPr>
            <b/>
            <sz val="8"/>
            <color indexed="81"/>
            <rFont val="Tahoma"/>
            <family val="2"/>
          </rPr>
          <t>Martin Shkreli:</t>
        </r>
        <r>
          <rPr>
            <sz val="8"/>
            <color indexed="81"/>
            <rFont val="Tahoma"/>
            <family val="2"/>
          </rPr>
          <t xml:space="preserve">
6303 bear</t>
        </r>
      </text>
    </comment>
    <comment ref="DO57" authorId="1" shapeId="0" xr:uid="{00000000-0006-0000-0700-00007E010000}">
      <text>
        <r>
          <rPr>
            <b/>
            <sz val="8"/>
            <color indexed="81"/>
            <rFont val="Tahoma"/>
            <family val="2"/>
          </rPr>
          <t>Martin Shkreli:</t>
        </r>
        <r>
          <rPr>
            <sz val="8"/>
            <color indexed="81"/>
            <rFont val="Tahoma"/>
            <family val="2"/>
          </rPr>
          <t xml:space="preserve">
7130 bear</t>
        </r>
      </text>
    </comment>
    <comment ref="DP57" authorId="1" shapeId="0" xr:uid="{00000000-0006-0000-0700-00007F010000}">
      <text>
        <r>
          <rPr>
            <b/>
            <sz val="8"/>
            <color indexed="81"/>
            <rFont val="Tahoma"/>
            <family val="2"/>
          </rPr>
          <t>Martin Shkreli:</t>
        </r>
        <r>
          <rPr>
            <sz val="8"/>
            <color indexed="81"/>
            <rFont val="Tahoma"/>
            <family val="2"/>
          </rPr>
          <t xml:space="preserve">
7291 bear</t>
        </r>
      </text>
    </comment>
    <comment ref="DQ57" authorId="1" shapeId="0" xr:uid="{00000000-0006-0000-0700-000080010000}">
      <text>
        <r>
          <rPr>
            <b/>
            <sz val="8"/>
            <color indexed="81"/>
            <rFont val="Tahoma"/>
            <family val="2"/>
          </rPr>
          <t>Martin Shkreli:</t>
        </r>
        <r>
          <rPr>
            <sz val="8"/>
            <color indexed="81"/>
            <rFont val="Tahoma"/>
            <family val="2"/>
          </rPr>
          <t xml:space="preserve">
7646 bear</t>
        </r>
      </text>
    </comment>
    <comment ref="DR57" authorId="1" shapeId="0" xr:uid="{00000000-0006-0000-0700-000081010000}">
      <text>
        <r>
          <rPr>
            <b/>
            <sz val="8"/>
            <color indexed="81"/>
            <rFont val="Tahoma"/>
            <family val="2"/>
          </rPr>
          <t>Martin Shkreli:</t>
        </r>
        <r>
          <rPr>
            <sz val="8"/>
            <color indexed="81"/>
            <rFont val="Tahoma"/>
            <family val="2"/>
          </rPr>
          <t xml:space="preserve">
8498 jpm
8498 bear</t>
        </r>
      </text>
    </comment>
    <comment ref="DS57" authorId="1" shapeId="0" xr:uid="{00000000-0006-0000-0700-000082010000}">
      <text>
        <r>
          <rPr>
            <b/>
            <sz val="8"/>
            <color indexed="81"/>
            <rFont val="Tahoma"/>
            <family val="2"/>
          </rPr>
          <t>Martin Shkreli:</t>
        </r>
        <r>
          <rPr>
            <sz val="8"/>
            <color indexed="81"/>
            <rFont val="Tahoma"/>
            <family val="2"/>
          </rPr>
          <t xml:space="preserve">
8908 jpm
8908 bear</t>
        </r>
      </text>
    </comment>
    <comment ref="DT57" authorId="1" shapeId="0" xr:uid="{00000000-0006-0000-0700-000083010000}">
      <text>
        <r>
          <rPr>
            <b/>
            <sz val="8"/>
            <color indexed="81"/>
            <rFont val="Tahoma"/>
            <family val="2"/>
          </rPr>
          <t>Martin Shkreli:</t>
        </r>
        <r>
          <rPr>
            <sz val="8"/>
            <color indexed="81"/>
            <rFont val="Tahoma"/>
            <family val="2"/>
          </rPr>
          <t xml:space="preserve">
9581 bear</t>
        </r>
      </text>
    </comment>
    <comment ref="K58" authorId="1" shapeId="0" xr:uid="{00000000-0006-0000-0700-000084010000}">
      <text>
        <r>
          <rPr>
            <b/>
            <sz val="8"/>
            <color indexed="81"/>
            <rFont val="Tahoma"/>
            <family val="2"/>
          </rPr>
          <t>Martin Shkreli:</t>
        </r>
        <r>
          <rPr>
            <sz val="8"/>
            <color indexed="81"/>
            <rFont val="Tahoma"/>
            <family val="2"/>
          </rPr>
          <t xml:space="preserve">
4779 jpm?</t>
        </r>
      </text>
    </comment>
    <comment ref="L58" authorId="1" shapeId="0" xr:uid="{00000000-0006-0000-0700-000085010000}">
      <text>
        <r>
          <rPr>
            <b/>
            <sz val="8"/>
            <color indexed="81"/>
            <rFont val="Tahoma"/>
            <family val="2"/>
          </rPr>
          <t>Martin Shkreli:</t>
        </r>
        <r>
          <rPr>
            <sz val="8"/>
            <color indexed="81"/>
            <rFont val="Tahoma"/>
            <family val="2"/>
          </rPr>
          <t xml:space="preserve">
4964 jpm</t>
        </r>
      </text>
    </comment>
    <comment ref="M58" authorId="1" shapeId="0" xr:uid="{00000000-0006-0000-0700-000086010000}">
      <text>
        <r>
          <rPr>
            <b/>
            <sz val="8"/>
            <color indexed="81"/>
            <rFont val="Tahoma"/>
            <family val="2"/>
          </rPr>
          <t>Martin Shkreli:</t>
        </r>
        <r>
          <rPr>
            <sz val="8"/>
            <color indexed="81"/>
            <rFont val="Tahoma"/>
            <family val="2"/>
          </rPr>
          <t xml:space="preserve">
4998 jp</t>
        </r>
      </text>
    </comment>
    <comment ref="N58" authorId="1" shapeId="0" xr:uid="{00000000-0006-0000-0700-000087010000}">
      <text>
        <r>
          <rPr>
            <b/>
            <sz val="8"/>
            <color indexed="81"/>
            <rFont val="Tahoma"/>
            <family val="2"/>
          </rPr>
          <t>Martin Shkreli:</t>
        </r>
        <r>
          <rPr>
            <sz val="8"/>
            <color indexed="81"/>
            <rFont val="Tahoma"/>
            <family val="2"/>
          </rPr>
          <t xml:space="preserve">
4768 jpm</t>
        </r>
      </text>
    </comment>
    <comment ref="O58" authorId="1" shapeId="0" xr:uid="{00000000-0006-0000-0700-000088010000}">
      <text>
        <r>
          <rPr>
            <b/>
            <sz val="8"/>
            <color indexed="81"/>
            <rFont val="Tahoma"/>
            <family val="2"/>
          </rPr>
          <t>Martin Shkreli:</t>
        </r>
        <r>
          <rPr>
            <sz val="8"/>
            <color indexed="81"/>
            <rFont val="Tahoma"/>
            <family val="2"/>
          </rPr>
          <t xml:space="preserve">
5198 jpm
5198 bear</t>
        </r>
      </text>
    </comment>
    <comment ref="P58" authorId="1" shapeId="0" xr:uid="{00000000-0006-0000-0700-000089010000}">
      <text>
        <r>
          <rPr>
            <b/>
            <sz val="8"/>
            <color indexed="81"/>
            <rFont val="Tahoma"/>
            <family val="2"/>
          </rPr>
          <t>Martin Shkreli:</t>
        </r>
        <r>
          <rPr>
            <sz val="8"/>
            <color indexed="81"/>
            <rFont val="Tahoma"/>
            <family val="2"/>
          </rPr>
          <t xml:space="preserve">
5409 jpm
5409 bear</t>
        </r>
      </text>
    </comment>
    <comment ref="Q58" authorId="1" shapeId="0" xr:uid="{00000000-0006-0000-0700-00008A010000}">
      <text>
        <r>
          <rPr>
            <b/>
            <sz val="8"/>
            <color indexed="81"/>
            <rFont val="Tahoma"/>
            <family val="2"/>
          </rPr>
          <t>Martin Shkreli:</t>
        </r>
        <r>
          <rPr>
            <sz val="8"/>
            <color indexed="81"/>
            <rFont val="Tahoma"/>
            <family val="2"/>
          </rPr>
          <t xml:space="preserve">
5247 jpm
5247 bear</t>
        </r>
      </text>
    </comment>
    <comment ref="R58" authorId="1" shapeId="0" xr:uid="{00000000-0006-0000-0700-00008B010000}">
      <text>
        <r>
          <rPr>
            <b/>
            <sz val="8"/>
            <color indexed="81"/>
            <rFont val="Tahoma"/>
            <family val="2"/>
          </rPr>
          <t>Martin Shkreli:</t>
        </r>
        <r>
          <rPr>
            <sz val="8"/>
            <color indexed="81"/>
            <rFont val="Tahoma"/>
            <family val="2"/>
          </rPr>
          <t xml:space="preserve">
5084 jpm
5084 bear</t>
        </r>
      </text>
    </comment>
    <comment ref="S58" authorId="1" shapeId="0" xr:uid="{00000000-0006-0000-0700-00008C010000}">
      <text>
        <r>
          <rPr>
            <b/>
            <sz val="8"/>
            <color indexed="81"/>
            <rFont val="Tahoma"/>
            <family val="2"/>
          </rPr>
          <t>Martin Shkreli:</t>
        </r>
        <r>
          <rPr>
            <sz val="8"/>
            <color indexed="81"/>
            <rFont val="Tahoma"/>
            <family val="2"/>
          </rPr>
          <t xml:space="preserve">
5545 bear</t>
        </r>
      </text>
    </comment>
    <comment ref="T58" authorId="1" shapeId="0" xr:uid="{00000000-0006-0000-0700-00008D010000}">
      <text>
        <r>
          <rPr>
            <b/>
            <sz val="8"/>
            <color indexed="81"/>
            <rFont val="Tahoma"/>
            <family val="2"/>
          </rPr>
          <t>Martin Shkreli:</t>
        </r>
        <r>
          <rPr>
            <sz val="8"/>
            <color indexed="81"/>
            <rFont val="Tahoma"/>
            <family val="2"/>
          </rPr>
          <t xml:space="preserve">
5807 bear</t>
        </r>
      </text>
    </comment>
    <comment ref="U58" authorId="1" shapeId="0" xr:uid="{00000000-0006-0000-0700-00008E010000}">
      <text>
        <r>
          <rPr>
            <b/>
            <sz val="8"/>
            <color indexed="81"/>
            <rFont val="Tahoma"/>
            <family val="2"/>
          </rPr>
          <t>Martin Shkreli:</t>
        </r>
        <r>
          <rPr>
            <sz val="8"/>
            <color indexed="81"/>
            <rFont val="Tahoma"/>
            <family val="2"/>
          </rPr>
          <t xml:space="preserve">
5662 bear</t>
        </r>
      </text>
    </comment>
    <comment ref="V58" authorId="1" shapeId="0" xr:uid="{00000000-0006-0000-0700-00008F010000}">
      <text>
        <r>
          <rPr>
            <b/>
            <sz val="8"/>
            <color indexed="81"/>
            <rFont val="Tahoma"/>
            <family val="2"/>
          </rPr>
          <t>Martin Shkreli:</t>
        </r>
        <r>
          <rPr>
            <sz val="8"/>
            <color indexed="81"/>
            <rFont val="Tahoma"/>
            <family val="2"/>
          </rPr>
          <t xml:space="preserve">
5723 bear</t>
        </r>
      </text>
    </comment>
    <comment ref="AI58" authorId="1" shapeId="0" xr:uid="{00000000-0006-0000-0700-000090010000}">
      <text>
        <r>
          <rPr>
            <b/>
            <sz val="8"/>
            <color indexed="81"/>
            <rFont val="Tahoma"/>
            <family val="2"/>
          </rPr>
          <t>Martin Shkreli:</t>
        </r>
        <r>
          <rPr>
            <sz val="8"/>
            <color indexed="81"/>
            <rFont val="Tahoma"/>
            <family val="2"/>
          </rPr>
          <t xml:space="preserve">
9350 bear</t>
        </r>
      </text>
    </comment>
    <comment ref="AJ58" authorId="1" shapeId="0" xr:uid="{00000000-0006-0000-0700-000091010000}">
      <text>
        <r>
          <rPr>
            <b/>
            <sz val="8"/>
            <color indexed="81"/>
            <rFont val="Tahoma"/>
            <family val="2"/>
          </rPr>
          <t>Martin Shkreli:</t>
        </r>
        <r>
          <rPr>
            <sz val="8"/>
            <color indexed="81"/>
            <rFont val="Tahoma"/>
            <family val="2"/>
          </rPr>
          <t xml:space="preserve">
9254 bear</t>
        </r>
      </text>
    </comment>
    <comment ref="AK58" authorId="1" shapeId="0" xr:uid="{00000000-0006-0000-0700-000092010000}">
      <text>
        <r>
          <rPr>
            <b/>
            <sz val="8"/>
            <color indexed="81"/>
            <rFont val="Tahoma"/>
            <family val="2"/>
          </rPr>
          <t>Martin Shkreli:</t>
        </r>
        <r>
          <rPr>
            <sz val="8"/>
            <color indexed="81"/>
            <rFont val="Tahoma"/>
            <family val="2"/>
          </rPr>
          <t xml:space="preserve">
8970 bear</t>
        </r>
      </text>
    </comment>
    <comment ref="AL58" authorId="1" shapeId="0" xr:uid="{00000000-0006-0000-0700-000093010000}">
      <text>
        <r>
          <rPr>
            <b/>
            <sz val="8"/>
            <color indexed="81"/>
            <rFont val="Tahoma"/>
            <family val="2"/>
          </rPr>
          <t>Martin Shkreli:</t>
        </r>
        <r>
          <rPr>
            <sz val="8"/>
            <color indexed="81"/>
            <rFont val="Tahoma"/>
            <family val="2"/>
          </rPr>
          <t xml:space="preserve">
8986 bear</t>
        </r>
      </text>
    </comment>
    <comment ref="DI58" authorId="1" shapeId="0" xr:uid="{00000000-0006-0000-0700-000094010000}">
      <text>
        <r>
          <rPr>
            <b/>
            <sz val="8"/>
            <color indexed="81"/>
            <rFont val="Tahoma"/>
            <family val="2"/>
          </rPr>
          <t>Martin Shkreli:</t>
        </r>
        <r>
          <rPr>
            <sz val="8"/>
            <color indexed="81"/>
            <rFont val="Tahoma"/>
            <family val="2"/>
          </rPr>
          <t xml:space="preserve">
7374 bear</t>
        </r>
      </text>
    </comment>
    <comment ref="DJ58" authorId="1" shapeId="0" xr:uid="{00000000-0006-0000-0700-000095010000}">
      <text>
        <r>
          <rPr>
            <b/>
            <sz val="8"/>
            <color indexed="81"/>
            <rFont val="Tahoma"/>
            <family val="2"/>
          </rPr>
          <t>Martin Shkreli:</t>
        </r>
        <r>
          <rPr>
            <sz val="8"/>
            <color indexed="81"/>
            <rFont val="Tahoma"/>
            <family val="2"/>
          </rPr>
          <t xml:space="preserve">
8323 bear</t>
        </r>
      </text>
    </comment>
    <comment ref="DK58" authorId="1" shapeId="0" xr:uid="{00000000-0006-0000-0700-000096010000}">
      <text>
        <r>
          <rPr>
            <b/>
            <sz val="8"/>
            <color indexed="81"/>
            <rFont val="Tahoma"/>
            <family val="2"/>
          </rPr>
          <t>Martin Shkreli:</t>
        </r>
        <r>
          <rPr>
            <sz val="8"/>
            <color indexed="81"/>
            <rFont val="Tahoma"/>
            <family val="2"/>
          </rPr>
          <t xml:space="preserve">
9237 bear</t>
        </r>
      </text>
    </comment>
    <comment ref="DL58" authorId="1" shapeId="0" xr:uid="{00000000-0006-0000-0700-000097010000}">
      <text>
        <r>
          <rPr>
            <b/>
            <sz val="8"/>
            <color indexed="81"/>
            <rFont val="Tahoma"/>
            <family val="2"/>
          </rPr>
          <t>Martin Shkreli:</t>
        </r>
        <r>
          <rPr>
            <sz val="8"/>
            <color indexed="81"/>
            <rFont val="Tahoma"/>
            <family val="2"/>
          </rPr>
          <t xml:space="preserve">
9433 bear</t>
        </r>
      </text>
    </comment>
    <comment ref="DM58" authorId="1" shapeId="0" xr:uid="{00000000-0006-0000-0700-000098010000}">
      <text>
        <r>
          <rPr>
            <b/>
            <sz val="8"/>
            <color indexed="81"/>
            <rFont val="Tahoma"/>
            <family val="2"/>
          </rPr>
          <t>Martin Shkreli:</t>
        </r>
        <r>
          <rPr>
            <sz val="8"/>
            <color indexed="81"/>
            <rFont val="Tahoma"/>
            <family val="2"/>
          </rPr>
          <t xml:space="preserve">
10566 bear</t>
        </r>
      </text>
    </comment>
    <comment ref="DN58" authorId="1" shapeId="0" xr:uid="{00000000-0006-0000-0700-000099010000}">
      <text>
        <r>
          <rPr>
            <b/>
            <sz val="8"/>
            <color indexed="81"/>
            <rFont val="Tahoma"/>
            <family val="2"/>
          </rPr>
          <t>Martin Shkreli:</t>
        </r>
        <r>
          <rPr>
            <sz val="8"/>
            <color indexed="81"/>
            <rFont val="Tahoma"/>
            <family val="2"/>
          </rPr>
          <t xml:space="preserve">
12765 bear</t>
        </r>
      </text>
    </comment>
    <comment ref="DO58" authorId="1" shapeId="0" xr:uid="{00000000-0006-0000-0700-00009A010000}">
      <text>
        <r>
          <rPr>
            <b/>
            <sz val="8"/>
            <color indexed="81"/>
            <rFont val="Tahoma"/>
            <family val="2"/>
          </rPr>
          <t>Martin Shkreli:</t>
        </r>
        <r>
          <rPr>
            <sz val="8"/>
            <color indexed="81"/>
            <rFont val="Tahoma"/>
            <family val="2"/>
          </rPr>
          <t xml:space="preserve">
14854 bear</t>
        </r>
      </text>
    </comment>
    <comment ref="DP58" authorId="1" shapeId="0" xr:uid="{00000000-0006-0000-0700-00009B010000}">
      <text>
        <r>
          <rPr>
            <b/>
            <sz val="8"/>
            <color indexed="81"/>
            <rFont val="Tahoma"/>
            <family val="2"/>
          </rPr>
          <t>Martin Shkreli:</t>
        </r>
        <r>
          <rPr>
            <sz val="8"/>
            <color indexed="81"/>
            <rFont val="Tahoma"/>
            <family val="2"/>
          </rPr>
          <t xml:space="preserve">
15827 bear</t>
        </r>
      </text>
    </comment>
    <comment ref="DQ58" authorId="1" shapeId="0" xr:uid="{00000000-0006-0000-0700-00009C010000}">
      <text>
        <r>
          <rPr>
            <b/>
            <sz val="8"/>
            <color indexed="81"/>
            <rFont val="Tahoma"/>
            <family val="2"/>
          </rPr>
          <t>Martin Shkreli:</t>
        </r>
        <r>
          <rPr>
            <sz val="8"/>
            <color indexed="81"/>
            <rFont val="Tahoma"/>
            <family val="2"/>
          </rPr>
          <t xml:space="preserve">
16752 bear</t>
        </r>
      </text>
    </comment>
    <comment ref="DR58" authorId="1" shapeId="0" xr:uid="{00000000-0006-0000-0700-00009D010000}">
      <text>
        <r>
          <rPr>
            <b/>
            <sz val="8"/>
            <color indexed="81"/>
            <rFont val="Tahoma"/>
            <family val="2"/>
          </rPr>
          <t>Martin Shkreli:</t>
        </r>
        <r>
          <rPr>
            <sz val="8"/>
            <color indexed="81"/>
            <rFont val="Tahoma"/>
            <family val="2"/>
          </rPr>
          <t xml:space="preserve">
19510 jpm
19509 bear</t>
        </r>
      </text>
    </comment>
    <comment ref="DS58" authorId="1" shapeId="0" xr:uid="{00000000-0006-0000-0700-00009E010000}">
      <text>
        <r>
          <rPr>
            <b/>
            <sz val="8"/>
            <color indexed="81"/>
            <rFont val="Tahoma"/>
            <family val="2"/>
          </rPr>
          <t>Martin Shkreli:</t>
        </r>
        <r>
          <rPr>
            <sz val="8"/>
            <color indexed="81"/>
            <rFont val="Tahoma"/>
            <family val="2"/>
          </rPr>
          <t xml:space="preserve">
20938 jpm
20938 bear</t>
        </r>
      </text>
    </comment>
    <comment ref="DT58" authorId="1" shapeId="0" xr:uid="{00000000-0006-0000-0700-00009F010000}">
      <text>
        <r>
          <rPr>
            <b/>
            <sz val="8"/>
            <color indexed="81"/>
            <rFont val="Tahoma"/>
            <family val="2"/>
          </rPr>
          <t>Martin Shkreli:</t>
        </r>
        <r>
          <rPr>
            <sz val="8"/>
            <color indexed="81"/>
            <rFont val="Tahoma"/>
            <family val="2"/>
          </rPr>
          <t xml:space="preserve">
22737 bear</t>
        </r>
      </text>
    </comment>
    <comment ref="K59" authorId="1" shapeId="0" xr:uid="{00000000-0006-0000-0700-0000A0010000}">
      <text>
        <r>
          <rPr>
            <b/>
            <sz val="8"/>
            <color indexed="81"/>
            <rFont val="Tahoma"/>
            <family val="2"/>
          </rPr>
          <t>Martin Shkreli:</t>
        </r>
        <r>
          <rPr>
            <sz val="8"/>
            <color indexed="81"/>
            <rFont val="Tahoma"/>
            <family val="2"/>
          </rPr>
          <t xml:space="preserve">
2491 jpm</t>
        </r>
      </text>
    </comment>
    <comment ref="L59" authorId="1" shapeId="0" xr:uid="{00000000-0006-0000-0700-0000A1010000}">
      <text>
        <r>
          <rPr>
            <b/>
            <sz val="8"/>
            <color indexed="81"/>
            <rFont val="Tahoma"/>
            <family val="2"/>
          </rPr>
          <t>Martin Shkreli:</t>
        </r>
        <r>
          <rPr>
            <sz val="8"/>
            <color indexed="81"/>
            <rFont val="Tahoma"/>
            <family val="2"/>
          </rPr>
          <t xml:space="preserve">
2646 jpm</t>
        </r>
      </text>
    </comment>
    <comment ref="M59" authorId="1" shapeId="0" xr:uid="{00000000-0006-0000-0700-0000A2010000}">
      <text>
        <r>
          <rPr>
            <b/>
            <sz val="8"/>
            <color indexed="81"/>
            <rFont val="Tahoma"/>
            <family val="2"/>
          </rPr>
          <t>Martin Shkreli:</t>
        </r>
        <r>
          <rPr>
            <sz val="8"/>
            <color indexed="81"/>
            <rFont val="Tahoma"/>
            <family val="2"/>
          </rPr>
          <t xml:space="preserve">
2682 jpm</t>
        </r>
      </text>
    </comment>
    <comment ref="N59" authorId="1" shapeId="0" xr:uid="{00000000-0006-0000-0700-0000A3010000}">
      <text>
        <r>
          <rPr>
            <b/>
            <sz val="8"/>
            <color indexed="81"/>
            <rFont val="Tahoma"/>
            <family val="2"/>
          </rPr>
          <t>Martin Shkreli:</t>
        </r>
        <r>
          <rPr>
            <sz val="8"/>
            <color indexed="81"/>
            <rFont val="Tahoma"/>
            <family val="2"/>
          </rPr>
          <t xml:space="preserve">
2937 jpm</t>
        </r>
      </text>
    </comment>
    <comment ref="O59" authorId="1" shapeId="0" xr:uid="{00000000-0006-0000-0700-0000A4010000}">
      <text>
        <r>
          <rPr>
            <b/>
            <sz val="8"/>
            <color indexed="81"/>
            <rFont val="Tahoma"/>
            <family val="2"/>
          </rPr>
          <t>Martin Shkreli:</t>
        </r>
        <r>
          <rPr>
            <sz val="8"/>
            <color indexed="81"/>
            <rFont val="Tahoma"/>
            <family val="2"/>
          </rPr>
          <t xml:space="preserve">
2679 jpm
2679 bear</t>
        </r>
      </text>
    </comment>
    <comment ref="P59" authorId="1" shapeId="0" xr:uid="{00000000-0006-0000-0700-0000A5010000}">
      <text>
        <r>
          <rPr>
            <b/>
            <sz val="8"/>
            <color indexed="81"/>
            <rFont val="Tahoma"/>
            <family val="2"/>
          </rPr>
          <t>Martin Shkreli:</t>
        </r>
        <r>
          <rPr>
            <sz val="8"/>
            <color indexed="81"/>
            <rFont val="Tahoma"/>
            <family val="2"/>
          </rPr>
          <t xml:space="preserve">
2829 jpm
2829 bear</t>
        </r>
      </text>
    </comment>
    <comment ref="Q59" authorId="1" shapeId="0" xr:uid="{00000000-0006-0000-0700-0000A6010000}">
      <text>
        <r>
          <rPr>
            <b/>
            <sz val="8"/>
            <color indexed="81"/>
            <rFont val="Tahoma"/>
            <family val="2"/>
          </rPr>
          <t>Martin Shkreli:</t>
        </r>
        <r>
          <rPr>
            <sz val="8"/>
            <color indexed="81"/>
            <rFont val="Tahoma"/>
            <family val="2"/>
          </rPr>
          <t xml:space="preserve">
2767 jpm
2767 bear</t>
        </r>
      </text>
    </comment>
    <comment ref="R59" authorId="1" shapeId="0" xr:uid="{00000000-0006-0000-0700-0000A7010000}">
      <text>
        <r>
          <rPr>
            <b/>
            <sz val="8"/>
            <color indexed="81"/>
            <rFont val="Tahoma"/>
            <family val="2"/>
          </rPr>
          <t>Martin Shkreli:</t>
        </r>
        <r>
          <rPr>
            <sz val="8"/>
            <color indexed="81"/>
            <rFont val="Tahoma"/>
            <family val="2"/>
          </rPr>
          <t xml:space="preserve">
2943 jpm
2943 bear</t>
        </r>
      </text>
    </comment>
    <comment ref="S59" authorId="1" shapeId="0" xr:uid="{00000000-0006-0000-0700-0000A8010000}">
      <text>
        <r>
          <rPr>
            <b/>
            <sz val="8"/>
            <color indexed="81"/>
            <rFont val="Tahoma"/>
            <family val="2"/>
          </rPr>
          <t>Martin Shkreli:</t>
        </r>
        <r>
          <rPr>
            <sz val="8"/>
            <color indexed="81"/>
            <rFont val="Tahoma"/>
            <family val="2"/>
          </rPr>
          <t xml:space="preserve">
2666 bear
2666 jpm</t>
        </r>
      </text>
    </comment>
    <comment ref="T59" authorId="1" shapeId="0" xr:uid="{00000000-0006-0000-0700-0000A9010000}">
      <text>
        <r>
          <rPr>
            <b/>
            <sz val="8"/>
            <color indexed="81"/>
            <rFont val="Tahoma"/>
            <family val="2"/>
          </rPr>
          <t>Martin Shkreli:</t>
        </r>
        <r>
          <rPr>
            <sz val="8"/>
            <color indexed="81"/>
            <rFont val="Tahoma"/>
            <family val="2"/>
          </rPr>
          <t xml:space="preserve">
2802 bear</t>
        </r>
      </text>
    </comment>
    <comment ref="U59" authorId="1" shapeId="0" xr:uid="{00000000-0006-0000-0700-0000AA010000}">
      <text>
        <r>
          <rPr>
            <b/>
            <sz val="8"/>
            <color indexed="81"/>
            <rFont val="Tahoma"/>
            <family val="2"/>
          </rPr>
          <t>Martin Shkreli:</t>
        </r>
        <r>
          <rPr>
            <sz val="8"/>
            <color indexed="81"/>
            <rFont val="Tahoma"/>
            <family val="2"/>
          </rPr>
          <t xml:space="preserve">
2703 bear</t>
        </r>
      </text>
    </comment>
    <comment ref="V59" authorId="1" shapeId="0" xr:uid="{00000000-0006-0000-0700-0000AB010000}">
      <text>
        <r>
          <rPr>
            <b/>
            <sz val="8"/>
            <color indexed="81"/>
            <rFont val="Tahoma"/>
            <family val="2"/>
          </rPr>
          <t>Martin Shkreli:</t>
        </r>
        <r>
          <rPr>
            <sz val="8"/>
            <color indexed="81"/>
            <rFont val="Tahoma"/>
            <family val="2"/>
          </rPr>
          <t xml:space="preserve">
3089 bear</t>
        </r>
      </text>
    </comment>
    <comment ref="AI59" authorId="1" shapeId="0" xr:uid="{00000000-0006-0000-0700-0000AC010000}">
      <text>
        <r>
          <rPr>
            <b/>
            <sz val="8"/>
            <color indexed="81"/>
            <rFont val="Tahoma"/>
            <family val="2"/>
          </rPr>
          <t>Martin Shkreli:</t>
        </r>
        <r>
          <rPr>
            <sz val="8"/>
            <color indexed="81"/>
            <rFont val="Tahoma"/>
            <family val="2"/>
          </rPr>
          <t xml:space="preserve">
4043 bear</t>
        </r>
      </text>
    </comment>
    <comment ref="AK59" authorId="1" shapeId="0" xr:uid="{00000000-0006-0000-0700-0000AD010000}">
      <text>
        <r>
          <rPr>
            <b/>
            <sz val="8"/>
            <color indexed="81"/>
            <rFont val="Tahoma"/>
            <family val="2"/>
          </rPr>
          <t>Martin Shkreli:</t>
        </r>
        <r>
          <rPr>
            <sz val="8"/>
            <color indexed="81"/>
            <rFont val="Tahoma"/>
            <family val="2"/>
          </rPr>
          <t xml:space="preserve">
4078 bear</t>
        </r>
      </text>
    </comment>
    <comment ref="AL59" authorId="1" shapeId="0" xr:uid="{00000000-0006-0000-0700-0000AE010000}">
      <text>
        <r>
          <rPr>
            <b/>
            <sz val="8"/>
            <color indexed="81"/>
            <rFont val="Tahoma"/>
            <family val="2"/>
          </rPr>
          <t>Martin Shkreli:</t>
        </r>
        <r>
          <rPr>
            <sz val="8"/>
            <color indexed="81"/>
            <rFont val="Tahoma"/>
            <family val="2"/>
          </rPr>
          <t xml:space="preserve">
4562 bear</t>
        </r>
      </text>
    </comment>
    <comment ref="BB59" authorId="0" shapeId="0" xr:uid="{00000000-0006-0000-0700-0000AF010000}">
      <text>
        <r>
          <rPr>
            <sz val="9"/>
            <color indexed="81"/>
            <rFont val="Tahoma"/>
            <family val="2"/>
          </rPr>
          <t>recall costs impacted 6c</t>
        </r>
      </text>
    </comment>
    <comment ref="DI59" authorId="1" shapeId="0" xr:uid="{00000000-0006-0000-0700-0000B0010000}">
      <text>
        <r>
          <rPr>
            <b/>
            <sz val="8"/>
            <color indexed="81"/>
            <rFont val="Tahoma"/>
            <family val="2"/>
          </rPr>
          <t>Martin Shkreli:</t>
        </r>
        <r>
          <rPr>
            <sz val="8"/>
            <color indexed="81"/>
            <rFont val="Tahoma"/>
            <family val="2"/>
          </rPr>
          <t xml:space="preserve">
4481 bear</t>
        </r>
      </text>
    </comment>
    <comment ref="DJ59" authorId="1" shapeId="0" xr:uid="{00000000-0006-0000-0700-0000B1010000}">
      <text>
        <r>
          <rPr>
            <b/>
            <sz val="8"/>
            <color indexed="81"/>
            <rFont val="Tahoma"/>
            <family val="2"/>
          </rPr>
          <t>Martin Shkreli:</t>
        </r>
        <r>
          <rPr>
            <sz val="8"/>
            <color indexed="81"/>
            <rFont val="Tahoma"/>
            <family val="2"/>
          </rPr>
          <t xml:space="preserve">
5202 bear</t>
        </r>
      </text>
    </comment>
    <comment ref="DK59" authorId="1" shapeId="0" xr:uid="{00000000-0006-0000-0700-0000B2010000}">
      <text>
        <r>
          <rPr>
            <b/>
            <sz val="8"/>
            <color indexed="81"/>
            <rFont val="Tahoma"/>
            <family val="2"/>
          </rPr>
          <t>Martin Shkreli:</t>
        </r>
        <r>
          <rPr>
            <sz val="8"/>
            <color indexed="81"/>
            <rFont val="Tahoma"/>
            <family val="2"/>
          </rPr>
          <t xml:space="preserve">
5776 bear</t>
        </r>
      </text>
    </comment>
    <comment ref="DL59" authorId="1" shapeId="0" xr:uid="{00000000-0006-0000-0700-0000B3010000}">
      <text>
        <r>
          <rPr>
            <b/>
            <sz val="8"/>
            <color indexed="81"/>
            <rFont val="Tahoma"/>
            <family val="2"/>
          </rPr>
          <t>Martin Shkreli:</t>
        </r>
        <r>
          <rPr>
            <sz val="8"/>
            <color indexed="81"/>
            <rFont val="Tahoma"/>
            <family val="2"/>
          </rPr>
          <t xml:space="preserve">
5828 bear</t>
        </r>
      </text>
    </comment>
    <comment ref="DM59" authorId="1" shapeId="0" xr:uid="{00000000-0006-0000-0700-0000B4010000}">
      <text>
        <r>
          <rPr>
            <b/>
            <sz val="8"/>
            <color indexed="81"/>
            <rFont val="Tahoma"/>
            <family val="2"/>
          </rPr>
          <t>Martin Shkreli:</t>
        </r>
        <r>
          <rPr>
            <sz val="8"/>
            <color indexed="81"/>
            <rFont val="Tahoma"/>
            <family val="2"/>
          </rPr>
          <t xml:space="preserve">
6406 bear</t>
        </r>
      </text>
    </comment>
    <comment ref="DN59" authorId="1" shapeId="0" xr:uid="{00000000-0006-0000-0700-0000B5010000}">
      <text>
        <r>
          <rPr>
            <b/>
            <sz val="8"/>
            <color indexed="81"/>
            <rFont val="Tahoma"/>
            <family val="2"/>
          </rPr>
          <t>Martin Shkreli:</t>
        </r>
        <r>
          <rPr>
            <sz val="8"/>
            <color indexed="81"/>
            <rFont val="Tahoma"/>
            <family val="2"/>
          </rPr>
          <t xml:space="preserve">
7530 bear</t>
        </r>
      </text>
    </comment>
    <comment ref="DO59" authorId="1" shapeId="0" xr:uid="{00000000-0006-0000-0700-0000B6010000}">
      <text>
        <r>
          <rPr>
            <b/>
            <sz val="8"/>
            <color indexed="81"/>
            <rFont val="Tahoma"/>
            <family val="2"/>
          </rPr>
          <t>Martin Shkreli:</t>
        </r>
        <r>
          <rPr>
            <sz val="8"/>
            <color indexed="81"/>
            <rFont val="Tahoma"/>
            <family val="2"/>
          </rPr>
          <t xml:space="preserve">
8500 bear</t>
        </r>
      </text>
    </comment>
    <comment ref="DP59" authorId="1" shapeId="0" xr:uid="{00000000-0006-0000-0700-0000B7010000}">
      <text>
        <r>
          <rPr>
            <b/>
            <sz val="8"/>
            <color indexed="81"/>
            <rFont val="Tahoma"/>
            <family val="2"/>
          </rPr>
          <t>Martin Shkreli:</t>
        </r>
        <r>
          <rPr>
            <sz val="8"/>
            <color indexed="81"/>
            <rFont val="Tahoma"/>
            <family val="2"/>
          </rPr>
          <t xml:space="preserve">
8840 bear</t>
        </r>
      </text>
    </comment>
    <comment ref="DQ59" authorId="1" shapeId="0" xr:uid="{00000000-0006-0000-0700-0000B8010000}">
      <text>
        <r>
          <rPr>
            <b/>
            <sz val="8"/>
            <color indexed="81"/>
            <rFont val="Tahoma"/>
            <family val="2"/>
          </rPr>
          <t>Martin Shkreli:</t>
        </r>
        <r>
          <rPr>
            <sz val="8"/>
            <color indexed="81"/>
            <rFont val="Tahoma"/>
            <family val="2"/>
          </rPr>
          <t xml:space="preserve">
9166 bear</t>
        </r>
      </text>
    </comment>
    <comment ref="DR59" authorId="1" shapeId="0" xr:uid="{00000000-0006-0000-0700-0000B9010000}">
      <text>
        <r>
          <rPr>
            <b/>
            <sz val="8"/>
            <color indexed="81"/>
            <rFont val="Tahoma"/>
            <family val="2"/>
          </rPr>
          <t>Martin Shkreli:</t>
        </r>
        <r>
          <rPr>
            <sz val="8"/>
            <color indexed="81"/>
            <rFont val="Tahoma"/>
            <family val="2"/>
          </rPr>
          <t xml:space="preserve">
10756 jpm
10756 bear</t>
        </r>
      </text>
    </comment>
    <comment ref="DS59" authorId="1" shapeId="0" xr:uid="{00000000-0006-0000-0700-0000BA010000}">
      <text>
        <r>
          <rPr>
            <b/>
            <sz val="8"/>
            <color indexed="81"/>
            <rFont val="Tahoma"/>
            <family val="2"/>
          </rPr>
          <t>Martin Shkreli:</t>
        </r>
        <r>
          <rPr>
            <sz val="8"/>
            <color indexed="81"/>
            <rFont val="Tahoma"/>
            <family val="2"/>
          </rPr>
          <t xml:space="preserve">
11218 jpm
11218 bear</t>
        </r>
      </text>
    </comment>
    <comment ref="DT59" authorId="1" shapeId="0" xr:uid="{00000000-0006-0000-0700-0000BB010000}">
      <text>
        <r>
          <rPr>
            <b/>
            <sz val="8"/>
            <color indexed="81"/>
            <rFont val="Tahoma"/>
            <family val="2"/>
          </rPr>
          <t>Martin Shkreli:</t>
        </r>
        <r>
          <rPr>
            <sz val="8"/>
            <color indexed="81"/>
            <rFont val="Tahoma"/>
            <family val="2"/>
          </rPr>
          <t xml:space="preserve">
11260 bear</t>
        </r>
      </text>
    </comment>
    <comment ref="K60" authorId="1" shapeId="0" xr:uid="{00000000-0006-0000-0700-0000BC010000}">
      <text>
        <r>
          <rPr>
            <b/>
            <sz val="8"/>
            <color indexed="81"/>
            <rFont val="Tahoma"/>
            <family val="2"/>
          </rPr>
          <t>Martin Shkreli:</t>
        </r>
        <r>
          <rPr>
            <sz val="8"/>
            <color indexed="81"/>
            <rFont val="Tahoma"/>
            <family val="2"/>
          </rPr>
          <t xml:space="preserve">
597 jpm</t>
        </r>
      </text>
    </comment>
    <comment ref="L60" authorId="1" shapeId="0" xr:uid="{00000000-0006-0000-0700-0000BD010000}">
      <text>
        <r>
          <rPr>
            <b/>
            <sz val="8"/>
            <color indexed="81"/>
            <rFont val="Tahoma"/>
            <family val="2"/>
          </rPr>
          <t>Martin Shkreli:</t>
        </r>
        <r>
          <rPr>
            <sz val="8"/>
            <color indexed="81"/>
            <rFont val="Tahoma"/>
            <family val="2"/>
          </rPr>
          <t xml:space="preserve">
640 jpm</t>
        </r>
      </text>
    </comment>
    <comment ref="M60" authorId="1" shapeId="0" xr:uid="{00000000-0006-0000-0700-0000BE010000}">
      <text>
        <r>
          <rPr>
            <b/>
            <sz val="8"/>
            <color indexed="81"/>
            <rFont val="Tahoma"/>
            <family val="2"/>
          </rPr>
          <t>Martin Shkreli:</t>
        </r>
        <r>
          <rPr>
            <sz val="8"/>
            <color indexed="81"/>
            <rFont val="Tahoma"/>
            <family val="2"/>
          </rPr>
          <t xml:space="preserve">
672 jpm</t>
        </r>
      </text>
    </comment>
    <comment ref="N60" authorId="1" shapeId="0" xr:uid="{00000000-0006-0000-0700-0000BF010000}">
      <text>
        <r>
          <rPr>
            <b/>
            <sz val="8"/>
            <color indexed="81"/>
            <rFont val="Tahoma"/>
            <family val="2"/>
          </rPr>
          <t>Martin Shkreli:</t>
        </r>
        <r>
          <rPr>
            <sz val="8"/>
            <color indexed="81"/>
            <rFont val="Tahoma"/>
            <family val="2"/>
          </rPr>
          <t xml:space="preserve">
858 jpm</t>
        </r>
      </text>
    </comment>
    <comment ref="O60" authorId="1" shapeId="0" xr:uid="{00000000-0006-0000-0700-0000C0010000}">
      <text>
        <r>
          <rPr>
            <b/>
            <sz val="8"/>
            <color indexed="81"/>
            <rFont val="Tahoma"/>
            <family val="2"/>
          </rPr>
          <t>Martin Shkreli:</t>
        </r>
        <r>
          <rPr>
            <sz val="8"/>
            <color indexed="81"/>
            <rFont val="Tahoma"/>
            <family val="2"/>
          </rPr>
          <t xml:space="preserve">
677 jpm
677 bear</t>
        </r>
      </text>
    </comment>
    <comment ref="P60" authorId="1" shapeId="0" xr:uid="{00000000-0006-0000-0700-0000C1010000}">
      <text>
        <r>
          <rPr>
            <b/>
            <sz val="8"/>
            <color indexed="81"/>
            <rFont val="Tahoma"/>
            <family val="2"/>
          </rPr>
          <t>Martin Shkreli:</t>
        </r>
        <r>
          <rPr>
            <sz val="8"/>
            <color indexed="81"/>
            <rFont val="Tahoma"/>
            <family val="2"/>
          </rPr>
          <t xml:space="preserve">
713 jpm
713 bear</t>
        </r>
      </text>
    </comment>
    <comment ref="Q60" authorId="1" shapeId="0" xr:uid="{00000000-0006-0000-0700-0000C2010000}">
      <text>
        <r>
          <rPr>
            <b/>
            <sz val="8"/>
            <color indexed="81"/>
            <rFont val="Tahoma"/>
            <family val="2"/>
          </rPr>
          <t>Martin Shkreli:</t>
        </r>
        <r>
          <rPr>
            <sz val="8"/>
            <color indexed="81"/>
            <rFont val="Tahoma"/>
            <family val="2"/>
          </rPr>
          <t xml:space="preserve">
739 jpm
739 bear</t>
        </r>
      </text>
    </comment>
    <comment ref="R60" authorId="1" shapeId="0" xr:uid="{00000000-0006-0000-0700-0000C3010000}">
      <text>
        <r>
          <rPr>
            <b/>
            <sz val="8"/>
            <color indexed="81"/>
            <rFont val="Tahoma"/>
            <family val="2"/>
          </rPr>
          <t>Martin Shkreli:</t>
        </r>
        <r>
          <rPr>
            <sz val="8"/>
            <color indexed="81"/>
            <rFont val="Tahoma"/>
            <family val="2"/>
          </rPr>
          <t xml:space="preserve">
976 jpm
976 bear</t>
        </r>
      </text>
    </comment>
    <comment ref="S60" authorId="1" shapeId="0" xr:uid="{00000000-0006-0000-0700-0000C4010000}">
      <text>
        <r>
          <rPr>
            <b/>
            <sz val="8"/>
            <color indexed="81"/>
            <rFont val="Tahoma"/>
            <family val="2"/>
          </rPr>
          <t>Martin Shkreli:</t>
        </r>
        <r>
          <rPr>
            <sz val="8"/>
            <color indexed="81"/>
            <rFont val="Tahoma"/>
            <family val="2"/>
          </rPr>
          <t xml:space="preserve">
759 bear
759 jpm</t>
        </r>
      </text>
    </comment>
    <comment ref="AI60" authorId="1" shapeId="0" xr:uid="{00000000-0006-0000-0700-0000C5010000}">
      <text>
        <r>
          <rPr>
            <b/>
            <sz val="8"/>
            <color indexed="81"/>
            <rFont val="Tahoma"/>
            <family val="2"/>
          </rPr>
          <t>Martin Shkreli:</t>
        </r>
        <r>
          <rPr>
            <sz val="8"/>
            <color indexed="81"/>
            <rFont val="Tahoma"/>
            <family val="2"/>
          </rPr>
          <t xml:space="preserve">
1347 bear</t>
        </r>
      </text>
    </comment>
    <comment ref="AK60" authorId="1" shapeId="0" xr:uid="{00000000-0006-0000-0700-0000C6010000}">
      <text>
        <r>
          <rPr>
            <b/>
            <sz val="8"/>
            <color indexed="81"/>
            <rFont val="Tahoma"/>
            <family val="2"/>
          </rPr>
          <t>Martin Shkreli:</t>
        </r>
        <r>
          <rPr>
            <sz val="8"/>
            <color indexed="81"/>
            <rFont val="Tahoma"/>
            <family val="2"/>
          </rPr>
          <t xml:space="preserve">
1502 bear</t>
        </r>
      </text>
    </comment>
    <comment ref="AL60" authorId="1" shapeId="0" xr:uid="{00000000-0006-0000-0700-0000C7010000}">
      <text>
        <r>
          <rPr>
            <b/>
            <sz val="8"/>
            <color indexed="81"/>
            <rFont val="Tahoma"/>
            <family val="2"/>
          </rPr>
          <t>Martin Shkreli:</t>
        </r>
        <r>
          <rPr>
            <sz val="8"/>
            <color indexed="81"/>
            <rFont val="Tahoma"/>
            <family val="2"/>
          </rPr>
          <t xml:space="preserve">
1976 bear</t>
        </r>
      </text>
    </comment>
    <comment ref="AN60" authorId="2"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I60" authorId="1" shapeId="0" xr:uid="{00000000-0006-0000-0700-0000C9010000}">
      <text>
        <r>
          <rPr>
            <b/>
            <sz val="8"/>
            <color indexed="81"/>
            <rFont val="Tahoma"/>
            <family val="2"/>
          </rPr>
          <t>Martin Shkreli:</t>
        </r>
        <r>
          <rPr>
            <sz val="8"/>
            <color indexed="81"/>
            <rFont val="Tahoma"/>
            <family val="2"/>
          </rPr>
          <t xml:space="preserve">
869 bear</t>
        </r>
      </text>
    </comment>
    <comment ref="DJ60" authorId="1" shapeId="0" xr:uid="{00000000-0006-0000-0700-0000CA010000}">
      <text>
        <r>
          <rPr>
            <b/>
            <sz val="8"/>
            <color indexed="81"/>
            <rFont val="Tahoma"/>
            <family val="2"/>
          </rPr>
          <t>Martin Shkreli:</t>
        </r>
        <r>
          <rPr>
            <sz val="8"/>
            <color indexed="81"/>
            <rFont val="Tahoma"/>
            <family val="2"/>
          </rPr>
          <t xml:space="preserve">
1092 bear</t>
        </r>
      </text>
    </comment>
    <comment ref="DK60" authorId="1" shapeId="0" xr:uid="{00000000-0006-0000-0700-0000CB010000}">
      <text>
        <r>
          <rPr>
            <b/>
            <sz val="8"/>
            <color indexed="81"/>
            <rFont val="Tahoma"/>
            <family val="2"/>
          </rPr>
          <t>Martin Shkreli:</t>
        </r>
        <r>
          <rPr>
            <sz val="8"/>
            <color indexed="81"/>
            <rFont val="Tahoma"/>
            <family val="2"/>
          </rPr>
          <t xml:space="preserve">
1282 bear</t>
        </r>
      </text>
    </comment>
    <comment ref="DL60" authorId="1" shapeId="0" xr:uid="{00000000-0006-0000-0700-0000CC010000}">
      <text>
        <r>
          <rPr>
            <b/>
            <sz val="8"/>
            <color indexed="81"/>
            <rFont val="Tahoma"/>
            <family val="2"/>
          </rPr>
          <t>Martin Shkreli:</t>
        </r>
        <r>
          <rPr>
            <sz val="8"/>
            <color indexed="81"/>
            <rFont val="Tahoma"/>
            <family val="2"/>
          </rPr>
          <t xml:space="preserve">
1296 bear</t>
        </r>
      </text>
    </comment>
    <comment ref="DM60" authorId="1" shapeId="0" xr:uid="{00000000-0006-0000-0700-0000CD010000}">
      <text>
        <r>
          <rPr>
            <b/>
            <sz val="8"/>
            <color indexed="81"/>
            <rFont val="Tahoma"/>
            <family val="2"/>
          </rPr>
          <t>Martin Shkreli:</t>
        </r>
        <r>
          <rPr>
            <sz val="8"/>
            <color indexed="81"/>
            <rFont val="Tahoma"/>
            <family val="2"/>
          </rPr>
          <t xml:space="preserve">
1416 bear</t>
        </r>
      </text>
    </comment>
    <comment ref="DN60" authorId="1" shapeId="0" xr:uid="{00000000-0006-0000-0700-0000CE010000}">
      <text>
        <r>
          <rPr>
            <b/>
            <sz val="8"/>
            <color indexed="81"/>
            <rFont val="Tahoma"/>
            <family val="2"/>
          </rPr>
          <t>Martin Shkreli:</t>
        </r>
        <r>
          <rPr>
            <sz val="8"/>
            <color indexed="81"/>
            <rFont val="Tahoma"/>
            <family val="2"/>
          </rPr>
          <t xml:space="preserve">
1788 bear</t>
        </r>
      </text>
    </comment>
    <comment ref="DO60" authorId="1" shapeId="0" xr:uid="{00000000-0006-0000-0700-0000CF010000}">
      <text>
        <r>
          <rPr>
            <b/>
            <sz val="8"/>
            <color indexed="81"/>
            <rFont val="Tahoma"/>
            <family val="2"/>
          </rPr>
          <t>Martin Shkreli:</t>
        </r>
        <r>
          <rPr>
            <sz val="8"/>
            <color indexed="81"/>
            <rFont val="Tahoma"/>
            <family val="2"/>
          </rPr>
          <t xml:space="preserve">
2109 bear</t>
        </r>
      </text>
    </comment>
    <comment ref="DP60" authorId="1" shapeId="0" xr:uid="{00000000-0006-0000-0700-0000D0010000}">
      <text>
        <r>
          <rPr>
            <b/>
            <sz val="8"/>
            <color indexed="81"/>
            <rFont val="Tahoma"/>
            <family val="2"/>
          </rPr>
          <t>Martin Shkreli:</t>
        </r>
        <r>
          <rPr>
            <sz val="8"/>
            <color indexed="81"/>
            <rFont val="Tahoma"/>
            <family val="2"/>
          </rPr>
          <t xml:space="preserve">
2373 bear</t>
        </r>
      </text>
    </comment>
    <comment ref="DQ60" authorId="1" shapeId="0" xr:uid="{00000000-0006-0000-0700-0000D1010000}">
      <text>
        <r>
          <rPr>
            <b/>
            <sz val="8"/>
            <color indexed="81"/>
            <rFont val="Tahoma"/>
            <family val="2"/>
          </rPr>
          <t>Martin Shkreli:</t>
        </r>
        <r>
          <rPr>
            <sz val="8"/>
            <color indexed="81"/>
            <rFont val="Tahoma"/>
            <family val="2"/>
          </rPr>
          <t xml:space="preserve">
2506 bear</t>
        </r>
      </text>
    </comment>
    <comment ref="DR60" authorId="1" shapeId="0" xr:uid="{00000000-0006-0000-0700-0000D2010000}">
      <text>
        <r>
          <rPr>
            <b/>
            <sz val="8"/>
            <color indexed="81"/>
            <rFont val="Tahoma"/>
            <family val="2"/>
          </rPr>
          <t>Martin Shkreli:</t>
        </r>
        <r>
          <rPr>
            <sz val="8"/>
            <color indexed="81"/>
            <rFont val="Tahoma"/>
            <family val="2"/>
          </rPr>
          <t xml:space="preserve">
2768 jpm
2768 bear</t>
        </r>
      </text>
    </comment>
    <comment ref="DS60" authorId="1" shapeId="0" xr:uid="{00000000-0006-0000-0700-0000D3010000}">
      <text>
        <r>
          <rPr>
            <b/>
            <sz val="8"/>
            <color indexed="81"/>
            <rFont val="Tahoma"/>
            <family val="2"/>
          </rPr>
          <t>Martin Shkreli:</t>
        </r>
        <r>
          <rPr>
            <sz val="8"/>
            <color indexed="81"/>
            <rFont val="Tahoma"/>
            <family val="2"/>
          </rPr>
          <t xml:space="preserve">
3105 jpm
3105 bear</t>
        </r>
      </text>
    </comment>
    <comment ref="K62" authorId="1" shapeId="0" xr:uid="{00000000-0006-0000-0700-0000D4010000}">
      <text>
        <r>
          <rPr>
            <b/>
            <sz val="8"/>
            <color indexed="81"/>
            <rFont val="Tahoma"/>
            <family val="2"/>
          </rPr>
          <t>Martin Shkreli:</t>
        </r>
        <r>
          <rPr>
            <sz val="8"/>
            <color indexed="81"/>
            <rFont val="Tahoma"/>
            <family val="2"/>
          </rPr>
          <t xml:space="preserve">
1691 jpm</t>
        </r>
      </text>
    </comment>
    <comment ref="L62" authorId="1" shapeId="0" xr:uid="{00000000-0006-0000-0700-0000D5010000}">
      <text>
        <r>
          <rPr>
            <b/>
            <sz val="8"/>
            <color indexed="81"/>
            <rFont val="Tahoma"/>
            <family val="2"/>
          </rPr>
          <t>Martin Shkreli:</t>
        </r>
        <r>
          <rPr>
            <sz val="8"/>
            <color indexed="81"/>
            <rFont val="Tahoma"/>
            <family val="2"/>
          </rPr>
          <t xml:space="preserve">
1678 jpm</t>
        </r>
      </text>
    </comment>
    <comment ref="M62" authorId="1" shapeId="0" xr:uid="{00000000-0006-0000-0700-0000D6010000}">
      <text>
        <r>
          <rPr>
            <b/>
            <sz val="8"/>
            <color indexed="81"/>
            <rFont val="Tahoma"/>
            <family val="2"/>
          </rPr>
          <t>Martin Shkreli:</t>
        </r>
        <r>
          <rPr>
            <sz val="8"/>
            <color indexed="81"/>
            <rFont val="Tahoma"/>
            <family val="2"/>
          </rPr>
          <t xml:space="preserve">
1644 jpm</t>
        </r>
      </text>
    </comment>
    <comment ref="N62" authorId="1" shapeId="0" xr:uid="{00000000-0006-0000-0700-0000D7010000}">
      <text>
        <r>
          <rPr>
            <b/>
            <sz val="8"/>
            <color indexed="81"/>
            <rFont val="Tahoma"/>
            <family val="2"/>
          </rPr>
          <t>Martin Shkreli:</t>
        </r>
        <r>
          <rPr>
            <sz val="8"/>
            <color indexed="81"/>
            <rFont val="Tahoma"/>
            <family val="2"/>
          </rPr>
          <t xml:space="preserve">
974 jpm</t>
        </r>
      </text>
    </comment>
    <comment ref="O62" authorId="1" shapeId="0" xr:uid="{00000000-0006-0000-0700-0000D8010000}">
      <text>
        <r>
          <rPr>
            <b/>
            <sz val="8"/>
            <color indexed="81"/>
            <rFont val="Tahoma"/>
            <family val="2"/>
          </rPr>
          <t>Martin Shkreli:</t>
        </r>
        <r>
          <rPr>
            <sz val="8"/>
            <color indexed="81"/>
            <rFont val="Tahoma"/>
            <family val="2"/>
          </rPr>
          <t xml:space="preserve">
1842 jpm
1842 bear</t>
        </r>
      </text>
    </comment>
    <comment ref="P62" authorId="1" shapeId="0" xr:uid="{00000000-0006-0000-0700-0000D9010000}">
      <text>
        <r>
          <rPr>
            <b/>
            <sz val="8"/>
            <color indexed="81"/>
            <rFont val="Tahoma"/>
            <family val="2"/>
          </rPr>
          <t>Martin Shkreli:</t>
        </r>
        <r>
          <rPr>
            <sz val="8"/>
            <color indexed="81"/>
            <rFont val="Tahoma"/>
            <family val="2"/>
          </rPr>
          <t xml:space="preserve">
1867 jpm
1867 bear</t>
        </r>
      </text>
    </comment>
    <comment ref="Q62" authorId="1" shapeId="0" xr:uid="{00000000-0006-0000-0700-0000DA010000}">
      <text>
        <r>
          <rPr>
            <b/>
            <sz val="8"/>
            <color indexed="81"/>
            <rFont val="Tahoma"/>
            <family val="2"/>
          </rPr>
          <t>Martin Shkreli:</t>
        </r>
        <r>
          <rPr>
            <sz val="8"/>
            <color indexed="81"/>
            <rFont val="Tahoma"/>
            <family val="2"/>
          </rPr>
          <t xml:space="preserve">
1741 jpm
1741 bear</t>
        </r>
      </text>
    </comment>
    <comment ref="R62" authorId="1" shapeId="0" xr:uid="{00000000-0006-0000-0700-0000DB010000}">
      <text>
        <r>
          <rPr>
            <b/>
            <sz val="8"/>
            <color indexed="81"/>
            <rFont val="Tahoma"/>
            <family val="2"/>
          </rPr>
          <t>Martin Shkreli:</t>
        </r>
        <r>
          <rPr>
            <sz val="8"/>
            <color indexed="81"/>
            <rFont val="Tahoma"/>
            <family val="2"/>
          </rPr>
          <t xml:space="preserve">
1165 jpm
1165 bear</t>
        </r>
      </text>
    </comment>
    <comment ref="S62" authorId="1" shapeId="0" xr:uid="{00000000-0006-0000-0700-0000DC010000}">
      <text>
        <r>
          <rPr>
            <b/>
            <sz val="8"/>
            <color indexed="81"/>
            <rFont val="Tahoma"/>
            <family val="2"/>
          </rPr>
          <t>Martin Shkreli:</t>
        </r>
        <r>
          <rPr>
            <sz val="8"/>
            <color indexed="81"/>
            <rFont val="Tahoma"/>
            <family val="2"/>
          </rPr>
          <t xml:space="preserve">
2120 bear</t>
        </r>
      </text>
    </comment>
    <comment ref="AI62" authorId="1" shapeId="0" xr:uid="{00000000-0006-0000-0700-0000DD010000}">
      <text>
        <r>
          <rPr>
            <b/>
            <sz val="8"/>
            <color indexed="81"/>
            <rFont val="Tahoma"/>
            <family val="2"/>
          </rPr>
          <t>Martin Shkreli:</t>
        </r>
        <r>
          <rPr>
            <sz val="8"/>
            <color indexed="81"/>
            <rFont val="Tahoma"/>
            <family val="2"/>
          </rPr>
          <t xml:space="preserve">
3960 bear</t>
        </r>
      </text>
    </comment>
    <comment ref="AJ62" authorId="1" shapeId="0" xr:uid="{00000000-0006-0000-0700-0000DE010000}">
      <text>
        <r>
          <rPr>
            <b/>
            <sz val="8"/>
            <color indexed="81"/>
            <rFont val="Tahoma"/>
            <family val="2"/>
          </rPr>
          <t>Martin Shkreli:</t>
        </r>
        <r>
          <rPr>
            <sz val="8"/>
            <color indexed="81"/>
            <rFont val="Tahoma"/>
            <family val="2"/>
          </rPr>
          <t xml:space="preserve">
3573 bear</t>
        </r>
      </text>
    </comment>
    <comment ref="AK62" authorId="1" shapeId="0" xr:uid="{00000000-0006-0000-0700-0000DF010000}">
      <text>
        <r>
          <rPr>
            <b/>
            <sz val="8"/>
            <color indexed="81"/>
            <rFont val="Tahoma"/>
            <family val="2"/>
          </rPr>
          <t>Martin Shkreli:</t>
        </r>
        <r>
          <rPr>
            <sz val="8"/>
            <color indexed="81"/>
            <rFont val="Tahoma"/>
            <family val="2"/>
          </rPr>
          <t xml:space="preserve">
3390 bear</t>
        </r>
      </text>
    </comment>
    <comment ref="AL62" authorId="1" shapeId="0" xr:uid="{00000000-0006-0000-0700-0000E0010000}">
      <text>
        <r>
          <rPr>
            <b/>
            <sz val="8"/>
            <color indexed="81"/>
            <rFont val="Tahoma"/>
            <family val="2"/>
          </rPr>
          <t>Martin Shkreli:</t>
        </r>
        <r>
          <rPr>
            <sz val="8"/>
            <color indexed="81"/>
            <rFont val="Tahoma"/>
            <family val="2"/>
          </rPr>
          <t xml:space="preserve">
2448 bear</t>
        </r>
      </text>
    </comment>
    <comment ref="AN62" authorId="1" shapeId="0" xr:uid="{00000000-0006-0000-0700-0000E1010000}">
      <text>
        <r>
          <rPr>
            <b/>
            <sz val="8"/>
            <color indexed="81"/>
            <rFont val="Tahoma"/>
            <family val="2"/>
          </rPr>
          <t>Martin Shkreli:</t>
        </r>
        <r>
          <rPr>
            <sz val="8"/>
            <color indexed="81"/>
            <rFont val="Tahoma"/>
            <family val="2"/>
          </rPr>
          <t xml:space="preserve">
3396 bear</t>
        </r>
      </text>
    </comment>
    <comment ref="DI62" authorId="1" shapeId="0" xr:uid="{00000000-0006-0000-0700-0000E2010000}">
      <text>
        <r>
          <rPr>
            <b/>
            <sz val="8"/>
            <color indexed="81"/>
            <rFont val="Tahoma"/>
            <family val="2"/>
          </rPr>
          <t>Martin Shkreli:</t>
        </r>
        <r>
          <rPr>
            <sz val="8"/>
            <color indexed="81"/>
            <rFont val="Tahoma"/>
            <family val="2"/>
          </rPr>
          <t xml:space="preserve">
2024 bear</t>
        </r>
      </text>
    </comment>
    <comment ref="DJ62" authorId="1" shapeId="0" xr:uid="{00000000-0006-0000-0700-0000E3010000}">
      <text>
        <r>
          <rPr>
            <b/>
            <sz val="8"/>
            <color indexed="81"/>
            <rFont val="Tahoma"/>
            <family val="2"/>
          </rPr>
          <t>Martin Shkreli:</t>
        </r>
        <r>
          <rPr>
            <sz val="8"/>
            <color indexed="81"/>
            <rFont val="Tahoma"/>
            <family val="2"/>
          </rPr>
          <t xml:space="preserve">
2029 bear</t>
        </r>
      </text>
    </comment>
    <comment ref="DK62" authorId="1" shapeId="0" xr:uid="{00000000-0006-0000-0700-0000E4010000}">
      <text>
        <r>
          <rPr>
            <b/>
            <sz val="8"/>
            <color indexed="81"/>
            <rFont val="Tahoma"/>
            <family val="2"/>
          </rPr>
          <t>Martin Shkreli:</t>
        </r>
        <r>
          <rPr>
            <sz val="8"/>
            <color indexed="81"/>
            <rFont val="Tahoma"/>
            <family val="2"/>
          </rPr>
          <t xml:space="preserve">
2179 bear</t>
        </r>
      </text>
    </comment>
    <comment ref="DL62" authorId="1" shapeId="0" xr:uid="{00000000-0006-0000-0700-0000E5010000}">
      <text>
        <r>
          <rPr>
            <b/>
            <sz val="8"/>
            <color indexed="81"/>
            <rFont val="Tahoma"/>
            <family val="2"/>
          </rPr>
          <t>Martin Shkreli:</t>
        </r>
        <r>
          <rPr>
            <sz val="8"/>
            <color indexed="81"/>
            <rFont val="Tahoma"/>
            <family val="2"/>
          </rPr>
          <t xml:space="preserve">
2309 bear</t>
        </r>
      </text>
    </comment>
    <comment ref="DM62" authorId="1" shapeId="0" xr:uid="{00000000-0006-0000-0700-0000E6010000}">
      <text>
        <r>
          <rPr>
            <b/>
            <sz val="8"/>
            <color indexed="81"/>
            <rFont val="Tahoma"/>
            <family val="2"/>
          </rPr>
          <t>Martin Shkreli:</t>
        </r>
        <r>
          <rPr>
            <sz val="8"/>
            <color indexed="81"/>
            <rFont val="Tahoma"/>
            <family val="2"/>
          </rPr>
          <t xml:space="preserve">
2744 bear</t>
        </r>
      </text>
    </comment>
    <comment ref="DN62" authorId="1" shapeId="0" xr:uid="{00000000-0006-0000-0700-0000E7010000}">
      <text>
        <r>
          <rPr>
            <b/>
            <sz val="8"/>
            <color indexed="81"/>
            <rFont val="Tahoma"/>
            <family val="2"/>
          </rPr>
          <t>Martin Shkreli:</t>
        </r>
        <r>
          <rPr>
            <sz val="8"/>
            <color indexed="81"/>
            <rFont val="Tahoma"/>
            <family val="2"/>
          </rPr>
          <t xml:space="preserve">
3447 bear</t>
        </r>
      </text>
    </comment>
    <comment ref="DO62" authorId="1" shapeId="0" xr:uid="{00000000-0006-0000-0700-0000E8010000}">
      <text>
        <r>
          <rPr>
            <b/>
            <sz val="8"/>
            <color indexed="81"/>
            <rFont val="Tahoma"/>
            <family val="2"/>
          </rPr>
          <t>Martin Shkreli:</t>
        </r>
        <r>
          <rPr>
            <sz val="8"/>
            <color indexed="81"/>
            <rFont val="Tahoma"/>
            <family val="2"/>
          </rPr>
          <t xml:space="preserve">
4245 bear</t>
        </r>
      </text>
    </comment>
    <comment ref="DP62" authorId="1" shapeId="0" xr:uid="{00000000-0006-0000-0700-0000E9010000}">
      <text>
        <r>
          <rPr>
            <b/>
            <sz val="8"/>
            <color indexed="81"/>
            <rFont val="Tahoma"/>
            <family val="2"/>
          </rPr>
          <t>Martin Shkreli:</t>
        </r>
        <r>
          <rPr>
            <sz val="8"/>
            <color indexed="81"/>
            <rFont val="Tahoma"/>
            <family val="2"/>
          </rPr>
          <t xml:space="preserve">
4614 bear</t>
        </r>
      </text>
    </comment>
    <comment ref="DQ62" authorId="1" shapeId="0" xr:uid="{00000000-0006-0000-0700-0000EA010000}">
      <text>
        <r>
          <rPr>
            <b/>
            <sz val="8"/>
            <color indexed="81"/>
            <rFont val="Tahoma"/>
            <family val="2"/>
          </rPr>
          <t>Martin Shkreli:</t>
        </r>
        <r>
          <rPr>
            <sz val="8"/>
            <color indexed="81"/>
            <rFont val="Tahoma"/>
            <family val="2"/>
          </rPr>
          <t xml:space="preserve">
5080 bear</t>
        </r>
      </text>
    </comment>
    <comment ref="DR62" authorId="1" shapeId="0" xr:uid="{00000000-0006-0000-0700-0000EB010000}">
      <text>
        <r>
          <rPr>
            <b/>
            <sz val="8"/>
            <color indexed="81"/>
            <rFont val="Tahoma"/>
            <family val="2"/>
          </rPr>
          <t>Martin Shkreli:</t>
        </r>
        <r>
          <rPr>
            <sz val="8"/>
            <color indexed="81"/>
            <rFont val="Tahoma"/>
            <family val="2"/>
          </rPr>
          <t xml:space="preserve">
5986 jpm
5985 bear</t>
        </r>
      </text>
    </comment>
    <comment ref="DS62" authorId="1" shapeId="0" xr:uid="{00000000-0006-0000-0700-0000EC010000}">
      <text>
        <r>
          <rPr>
            <b/>
            <sz val="8"/>
            <color indexed="81"/>
            <rFont val="Tahoma"/>
            <family val="2"/>
          </rPr>
          <t>Martin Shkreli:</t>
        </r>
        <r>
          <rPr>
            <sz val="8"/>
            <color indexed="81"/>
            <rFont val="Tahoma"/>
            <family val="2"/>
          </rPr>
          <t xml:space="preserve">
6615 jpm
6615 bear</t>
        </r>
      </text>
    </comment>
    <comment ref="EB62" authorId="1" shapeId="0" xr:uid="{00000000-0006-0000-0700-0000ED010000}">
      <text>
        <r>
          <rPr>
            <b/>
            <sz val="8"/>
            <color indexed="81"/>
            <rFont val="Tahoma"/>
            <family val="2"/>
          </rPr>
          <t>Martin Shkreli:</t>
        </r>
        <r>
          <rPr>
            <sz val="8"/>
            <color indexed="81"/>
            <rFont val="Tahoma"/>
            <family val="2"/>
          </rPr>
          <t xml:space="preserve">
was 17.4 many years ago</t>
        </r>
      </text>
    </comment>
    <comment ref="EC62" authorId="1" shapeId="0" xr:uid="{00000000-0006-0000-0700-0000EE010000}">
      <text>
        <r>
          <rPr>
            <b/>
            <sz val="8"/>
            <color indexed="81"/>
            <rFont val="Tahoma"/>
            <family val="2"/>
          </rPr>
          <t>Martin Shkreli:</t>
        </r>
        <r>
          <rPr>
            <sz val="8"/>
            <color indexed="81"/>
            <rFont val="Tahoma"/>
            <family val="2"/>
          </rPr>
          <t xml:space="preserve">
was 17.9 many years ago</t>
        </r>
      </text>
    </comment>
    <comment ref="T63" authorId="1" shapeId="0" xr:uid="{00000000-0006-0000-0700-0000EF010000}">
      <text>
        <r>
          <rPr>
            <b/>
            <sz val="8"/>
            <color indexed="81"/>
            <rFont val="Tahoma"/>
            <family val="2"/>
          </rPr>
          <t>Martin Shkreli:</t>
        </r>
        <r>
          <rPr>
            <sz val="8"/>
            <color indexed="81"/>
            <rFont val="Tahoma"/>
            <family val="2"/>
          </rPr>
          <t xml:space="preserve">
78m Bear</t>
        </r>
      </text>
    </comment>
    <comment ref="AV63" authorId="13" shapeId="0" xr:uid="{00000000-0006-0000-0700-0000F0010000}">
      <text>
        <r>
          <rPr>
            <b/>
            <sz val="8"/>
            <color indexed="81"/>
            <rFont val="Tahoma"/>
            <family val="2"/>
          </rPr>
          <t>RBC:</t>
        </r>
        <r>
          <rPr>
            <sz val="8"/>
            <color indexed="81"/>
            <rFont val="Tahoma"/>
            <family val="2"/>
          </rPr>
          <t xml:space="preserve">
200m from Amgen?</t>
        </r>
      </text>
    </comment>
    <comment ref="DI63" authorId="1" shapeId="0" xr:uid="{00000000-0006-0000-0700-0000F1010000}">
      <text>
        <r>
          <rPr>
            <b/>
            <sz val="8"/>
            <color indexed="81"/>
            <rFont val="Tahoma"/>
            <family val="2"/>
          </rPr>
          <t>Martin Shkreli:</t>
        </r>
        <r>
          <rPr>
            <sz val="8"/>
            <color indexed="81"/>
            <rFont val="Tahoma"/>
            <family val="2"/>
          </rPr>
          <t xml:space="preserve">
-362 bear</t>
        </r>
      </text>
    </comment>
    <comment ref="DJ63" authorId="1" shapeId="0" xr:uid="{00000000-0006-0000-0700-0000F2010000}">
      <text>
        <r>
          <rPr>
            <b/>
            <sz val="8"/>
            <color indexed="81"/>
            <rFont val="Tahoma"/>
            <family val="2"/>
          </rPr>
          <t>Martin Shkreli:</t>
        </r>
        <r>
          <rPr>
            <sz val="8"/>
            <color indexed="81"/>
            <rFont val="Tahoma"/>
            <family val="2"/>
          </rPr>
          <t xml:space="preserve">
-57 bear</t>
        </r>
      </text>
    </comment>
    <comment ref="DK63" authorId="1" shapeId="0" xr:uid="{00000000-0006-0000-0700-0000F3010000}">
      <text>
        <r>
          <rPr>
            <b/>
            <sz val="8"/>
            <color indexed="81"/>
            <rFont val="Tahoma"/>
            <family val="2"/>
          </rPr>
          <t>Martin Shkreli:</t>
        </r>
        <r>
          <rPr>
            <sz val="8"/>
            <color indexed="81"/>
            <rFont val="Tahoma"/>
            <family val="2"/>
          </rPr>
          <t xml:space="preserve">
-60 bear</t>
        </r>
      </text>
    </comment>
    <comment ref="DL63" authorId="1" shapeId="0" xr:uid="{00000000-0006-0000-0700-0000F4010000}">
      <text>
        <r>
          <rPr>
            <b/>
            <sz val="8"/>
            <color indexed="81"/>
            <rFont val="Tahoma"/>
            <family val="2"/>
          </rPr>
          <t>Martin Shkreli:</t>
        </r>
        <r>
          <rPr>
            <sz val="8"/>
            <color indexed="81"/>
            <rFont val="Tahoma"/>
            <family val="2"/>
          </rPr>
          <t xml:space="preserve">
10 bear</t>
        </r>
      </text>
    </comment>
    <comment ref="DM63" authorId="1" shapeId="0" xr:uid="{00000000-0006-0000-0700-0000F5010000}">
      <text>
        <r>
          <rPr>
            <b/>
            <sz val="8"/>
            <color indexed="81"/>
            <rFont val="Tahoma"/>
            <family val="2"/>
          </rPr>
          <t>Martin Shkreli:</t>
        </r>
        <r>
          <rPr>
            <sz val="8"/>
            <color indexed="81"/>
            <rFont val="Tahoma"/>
            <family val="2"/>
          </rPr>
          <t xml:space="preserve">
-92 bear</t>
        </r>
      </text>
    </comment>
    <comment ref="DN63" authorId="1" shapeId="0" xr:uid="{00000000-0006-0000-0700-0000F6010000}">
      <text>
        <r>
          <rPr>
            <b/>
            <sz val="8"/>
            <color indexed="81"/>
            <rFont val="Tahoma"/>
            <family val="2"/>
          </rPr>
          <t>Martin Shkreli:</t>
        </r>
        <r>
          <rPr>
            <sz val="8"/>
            <color indexed="81"/>
            <rFont val="Tahoma"/>
            <family val="2"/>
          </rPr>
          <t xml:space="preserve">
-103 bear</t>
        </r>
      </text>
    </comment>
    <comment ref="DO63" authorId="1" shapeId="0" xr:uid="{00000000-0006-0000-0700-0000F7010000}">
      <text>
        <r>
          <rPr>
            <b/>
            <sz val="8"/>
            <color indexed="81"/>
            <rFont val="Tahoma"/>
            <family val="2"/>
          </rPr>
          <t>Martin Shkreli:</t>
        </r>
        <r>
          <rPr>
            <sz val="8"/>
            <color indexed="81"/>
            <rFont val="Tahoma"/>
            <family val="2"/>
          </rPr>
          <t xml:space="preserve">
-102 bear</t>
        </r>
      </text>
    </comment>
    <comment ref="DP63" authorId="1" shapeId="0" xr:uid="{00000000-0006-0000-0700-0000F8010000}">
      <text>
        <r>
          <rPr>
            <b/>
            <sz val="8"/>
            <color indexed="81"/>
            <rFont val="Tahoma"/>
            <family val="2"/>
          </rPr>
          <t>Martin Shkreli:</t>
        </r>
        <r>
          <rPr>
            <sz val="8"/>
            <color indexed="81"/>
            <rFont val="Tahoma"/>
            <family val="2"/>
          </rPr>
          <t xml:space="preserve">
94 bear</t>
        </r>
      </text>
    </comment>
    <comment ref="DQ63" authorId="1" shapeId="0" xr:uid="{00000000-0006-0000-0700-0000F9010000}">
      <text>
        <r>
          <rPr>
            <b/>
            <sz val="8"/>
            <color indexed="81"/>
            <rFont val="Tahoma"/>
            <family val="2"/>
          </rPr>
          <t>Martin Shkreli:</t>
        </r>
        <r>
          <rPr>
            <sz val="8"/>
            <color indexed="81"/>
            <rFont val="Tahoma"/>
            <family val="2"/>
          </rPr>
          <t xml:space="preserve">
104 bear</t>
        </r>
      </text>
    </comment>
    <comment ref="DR63" authorId="1" shapeId="0" xr:uid="{00000000-0006-0000-0700-0000FA010000}">
      <text>
        <r>
          <rPr>
            <b/>
            <sz val="8"/>
            <color indexed="81"/>
            <rFont val="Tahoma"/>
            <family val="2"/>
          </rPr>
          <t>Martin Shkreli:</t>
        </r>
        <r>
          <rPr>
            <sz val="8"/>
            <color indexed="81"/>
            <rFont val="Tahoma"/>
            <family val="2"/>
          </rPr>
          <t xml:space="preserve">
-108 bear</t>
        </r>
      </text>
    </comment>
    <comment ref="DS63" authorId="1" shapeId="0" xr:uid="{00000000-0006-0000-0700-0000FB010000}">
      <text>
        <r>
          <rPr>
            <b/>
            <sz val="8"/>
            <color indexed="81"/>
            <rFont val="Tahoma"/>
            <family val="2"/>
          </rPr>
          <t>Martin Shkreli:</t>
        </r>
        <r>
          <rPr>
            <sz val="8"/>
            <color indexed="81"/>
            <rFont val="Tahoma"/>
            <family val="2"/>
          </rPr>
          <t xml:space="preserve">
350 bear</t>
        </r>
      </text>
    </comment>
    <comment ref="DT63" authorId="1" shapeId="0" xr:uid="{00000000-0006-0000-0700-0000FC010000}">
      <text>
        <r>
          <rPr>
            <b/>
            <sz val="8"/>
            <color indexed="81"/>
            <rFont val="Tahoma"/>
            <family val="2"/>
          </rPr>
          <t>Martin Shkreli:</t>
        </r>
        <r>
          <rPr>
            <sz val="8"/>
            <color indexed="81"/>
            <rFont val="Tahoma"/>
            <family val="2"/>
          </rPr>
          <t xml:space="preserve">
265 bear</t>
        </r>
      </text>
    </comment>
    <comment ref="DZ63" authorId="2" shapeId="0" xr:uid="{00000000-0006-0000-0700-0000FD010000}">
      <text>
        <r>
          <rPr>
            <b/>
            <sz val="8"/>
            <color indexed="8"/>
            <rFont val="Times New Roman"/>
            <family val="1"/>
          </rPr>
          <t xml:space="preserve">Bloomberg:
</t>
        </r>
        <r>
          <rPr>
            <sz val="8"/>
            <color indexed="8"/>
            <rFont val="Times New Roman"/>
            <family val="1"/>
          </rPr>
          <t>guidance was -50 to -100</t>
        </r>
      </text>
    </comment>
    <comment ref="EA63" authorId="2" shapeId="0" xr:uid="{00000000-0006-0000-0700-0000FE010000}">
      <text>
        <r>
          <rPr>
            <b/>
            <sz val="8"/>
            <color indexed="8"/>
            <rFont val="Times New Roman"/>
            <family val="1"/>
          </rPr>
          <t xml:space="preserve">Bloomberg:
</t>
        </r>
        <r>
          <rPr>
            <sz val="8"/>
            <color indexed="8"/>
            <rFont val="Times New Roman"/>
            <family val="1"/>
          </rPr>
          <t>Breakeven guidance</t>
        </r>
      </text>
    </comment>
    <comment ref="S64" authorId="1" shapeId="0" xr:uid="{00000000-0006-0000-0700-0000FF010000}">
      <text>
        <r>
          <rPr>
            <b/>
            <sz val="8"/>
            <color indexed="81"/>
            <rFont val="Tahoma"/>
            <family val="2"/>
          </rPr>
          <t>Martin Shkreli:</t>
        </r>
        <r>
          <rPr>
            <sz val="8"/>
            <color indexed="81"/>
            <rFont val="Tahoma"/>
            <family val="2"/>
          </rPr>
          <t xml:space="preserve">
-6 jpm actual</t>
        </r>
      </text>
    </comment>
    <comment ref="T64" authorId="1" shapeId="0" xr:uid="{00000000-0006-0000-0700-000000020000}">
      <text>
        <r>
          <rPr>
            <b/>
            <sz val="8"/>
            <color indexed="81"/>
            <rFont val="Tahoma"/>
            <family val="2"/>
          </rPr>
          <t>Martin Shkreli:</t>
        </r>
        <r>
          <rPr>
            <sz val="8"/>
            <color indexed="81"/>
            <rFont val="Tahoma"/>
            <family val="2"/>
          </rPr>
          <t xml:space="preserve">
8m Bear</t>
        </r>
      </text>
    </comment>
    <comment ref="AE64" authorId="2" shapeId="0" xr:uid="{00000000-0006-0000-0700-000001020000}">
      <text>
        <r>
          <rPr>
            <sz val="8"/>
            <color indexed="8"/>
            <rFont val="Times New Roman"/>
            <family val="1"/>
          </rPr>
          <t>Includes gain on sale from orthopedics casting business</t>
        </r>
      </text>
    </comment>
    <comment ref="AM64" authorId="2" shapeId="0" xr:uid="{00000000-0006-0000-0700-000002020000}">
      <text>
        <r>
          <rPr>
            <b/>
            <sz val="8"/>
            <color indexed="8"/>
            <rFont val="Times New Roman"/>
            <family val="1"/>
          </rPr>
          <t xml:space="preserve">Martin Shkreli:
</t>
        </r>
        <r>
          <rPr>
            <sz val="8"/>
            <color indexed="8"/>
            <rFont val="Times New Roman"/>
            <family val="1"/>
          </rPr>
          <t>GDT fee</t>
        </r>
      </text>
    </comment>
    <comment ref="K65" authorId="1" shapeId="0" xr:uid="{00000000-0006-0000-0700-000003020000}">
      <text>
        <r>
          <rPr>
            <b/>
            <sz val="8"/>
            <color indexed="81"/>
            <rFont val="Tahoma"/>
            <family val="2"/>
          </rPr>
          <t>Martin Shkreli:</t>
        </r>
        <r>
          <rPr>
            <sz val="8"/>
            <color indexed="81"/>
            <rFont val="Tahoma"/>
            <family val="2"/>
          </rPr>
          <t xml:space="preserve">
1650 jpm</t>
        </r>
      </text>
    </comment>
    <comment ref="L65" authorId="1" shapeId="0" xr:uid="{00000000-0006-0000-0700-000004020000}">
      <text>
        <r>
          <rPr>
            <b/>
            <sz val="8"/>
            <color indexed="81"/>
            <rFont val="Tahoma"/>
            <family val="2"/>
          </rPr>
          <t>Martin Shkreli:</t>
        </r>
        <r>
          <rPr>
            <sz val="8"/>
            <color indexed="81"/>
            <rFont val="Tahoma"/>
            <family val="2"/>
          </rPr>
          <t xml:space="preserve">
1676 jpm</t>
        </r>
      </text>
    </comment>
    <comment ref="M65" authorId="1" shapeId="0" xr:uid="{00000000-0006-0000-0700-000005020000}">
      <text>
        <r>
          <rPr>
            <b/>
            <sz val="8"/>
            <color indexed="81"/>
            <rFont val="Tahoma"/>
            <family val="2"/>
          </rPr>
          <t>Martin Shkreli:</t>
        </r>
        <r>
          <rPr>
            <sz val="8"/>
            <color indexed="81"/>
            <rFont val="Tahoma"/>
            <family val="2"/>
          </rPr>
          <t xml:space="preserve">
1593 jpm</t>
        </r>
      </text>
    </comment>
    <comment ref="N65" authorId="1" shapeId="0" xr:uid="{00000000-0006-0000-0700-000006020000}">
      <text>
        <r>
          <rPr>
            <b/>
            <sz val="8"/>
            <color indexed="81"/>
            <rFont val="Tahoma"/>
            <family val="2"/>
          </rPr>
          <t>Martin Shkreli:</t>
        </r>
        <r>
          <rPr>
            <sz val="8"/>
            <color indexed="81"/>
            <rFont val="Tahoma"/>
            <family val="2"/>
          </rPr>
          <t xml:space="preserve">
978 jpm</t>
        </r>
      </text>
    </comment>
    <comment ref="O65" authorId="1" shapeId="0" xr:uid="{00000000-0006-0000-0700-000007020000}">
      <text>
        <r>
          <rPr>
            <b/>
            <sz val="8"/>
            <color indexed="81"/>
            <rFont val="Tahoma"/>
            <family val="2"/>
          </rPr>
          <t>Martin Shkreli:</t>
        </r>
        <r>
          <rPr>
            <sz val="8"/>
            <color indexed="81"/>
            <rFont val="Tahoma"/>
            <family val="2"/>
          </rPr>
          <t xml:space="preserve">
1936 jpm
1936 bear</t>
        </r>
      </text>
    </comment>
    <comment ref="P65" authorId="1" shapeId="0" xr:uid="{00000000-0006-0000-0700-000008020000}">
      <text>
        <r>
          <rPr>
            <b/>
            <sz val="8"/>
            <color indexed="81"/>
            <rFont val="Tahoma"/>
            <family val="2"/>
          </rPr>
          <t>Martin Shkreli:</t>
        </r>
        <r>
          <rPr>
            <sz val="8"/>
            <color indexed="81"/>
            <rFont val="Tahoma"/>
            <family val="2"/>
          </rPr>
          <t xml:space="preserve">
1927 jpm
1927 bear</t>
        </r>
      </text>
    </comment>
    <comment ref="Q65" authorId="1" shapeId="0" xr:uid="{00000000-0006-0000-0700-000009020000}">
      <text>
        <r>
          <rPr>
            <b/>
            <sz val="8"/>
            <color indexed="81"/>
            <rFont val="Tahoma"/>
            <family val="2"/>
          </rPr>
          <t>Martin Shkreli:</t>
        </r>
        <r>
          <rPr>
            <sz val="8"/>
            <color indexed="81"/>
            <rFont val="Tahoma"/>
            <family val="2"/>
          </rPr>
          <t xml:space="preserve">
1848 jpm
1848 bear</t>
        </r>
      </text>
    </comment>
    <comment ref="R65" authorId="1" shapeId="0" xr:uid="{00000000-0006-0000-0700-00000A020000}">
      <text>
        <r>
          <rPr>
            <b/>
            <sz val="8"/>
            <color indexed="81"/>
            <rFont val="Tahoma"/>
            <family val="2"/>
          </rPr>
          <t>Martin Shkreli:</t>
        </r>
        <r>
          <rPr>
            <sz val="8"/>
            <color indexed="81"/>
            <rFont val="Tahoma"/>
            <family val="2"/>
          </rPr>
          <t xml:space="preserve">
1220 jpm
1254 bear</t>
        </r>
      </text>
    </comment>
    <comment ref="S65" authorId="1" shapeId="0" xr:uid="{00000000-0006-0000-0700-00000B020000}">
      <text>
        <r>
          <rPr>
            <b/>
            <sz val="8"/>
            <color indexed="81"/>
            <rFont val="Tahoma"/>
            <family val="2"/>
          </rPr>
          <t>Martin Shkreli:</t>
        </r>
        <r>
          <rPr>
            <sz val="8"/>
            <color indexed="81"/>
            <rFont val="Tahoma"/>
            <family val="2"/>
          </rPr>
          <t xml:space="preserve">
2218 bear</t>
        </r>
      </text>
    </comment>
    <comment ref="T65" authorId="1" shapeId="0" xr:uid="{00000000-0006-0000-0700-00000C020000}">
      <text>
        <r>
          <rPr>
            <b/>
            <sz val="8"/>
            <color indexed="81"/>
            <rFont val="Tahoma"/>
            <family val="2"/>
          </rPr>
          <t>Martin Shkreli:</t>
        </r>
        <r>
          <rPr>
            <sz val="8"/>
            <color indexed="81"/>
            <rFont val="Tahoma"/>
            <family val="2"/>
          </rPr>
          <t xml:space="preserve">
2238 bear</t>
        </r>
      </text>
    </comment>
    <comment ref="U65" authorId="1" shapeId="0" xr:uid="{00000000-0006-0000-0700-00000D020000}">
      <text>
        <r>
          <rPr>
            <b/>
            <sz val="8"/>
            <color indexed="81"/>
            <rFont val="Tahoma"/>
            <family val="2"/>
          </rPr>
          <t>Martin Shkreli:</t>
        </r>
        <r>
          <rPr>
            <sz val="8"/>
            <color indexed="81"/>
            <rFont val="Tahoma"/>
            <family val="2"/>
          </rPr>
          <t xml:space="preserve">
2146 bear</t>
        </r>
      </text>
    </comment>
    <comment ref="X65" authorId="1" shapeId="0" xr:uid="{00000000-0006-0000-0700-00000E020000}">
      <text>
        <r>
          <rPr>
            <b/>
            <sz val="8"/>
            <color indexed="81"/>
            <rFont val="Tahoma"/>
            <family val="2"/>
          </rPr>
          <t>Martin Shkreli:</t>
        </r>
        <r>
          <rPr>
            <sz val="8"/>
            <color indexed="81"/>
            <rFont val="Tahoma"/>
            <family val="2"/>
          </rPr>
          <t xml:space="preserve">
2617 bear</t>
        </r>
      </text>
    </comment>
    <comment ref="AD65" authorId="1" shapeId="0" xr:uid="{00000000-0006-0000-0700-00000F020000}">
      <text>
        <r>
          <rPr>
            <b/>
            <sz val="8"/>
            <color indexed="81"/>
            <rFont val="Tahoma"/>
            <family val="2"/>
          </rPr>
          <t>Martin Shkreli:</t>
        </r>
        <r>
          <rPr>
            <sz val="8"/>
            <color indexed="81"/>
            <rFont val="Tahoma"/>
            <family val="2"/>
          </rPr>
          <t xml:space="preserve">
2232 bear</t>
        </r>
      </text>
    </comment>
    <comment ref="AE65" authorId="1" shapeId="0" xr:uid="{00000000-0006-0000-0700-000010020000}">
      <text>
        <r>
          <rPr>
            <b/>
            <sz val="8"/>
            <color indexed="81"/>
            <rFont val="Tahoma"/>
            <family val="2"/>
          </rPr>
          <t>Martin Shkreli:</t>
        </r>
        <r>
          <rPr>
            <sz val="8"/>
            <color indexed="81"/>
            <rFont val="Tahoma"/>
            <family val="2"/>
          </rPr>
          <t xml:space="preserve">
3516 bear</t>
        </r>
      </text>
    </comment>
    <comment ref="AI65" authorId="1" shapeId="0" xr:uid="{00000000-0006-0000-0700-000011020000}">
      <text>
        <r>
          <rPr>
            <b/>
            <sz val="8"/>
            <color indexed="81"/>
            <rFont val="Tahoma"/>
            <family val="2"/>
          </rPr>
          <t>Martin Shkreli:</t>
        </r>
        <r>
          <rPr>
            <sz val="8"/>
            <color indexed="81"/>
            <rFont val="Tahoma"/>
            <family val="2"/>
          </rPr>
          <t xml:space="preserve">
4062 bear</t>
        </r>
      </text>
    </comment>
    <comment ref="AJ65" authorId="1" shapeId="0" xr:uid="{00000000-0006-0000-0700-000012020000}">
      <text>
        <r>
          <rPr>
            <b/>
            <sz val="8"/>
            <color indexed="81"/>
            <rFont val="Tahoma"/>
            <family val="2"/>
          </rPr>
          <t>Martin Shkreli:</t>
        </r>
        <r>
          <rPr>
            <sz val="8"/>
            <color indexed="81"/>
            <rFont val="Tahoma"/>
            <family val="2"/>
          </rPr>
          <t xml:space="preserve">
3755 bear</t>
        </r>
      </text>
    </comment>
    <comment ref="AK65" authorId="1" shapeId="0" xr:uid="{00000000-0006-0000-0700-000013020000}">
      <text>
        <r>
          <rPr>
            <b/>
            <sz val="8"/>
            <color indexed="81"/>
            <rFont val="Tahoma"/>
            <family val="2"/>
          </rPr>
          <t>Martin Shkreli:</t>
        </r>
        <r>
          <rPr>
            <sz val="8"/>
            <color indexed="81"/>
            <rFont val="Tahoma"/>
            <family val="2"/>
          </rPr>
          <t xml:space="preserve">
3554 bear</t>
        </r>
      </text>
    </comment>
    <comment ref="AL65" authorId="1" shapeId="0" xr:uid="{00000000-0006-0000-0700-000014020000}">
      <text>
        <r>
          <rPr>
            <b/>
            <sz val="8"/>
            <color indexed="81"/>
            <rFont val="Tahoma"/>
            <family val="2"/>
          </rPr>
          <t>Martin Shkreli:</t>
        </r>
        <r>
          <rPr>
            <sz val="8"/>
            <color indexed="81"/>
            <rFont val="Tahoma"/>
            <family val="2"/>
          </rPr>
          <t xml:space="preserve">
2647 bear</t>
        </r>
      </text>
    </comment>
    <comment ref="AM65" authorId="1" shapeId="0" xr:uid="{00000000-0006-0000-0700-000015020000}">
      <text>
        <r>
          <rPr>
            <b/>
            <sz val="8"/>
            <color indexed="81"/>
            <rFont val="Tahoma"/>
            <family val="2"/>
          </rPr>
          <t>Martin Shkreli:</t>
        </r>
        <r>
          <rPr>
            <sz val="8"/>
            <color indexed="81"/>
            <rFont val="Tahoma"/>
            <family val="2"/>
          </rPr>
          <t xml:space="preserve">
4030 bear</t>
        </r>
      </text>
    </comment>
    <comment ref="CI65" authorId="25"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65" authorId="26"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65" authorId="27"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65" authorId="28"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65" authorId="29"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65" authorId="30"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I65" authorId="1" shapeId="0" xr:uid="{00000000-0006-0000-0700-000016020000}">
      <text>
        <r>
          <rPr>
            <b/>
            <sz val="8"/>
            <color indexed="81"/>
            <rFont val="Tahoma"/>
            <family val="2"/>
          </rPr>
          <t>Martin Shkreli:</t>
        </r>
        <r>
          <rPr>
            <sz val="8"/>
            <color indexed="81"/>
            <rFont val="Tahoma"/>
            <family val="2"/>
          </rPr>
          <t xml:space="preserve">
1662 bear</t>
        </r>
      </text>
    </comment>
    <comment ref="DJ65" authorId="1" shapeId="0" xr:uid="{00000000-0006-0000-0700-000017020000}">
      <text>
        <r>
          <rPr>
            <b/>
            <sz val="8"/>
            <color indexed="81"/>
            <rFont val="Tahoma"/>
            <family val="2"/>
          </rPr>
          <t>Martin Shkreli:</t>
        </r>
        <r>
          <rPr>
            <sz val="8"/>
            <color indexed="81"/>
            <rFont val="Tahoma"/>
            <family val="2"/>
          </rPr>
          <t xml:space="preserve">
1972 bear</t>
        </r>
      </text>
    </comment>
    <comment ref="DK65" authorId="1" shapeId="0" xr:uid="{00000000-0006-0000-0700-000018020000}">
      <text>
        <r>
          <rPr>
            <b/>
            <sz val="8"/>
            <color indexed="81"/>
            <rFont val="Tahoma"/>
            <family val="2"/>
          </rPr>
          <t>Martin Shkreli:</t>
        </r>
        <r>
          <rPr>
            <sz val="8"/>
            <color indexed="81"/>
            <rFont val="Tahoma"/>
            <family val="2"/>
          </rPr>
          <t xml:space="preserve">
2119 bear</t>
        </r>
      </text>
    </comment>
    <comment ref="DL65" authorId="1" shapeId="0" xr:uid="{00000000-0006-0000-0700-000019020000}">
      <text>
        <r>
          <rPr>
            <b/>
            <sz val="8"/>
            <color indexed="81"/>
            <rFont val="Tahoma"/>
            <family val="2"/>
          </rPr>
          <t>Martin Shkreli:</t>
        </r>
        <r>
          <rPr>
            <sz val="8"/>
            <color indexed="81"/>
            <rFont val="Tahoma"/>
            <family val="2"/>
          </rPr>
          <t xml:space="preserve">
2319 bear</t>
        </r>
      </text>
    </comment>
    <comment ref="DM65" authorId="1" shapeId="0" xr:uid="{00000000-0006-0000-0700-00001A020000}">
      <text>
        <r>
          <rPr>
            <b/>
            <sz val="8"/>
            <color indexed="81"/>
            <rFont val="Tahoma"/>
            <family val="2"/>
          </rPr>
          <t>Martin Shkreli:</t>
        </r>
        <r>
          <rPr>
            <sz val="8"/>
            <color indexed="81"/>
            <rFont val="Tahoma"/>
            <family val="2"/>
          </rPr>
          <t xml:space="preserve">
2652 bear</t>
        </r>
      </text>
    </comment>
    <comment ref="DN65" authorId="1" shapeId="0" xr:uid="{00000000-0006-0000-0700-00001B020000}">
      <text>
        <r>
          <rPr>
            <b/>
            <sz val="8"/>
            <color indexed="81"/>
            <rFont val="Tahoma"/>
            <family val="2"/>
          </rPr>
          <t>Martin Shkreli:</t>
        </r>
        <r>
          <rPr>
            <sz val="8"/>
            <color indexed="81"/>
            <rFont val="Tahoma"/>
            <family val="2"/>
          </rPr>
          <t xml:space="preserve">
3344 bear</t>
        </r>
      </text>
    </comment>
    <comment ref="DO65" authorId="1" shapeId="0" xr:uid="{00000000-0006-0000-0700-00001C020000}">
      <text>
        <r>
          <rPr>
            <b/>
            <sz val="8"/>
            <color indexed="81"/>
            <rFont val="Tahoma"/>
            <family val="2"/>
          </rPr>
          <t>Martin Shkreli:</t>
        </r>
        <r>
          <rPr>
            <sz val="8"/>
            <color indexed="81"/>
            <rFont val="Tahoma"/>
            <family val="2"/>
          </rPr>
          <t xml:space="preserve">
4143 bear</t>
        </r>
      </text>
    </comment>
    <comment ref="DP65" authorId="1" shapeId="0" xr:uid="{00000000-0006-0000-0700-00001D020000}">
      <text>
        <r>
          <rPr>
            <b/>
            <sz val="8"/>
            <color indexed="81"/>
            <rFont val="Tahoma"/>
            <family val="2"/>
          </rPr>
          <t>Martin Shkreli:</t>
        </r>
        <r>
          <rPr>
            <sz val="8"/>
            <color indexed="81"/>
            <rFont val="Tahoma"/>
            <family val="2"/>
          </rPr>
          <t xml:space="preserve">
4708 bear</t>
        </r>
      </text>
    </comment>
    <comment ref="DQ65" authorId="1" shapeId="0" xr:uid="{00000000-0006-0000-0700-00001E020000}">
      <text>
        <r>
          <rPr>
            <b/>
            <sz val="8"/>
            <color indexed="81"/>
            <rFont val="Tahoma"/>
            <family val="2"/>
          </rPr>
          <t>Martin Shkreli:</t>
        </r>
        <r>
          <rPr>
            <sz val="8"/>
            <color indexed="81"/>
            <rFont val="Tahoma"/>
            <family val="2"/>
          </rPr>
          <t xml:space="preserve">
5184 bear</t>
        </r>
      </text>
    </comment>
    <comment ref="DR65" authorId="1" shapeId="0" xr:uid="{00000000-0006-0000-0700-00001F020000}">
      <text>
        <r>
          <rPr>
            <b/>
            <sz val="8"/>
            <color indexed="81"/>
            <rFont val="Tahoma"/>
            <family val="2"/>
          </rPr>
          <t>Martin Shkreli:</t>
        </r>
        <r>
          <rPr>
            <sz val="8"/>
            <color indexed="81"/>
            <rFont val="Tahoma"/>
            <family val="2"/>
          </rPr>
          <t xml:space="preserve">
5896 jpm
5877 bear</t>
        </r>
      </text>
    </comment>
    <comment ref="DS65" authorId="1" shapeId="0" xr:uid="{00000000-0006-0000-0700-000020020000}">
      <text>
        <r>
          <rPr>
            <b/>
            <sz val="8"/>
            <color indexed="81"/>
            <rFont val="Tahoma"/>
            <family val="2"/>
          </rPr>
          <t>Martin Shkreli:</t>
        </r>
        <r>
          <rPr>
            <sz val="8"/>
            <color indexed="81"/>
            <rFont val="Tahoma"/>
            <family val="2"/>
          </rPr>
          <t xml:space="preserve">
6930 jpm
6964 bear</t>
        </r>
      </text>
    </comment>
    <comment ref="DT65" authorId="1" shapeId="0" xr:uid="{00000000-0006-0000-0700-000021020000}">
      <text>
        <r>
          <rPr>
            <b/>
            <sz val="8"/>
            <color indexed="81"/>
            <rFont val="Tahoma"/>
            <family val="2"/>
          </rPr>
          <t>Martin Shkreli:</t>
        </r>
        <r>
          <rPr>
            <sz val="8"/>
            <color indexed="81"/>
            <rFont val="Tahoma"/>
            <family val="2"/>
          </rPr>
          <t xml:space="preserve">
8151 bear</t>
        </r>
      </text>
    </comment>
    <comment ref="DV65" authorId="1" shapeId="0" xr:uid="{00000000-0006-0000-0700-000022020000}">
      <text>
        <r>
          <rPr>
            <b/>
            <sz val="8"/>
            <color indexed="81"/>
            <rFont val="Tahoma"/>
            <family val="2"/>
          </rPr>
          <t>Martin Shkreli:</t>
        </r>
        <r>
          <rPr>
            <sz val="8"/>
            <color indexed="81"/>
            <rFont val="Tahoma"/>
            <family val="2"/>
          </rPr>
          <t xml:space="preserve">
11084 bear</t>
        </r>
      </text>
    </comment>
    <comment ref="K66" authorId="1" shapeId="0" xr:uid="{00000000-0006-0000-0700-000023020000}">
      <text>
        <r>
          <rPr>
            <b/>
            <sz val="8"/>
            <color indexed="81"/>
            <rFont val="Tahoma"/>
            <family val="2"/>
          </rPr>
          <t>Martin Shkreli:</t>
        </r>
        <r>
          <rPr>
            <sz val="8"/>
            <color indexed="81"/>
            <rFont val="Tahoma"/>
            <family val="2"/>
          </rPr>
          <t xml:space="preserve">
493 jpm</t>
        </r>
      </text>
    </comment>
    <comment ref="L66" authorId="1" shapeId="0" xr:uid="{00000000-0006-0000-0700-000024020000}">
      <text>
        <r>
          <rPr>
            <b/>
            <sz val="8"/>
            <color indexed="81"/>
            <rFont val="Tahoma"/>
            <family val="2"/>
          </rPr>
          <t>Martin Shkreli:</t>
        </r>
        <r>
          <rPr>
            <sz val="8"/>
            <color indexed="81"/>
            <rFont val="Tahoma"/>
            <family val="2"/>
          </rPr>
          <t xml:space="preserve">
472 jpm</t>
        </r>
      </text>
    </comment>
    <comment ref="M66" authorId="1" shapeId="0" xr:uid="{00000000-0006-0000-0700-000025020000}">
      <text>
        <r>
          <rPr>
            <b/>
            <sz val="8"/>
            <color indexed="81"/>
            <rFont val="Tahoma"/>
            <family val="2"/>
          </rPr>
          <t>Martin Shkreli:</t>
        </r>
        <r>
          <rPr>
            <sz val="8"/>
            <color indexed="81"/>
            <rFont val="Tahoma"/>
            <family val="2"/>
          </rPr>
          <t xml:space="preserve">
428 jpm</t>
        </r>
      </text>
    </comment>
    <comment ref="N66" authorId="1" shapeId="0" xr:uid="{00000000-0006-0000-0700-000026020000}">
      <text>
        <r>
          <rPr>
            <b/>
            <sz val="8"/>
            <color indexed="81"/>
            <rFont val="Tahoma"/>
            <family val="2"/>
          </rPr>
          <t>Martin Shkreli:</t>
        </r>
        <r>
          <rPr>
            <sz val="8"/>
            <color indexed="81"/>
            <rFont val="Tahoma"/>
            <family val="2"/>
          </rPr>
          <t xml:space="preserve">
215 jpm</t>
        </r>
      </text>
    </comment>
    <comment ref="O66" authorId="1" shapeId="0" xr:uid="{00000000-0006-0000-0700-000027020000}">
      <text>
        <r>
          <rPr>
            <b/>
            <sz val="8"/>
            <color indexed="81"/>
            <rFont val="Tahoma"/>
            <family val="2"/>
          </rPr>
          <t>Martin Shkreli:</t>
        </r>
        <r>
          <rPr>
            <sz val="8"/>
            <color indexed="81"/>
            <rFont val="Tahoma"/>
            <family val="2"/>
          </rPr>
          <t xml:space="preserve">
590 jpm
590 bear</t>
        </r>
      </text>
    </comment>
    <comment ref="P66" authorId="1" shapeId="0" xr:uid="{00000000-0006-0000-0700-000028020000}">
      <text>
        <r>
          <rPr>
            <b/>
            <sz val="8"/>
            <color indexed="81"/>
            <rFont val="Tahoma"/>
            <family val="2"/>
          </rPr>
          <t>Martin Shkreli:</t>
        </r>
        <r>
          <rPr>
            <sz val="8"/>
            <color indexed="81"/>
            <rFont val="Tahoma"/>
            <family val="2"/>
          </rPr>
          <t xml:space="preserve">
554 jpm
555 bear</t>
        </r>
      </text>
    </comment>
    <comment ref="Q66" authorId="1" shapeId="0" xr:uid="{00000000-0006-0000-0700-000029020000}">
      <text>
        <r>
          <rPr>
            <b/>
            <sz val="8"/>
            <color indexed="81"/>
            <rFont val="Tahoma"/>
            <family val="2"/>
          </rPr>
          <t>Martin Shkreli:</t>
        </r>
        <r>
          <rPr>
            <sz val="8"/>
            <color indexed="81"/>
            <rFont val="Tahoma"/>
            <family val="2"/>
          </rPr>
          <t xml:space="preserve">
514 jpm
515 bear</t>
        </r>
      </text>
    </comment>
    <comment ref="R66" authorId="1" shapeId="0" xr:uid="{00000000-0006-0000-0700-00002A020000}">
      <text>
        <r>
          <rPr>
            <b/>
            <sz val="8"/>
            <color indexed="81"/>
            <rFont val="Tahoma"/>
            <family val="2"/>
          </rPr>
          <t>Martin Shkreli:</t>
        </r>
        <r>
          <rPr>
            <sz val="8"/>
            <color indexed="81"/>
            <rFont val="Tahoma"/>
            <family val="2"/>
          </rPr>
          <t xml:space="preserve">
274 jpm
261 bear</t>
        </r>
      </text>
    </comment>
    <comment ref="S66" authorId="1" shapeId="0" xr:uid="{00000000-0006-0000-0700-00002B020000}">
      <text>
        <r>
          <rPr>
            <b/>
            <sz val="8"/>
            <color indexed="81"/>
            <rFont val="Tahoma"/>
            <family val="2"/>
          </rPr>
          <t>Martin Shkreli:</t>
        </r>
        <r>
          <rPr>
            <sz val="8"/>
            <color indexed="81"/>
            <rFont val="Tahoma"/>
            <family val="2"/>
          </rPr>
          <t xml:space="preserve">
665 bear
669 jpm</t>
        </r>
      </text>
    </comment>
    <comment ref="T66" authorId="1" shapeId="0" xr:uid="{00000000-0006-0000-0700-00002C020000}">
      <text>
        <r>
          <rPr>
            <b/>
            <sz val="8"/>
            <color indexed="81"/>
            <rFont val="Tahoma"/>
            <family val="2"/>
          </rPr>
          <t>Martin Shkreli:</t>
        </r>
        <r>
          <rPr>
            <sz val="8"/>
            <color indexed="81"/>
            <rFont val="Tahoma"/>
            <family val="2"/>
          </rPr>
          <t xml:space="preserve">
654 bear</t>
        </r>
      </text>
    </comment>
    <comment ref="U66" authorId="1" shapeId="0" xr:uid="{00000000-0006-0000-0700-00002D020000}">
      <text>
        <r>
          <rPr>
            <b/>
            <sz val="8"/>
            <color indexed="81"/>
            <rFont val="Tahoma"/>
            <family val="2"/>
          </rPr>
          <t>Martin Shkreli:</t>
        </r>
        <r>
          <rPr>
            <sz val="8"/>
            <color indexed="81"/>
            <rFont val="Tahoma"/>
            <family val="2"/>
          </rPr>
          <t xml:space="preserve">
593 bear</t>
        </r>
      </text>
    </comment>
    <comment ref="AA66" authorId="1" shapeId="0" xr:uid="{00000000-0006-0000-0700-00002E020000}">
      <text>
        <r>
          <rPr>
            <b/>
            <sz val="8"/>
            <color indexed="81"/>
            <rFont val="Tahoma"/>
            <family val="2"/>
          </rPr>
          <t>Martin Shkreli:</t>
        </r>
        <r>
          <rPr>
            <sz val="8"/>
            <color indexed="81"/>
            <rFont val="Tahoma"/>
            <family val="2"/>
          </rPr>
          <t xml:space="preserve">
862 bear</t>
        </r>
      </text>
    </comment>
    <comment ref="AI66" authorId="1" shapeId="0" xr:uid="{00000000-0006-0000-0700-00002F020000}">
      <text>
        <r>
          <rPr>
            <b/>
            <sz val="8"/>
            <color indexed="81"/>
            <rFont val="Tahoma"/>
            <family val="2"/>
          </rPr>
          <t>Martin Shkreli:</t>
        </r>
        <r>
          <rPr>
            <sz val="8"/>
            <color indexed="81"/>
            <rFont val="Tahoma"/>
            <family val="2"/>
          </rPr>
          <t xml:space="preserve">
1135 bear</t>
        </r>
      </text>
    </comment>
    <comment ref="AJ66" authorId="1" shapeId="0" xr:uid="{00000000-0006-0000-0700-000030020000}">
      <text>
        <r>
          <rPr>
            <b/>
            <sz val="8"/>
            <color indexed="81"/>
            <rFont val="Tahoma"/>
            <family val="2"/>
          </rPr>
          <t>Martin Shkreli:</t>
        </r>
        <r>
          <rPr>
            <sz val="8"/>
            <color indexed="81"/>
            <rFont val="Tahoma"/>
            <family val="2"/>
          </rPr>
          <t xml:space="preserve">
951 bear</t>
        </r>
      </text>
    </comment>
    <comment ref="AK66" authorId="1" shapeId="0" xr:uid="{00000000-0006-0000-0700-000031020000}">
      <text>
        <r>
          <rPr>
            <b/>
            <sz val="8"/>
            <color indexed="81"/>
            <rFont val="Tahoma"/>
            <family val="2"/>
          </rPr>
          <t>Martin Shkreli:</t>
        </r>
        <r>
          <rPr>
            <sz val="8"/>
            <color indexed="81"/>
            <rFont val="Tahoma"/>
            <family val="2"/>
          </rPr>
          <t xml:space="preserve">
929 bear</t>
        </r>
      </text>
    </comment>
    <comment ref="AL66" authorId="1" shapeId="0" xr:uid="{00000000-0006-0000-0700-000032020000}">
      <text>
        <r>
          <rPr>
            <b/>
            <sz val="8"/>
            <color indexed="81"/>
            <rFont val="Tahoma"/>
            <family val="2"/>
          </rPr>
          <t>Martin Shkreli:</t>
        </r>
        <r>
          <rPr>
            <sz val="8"/>
            <color indexed="81"/>
            <rFont val="Tahoma"/>
            <family val="2"/>
          </rPr>
          <t xml:space="preserve">
455 bear</t>
        </r>
      </text>
    </comment>
    <comment ref="AM66" authorId="1" shapeId="0" xr:uid="{00000000-0006-0000-0700-000033020000}">
      <text>
        <r>
          <rPr>
            <b/>
            <sz val="8"/>
            <color indexed="81"/>
            <rFont val="Tahoma"/>
            <family val="2"/>
          </rPr>
          <t>Martin Shkreli:</t>
        </r>
        <r>
          <rPr>
            <sz val="8"/>
            <color indexed="81"/>
            <rFont val="Tahoma"/>
            <family val="2"/>
          </rPr>
          <t xml:space="preserve">
1064 bear</t>
        </r>
      </text>
    </comment>
    <comment ref="BB66" authorId="0" shapeId="0" xr:uid="{00000000-0006-0000-0700-000034020000}">
      <text>
        <r>
          <rPr>
            <sz val="9"/>
            <color indexed="81"/>
            <rFont val="Tahoma"/>
            <family val="2"/>
          </rPr>
          <t>7c positive impact</t>
        </r>
      </text>
    </comment>
    <comment ref="BD66" authorId="3" shapeId="0" xr:uid="{00000000-0006-0000-0700-000035020000}">
      <text>
        <r>
          <rPr>
            <b/>
            <sz val="9"/>
            <color indexed="81"/>
            <rFont val="Tahoma"/>
            <family val="2"/>
          </rPr>
          <t>MSMB:</t>
        </r>
        <r>
          <rPr>
            <sz val="9"/>
            <color indexed="81"/>
            <rFont val="Tahoma"/>
            <family val="2"/>
          </rPr>
          <t xml:space="preserve">
After-tax litigation benefit of $75m.</t>
        </r>
      </text>
    </comment>
    <comment ref="DI66" authorId="1" shapeId="0" xr:uid="{00000000-0006-0000-0700-000036020000}">
      <text>
        <r>
          <rPr>
            <b/>
            <sz val="8"/>
            <color indexed="81"/>
            <rFont val="Tahoma"/>
            <family val="2"/>
          </rPr>
          <t>Martin Shkreli:</t>
        </r>
        <r>
          <rPr>
            <sz val="8"/>
            <color indexed="81"/>
            <rFont val="Tahoma"/>
            <family val="2"/>
          </rPr>
          <t xml:space="preserve">
494 bear</t>
        </r>
      </text>
    </comment>
    <comment ref="DJ66" authorId="1" shapeId="0" xr:uid="{00000000-0006-0000-0700-000037020000}">
      <text>
        <r>
          <rPr>
            <b/>
            <sz val="8"/>
            <color indexed="81"/>
            <rFont val="Tahoma"/>
            <family val="2"/>
          </rPr>
          <t>Martin Shkreli:</t>
        </r>
        <r>
          <rPr>
            <sz val="8"/>
            <color indexed="81"/>
            <rFont val="Tahoma"/>
            <family val="2"/>
          </rPr>
          <t xml:space="preserve">
531 bear</t>
        </r>
      </text>
    </comment>
    <comment ref="DK66" authorId="1" shapeId="0" xr:uid="{00000000-0006-0000-0700-000038020000}">
      <text>
        <r>
          <rPr>
            <b/>
            <sz val="8"/>
            <color indexed="81"/>
            <rFont val="Tahoma"/>
            <family val="2"/>
          </rPr>
          <t>Martin Shkreli:</t>
        </r>
        <r>
          <rPr>
            <sz val="8"/>
            <color indexed="81"/>
            <rFont val="Tahoma"/>
            <family val="2"/>
          </rPr>
          <t xml:space="preserve">
547 bear</t>
        </r>
      </text>
    </comment>
    <comment ref="DL66" authorId="1" shapeId="0" xr:uid="{00000000-0006-0000-0700-000039020000}">
      <text>
        <r>
          <rPr>
            <b/>
            <sz val="8"/>
            <color indexed="81"/>
            <rFont val="Tahoma"/>
            <family val="2"/>
          </rPr>
          <t>Martin Shkreli:</t>
        </r>
        <r>
          <rPr>
            <sz val="8"/>
            <color indexed="81"/>
            <rFont val="Tahoma"/>
            <family val="2"/>
          </rPr>
          <t xml:space="preserve">
533 bear</t>
        </r>
      </text>
    </comment>
    <comment ref="DM66" authorId="1" shapeId="0" xr:uid="{00000000-0006-0000-0700-00003A020000}">
      <text>
        <r>
          <rPr>
            <b/>
            <sz val="8"/>
            <color indexed="81"/>
            <rFont val="Tahoma"/>
            <family val="2"/>
          </rPr>
          <t>Martin Shkreli:</t>
        </r>
        <r>
          <rPr>
            <sz val="8"/>
            <color indexed="81"/>
            <rFont val="Tahoma"/>
            <family val="2"/>
          </rPr>
          <t xml:space="preserve">
654 bear</t>
        </r>
      </text>
    </comment>
    <comment ref="DN66" authorId="1" shapeId="0" xr:uid="{00000000-0006-0000-0700-00003B020000}">
      <text>
        <r>
          <rPr>
            <b/>
            <sz val="8"/>
            <color indexed="81"/>
            <rFont val="Tahoma"/>
            <family val="2"/>
          </rPr>
          <t>Martin Shkreli:</t>
        </r>
        <r>
          <rPr>
            <sz val="8"/>
            <color indexed="81"/>
            <rFont val="Tahoma"/>
            <family val="2"/>
          </rPr>
          <t xml:space="preserve">
926 bear</t>
        </r>
      </text>
    </comment>
    <comment ref="DO66" authorId="1" shapeId="0" xr:uid="{00000000-0006-0000-0700-00003C020000}">
      <text>
        <r>
          <rPr>
            <b/>
            <sz val="8"/>
            <color indexed="81"/>
            <rFont val="Tahoma"/>
            <family val="2"/>
          </rPr>
          <t>Martin Shkreli:</t>
        </r>
        <r>
          <rPr>
            <sz val="8"/>
            <color indexed="81"/>
            <rFont val="Tahoma"/>
            <family val="2"/>
          </rPr>
          <t xml:space="preserve">
1185 bear</t>
        </r>
      </text>
    </comment>
    <comment ref="DP66" authorId="1" shapeId="0" xr:uid="{00000000-0006-0000-0700-00003D020000}">
      <text>
        <r>
          <rPr>
            <b/>
            <sz val="8"/>
            <color indexed="81"/>
            <rFont val="Tahoma"/>
            <family val="2"/>
          </rPr>
          <t>Martin Shkreli:</t>
        </r>
        <r>
          <rPr>
            <sz val="8"/>
            <color indexed="81"/>
            <rFont val="Tahoma"/>
            <family val="2"/>
          </rPr>
          <t xml:space="preserve">
1237 bear</t>
        </r>
      </text>
    </comment>
    <comment ref="DQ66" authorId="1" shapeId="0" xr:uid="{00000000-0006-0000-0700-00003E020000}">
      <text>
        <r>
          <rPr>
            <b/>
            <sz val="8"/>
            <color indexed="81"/>
            <rFont val="Tahoma"/>
            <family val="2"/>
          </rPr>
          <t>Martin Shkreli:</t>
        </r>
        <r>
          <rPr>
            <sz val="8"/>
            <color indexed="81"/>
            <rFont val="Tahoma"/>
            <family val="2"/>
          </rPr>
          <t xml:space="preserve">
1232 bear</t>
        </r>
      </text>
    </comment>
    <comment ref="DR66" authorId="1" shapeId="0" xr:uid="{00000000-0006-0000-0700-00003F020000}">
      <text>
        <r>
          <rPr>
            <b/>
            <sz val="8"/>
            <color indexed="81"/>
            <rFont val="Tahoma"/>
            <family val="2"/>
          </rPr>
          <t>Martin Shkreli:</t>
        </r>
        <r>
          <rPr>
            <sz val="8"/>
            <color indexed="81"/>
            <rFont val="Tahoma"/>
            <family val="2"/>
          </rPr>
          <t xml:space="preserve">
1609 jpm
1604 bear</t>
        </r>
      </text>
    </comment>
    <comment ref="DS66" authorId="1" shapeId="0" xr:uid="{00000000-0006-0000-0700-000040020000}">
      <text>
        <r>
          <rPr>
            <b/>
            <sz val="8"/>
            <color indexed="81"/>
            <rFont val="Tahoma"/>
            <family val="2"/>
          </rPr>
          <t>Martin Shkreli:</t>
        </r>
        <r>
          <rPr>
            <sz val="8"/>
            <color indexed="81"/>
            <rFont val="Tahoma"/>
            <family val="2"/>
          </rPr>
          <t xml:space="preserve">
1932 jpm
1921 bear</t>
        </r>
      </text>
    </comment>
    <comment ref="DT66" authorId="1" shapeId="0" xr:uid="{00000000-0006-0000-0700-000041020000}">
      <text>
        <r>
          <rPr>
            <b/>
            <sz val="8"/>
            <color indexed="81"/>
            <rFont val="Tahoma"/>
            <family val="2"/>
          </rPr>
          <t>Martin Shkreli:</t>
        </r>
        <r>
          <rPr>
            <sz val="8"/>
            <color indexed="81"/>
            <rFont val="Tahoma"/>
            <family val="2"/>
          </rPr>
          <t xml:space="preserve">
2251 bear</t>
        </r>
      </text>
    </comment>
    <comment ref="DU66" authorId="1" shapeId="0" xr:uid="{00000000-0006-0000-0700-000042020000}">
      <text>
        <r>
          <rPr>
            <b/>
            <sz val="8"/>
            <color indexed="81"/>
            <rFont val="Tahoma"/>
            <family val="2"/>
          </rPr>
          <t>Martin Shkreli:</t>
        </r>
        <r>
          <rPr>
            <sz val="8"/>
            <color indexed="81"/>
            <rFont val="Tahoma"/>
            <family val="2"/>
          </rPr>
          <t xml:space="preserve">
2694 bear</t>
        </r>
      </text>
    </comment>
    <comment ref="DV66" authorId="1" shapeId="0" xr:uid="{00000000-0006-0000-0700-000043020000}">
      <text>
        <r>
          <rPr>
            <b/>
            <sz val="8"/>
            <color indexed="81"/>
            <rFont val="Tahoma"/>
            <family val="2"/>
          </rPr>
          <t>Martin Shkreli:</t>
        </r>
        <r>
          <rPr>
            <sz val="8"/>
            <color indexed="81"/>
            <rFont val="Tahoma"/>
            <family val="2"/>
          </rPr>
          <t xml:space="preserve">
3114 bear</t>
        </r>
      </text>
    </comment>
    <comment ref="DW66" authorId="1" shapeId="0" xr:uid="{00000000-0006-0000-0700-000044020000}">
      <text>
        <r>
          <rPr>
            <b/>
            <sz val="8"/>
            <color indexed="81"/>
            <rFont val="Tahoma"/>
            <family val="2"/>
          </rPr>
          <t>Martin Shkreli:</t>
        </r>
        <r>
          <rPr>
            <sz val="8"/>
            <color indexed="81"/>
            <rFont val="Tahoma"/>
            <family val="2"/>
          </rPr>
          <t xml:space="preserve">
3540 bear</t>
        </r>
      </text>
    </comment>
    <comment ref="DX66" authorId="1" shapeId="0" xr:uid="{00000000-0006-0000-0700-000045020000}">
      <text>
        <r>
          <rPr>
            <b/>
            <sz val="8"/>
            <color indexed="81"/>
            <rFont val="Tahoma"/>
            <family val="2"/>
          </rPr>
          <t>Martin Shkreli:</t>
        </r>
        <r>
          <rPr>
            <sz val="8"/>
            <color indexed="81"/>
            <rFont val="Tahoma"/>
            <family val="2"/>
          </rPr>
          <t xml:space="preserve">
3470 bear</t>
        </r>
      </text>
    </comment>
    <comment ref="K67" authorId="1" shapeId="0" xr:uid="{00000000-0006-0000-0700-000046020000}">
      <text>
        <r>
          <rPr>
            <b/>
            <sz val="8"/>
            <color indexed="81"/>
            <rFont val="Tahoma"/>
            <family val="2"/>
          </rPr>
          <t>Martin Shkreli:</t>
        </r>
        <r>
          <rPr>
            <sz val="8"/>
            <color indexed="81"/>
            <rFont val="Tahoma"/>
            <family val="2"/>
          </rPr>
          <t xml:space="preserve">
1156 jpm</t>
        </r>
      </text>
    </comment>
    <comment ref="L67" authorId="1" shapeId="0" xr:uid="{00000000-0006-0000-0700-000047020000}">
      <text>
        <r>
          <rPr>
            <b/>
            <sz val="8"/>
            <color indexed="81"/>
            <rFont val="Tahoma"/>
            <family val="2"/>
          </rPr>
          <t>Martin Shkreli:</t>
        </r>
        <r>
          <rPr>
            <sz val="8"/>
            <color indexed="81"/>
            <rFont val="Tahoma"/>
            <family val="2"/>
          </rPr>
          <t xml:space="preserve">
1204 jpm</t>
        </r>
      </text>
    </comment>
    <comment ref="M67" authorId="1" shapeId="0" xr:uid="{00000000-0006-0000-0700-000048020000}">
      <text>
        <r>
          <rPr>
            <b/>
            <sz val="8"/>
            <color indexed="81"/>
            <rFont val="Tahoma"/>
            <family val="2"/>
          </rPr>
          <t>Martin Shkreli:</t>
        </r>
        <r>
          <rPr>
            <sz val="8"/>
            <color indexed="81"/>
            <rFont val="Tahoma"/>
            <family val="2"/>
          </rPr>
          <t xml:space="preserve">
1165 jpm</t>
        </r>
      </text>
    </comment>
    <comment ref="N67" authorId="1" shapeId="0" xr:uid="{00000000-0006-0000-0700-000049020000}">
      <text>
        <r>
          <rPr>
            <b/>
            <sz val="8"/>
            <color indexed="81"/>
            <rFont val="Tahoma"/>
            <family val="2"/>
          </rPr>
          <t>Martin Shkreli:</t>
        </r>
        <r>
          <rPr>
            <sz val="8"/>
            <color indexed="81"/>
            <rFont val="Tahoma"/>
            <family val="2"/>
          </rPr>
          <t xml:space="preserve">
763 jpm</t>
        </r>
      </text>
    </comment>
    <comment ref="O67" authorId="1" shapeId="0" xr:uid="{00000000-0006-0000-0700-00004A020000}">
      <text>
        <r>
          <rPr>
            <b/>
            <sz val="8"/>
            <color indexed="81"/>
            <rFont val="Tahoma"/>
            <family val="2"/>
          </rPr>
          <t>Martin Shkreli:</t>
        </r>
        <r>
          <rPr>
            <sz val="8"/>
            <color indexed="81"/>
            <rFont val="Tahoma"/>
            <family val="2"/>
          </rPr>
          <t xml:space="preserve">
1346 jpm
1346 bear</t>
        </r>
      </text>
    </comment>
    <comment ref="P67" authorId="1" shapeId="0" xr:uid="{00000000-0006-0000-0700-00004B020000}">
      <text>
        <r>
          <rPr>
            <b/>
            <sz val="8"/>
            <color indexed="81"/>
            <rFont val="Tahoma"/>
            <family val="2"/>
          </rPr>
          <t>Martin Shkreli:</t>
        </r>
        <r>
          <rPr>
            <sz val="8"/>
            <color indexed="81"/>
            <rFont val="Tahoma"/>
            <family val="2"/>
          </rPr>
          <t xml:space="preserve">
1373 jpm
1372 bear</t>
        </r>
      </text>
    </comment>
    <comment ref="Q67" authorId="1" shapeId="0" xr:uid="{00000000-0006-0000-0700-00004C020000}">
      <text>
        <r>
          <rPr>
            <b/>
            <sz val="8"/>
            <color indexed="81"/>
            <rFont val="Tahoma"/>
            <family val="2"/>
          </rPr>
          <t>Martin Shkreli:</t>
        </r>
        <r>
          <rPr>
            <sz val="8"/>
            <color indexed="81"/>
            <rFont val="Tahoma"/>
            <family val="2"/>
          </rPr>
          <t xml:space="preserve">
1334 jpm
1333 bear</t>
        </r>
      </text>
    </comment>
    <comment ref="R67" authorId="1" shapeId="0" xr:uid="{00000000-0006-0000-0700-00004D020000}">
      <text>
        <r>
          <rPr>
            <b/>
            <sz val="8"/>
            <color indexed="81"/>
            <rFont val="Tahoma"/>
            <family val="2"/>
          </rPr>
          <t>Martin Shkreli:</t>
        </r>
        <r>
          <rPr>
            <sz val="8"/>
            <color indexed="81"/>
            <rFont val="Tahoma"/>
            <family val="2"/>
          </rPr>
          <t xml:space="preserve">
946 jpm
993 bear</t>
        </r>
      </text>
    </comment>
    <comment ref="S67" authorId="1" shapeId="0" xr:uid="{00000000-0006-0000-0700-00004E020000}">
      <text>
        <r>
          <rPr>
            <b/>
            <sz val="8"/>
            <color indexed="81"/>
            <rFont val="Tahoma"/>
            <family val="2"/>
          </rPr>
          <t>Martin Shkreli:</t>
        </r>
        <r>
          <rPr>
            <sz val="8"/>
            <color indexed="81"/>
            <rFont val="Tahoma"/>
            <family val="2"/>
          </rPr>
          <t xml:space="preserve">
1553 bear</t>
        </r>
      </text>
    </comment>
    <comment ref="T67" authorId="1" shapeId="0" xr:uid="{00000000-0006-0000-0700-00004F020000}">
      <text>
        <r>
          <rPr>
            <b/>
            <sz val="8"/>
            <color indexed="81"/>
            <rFont val="Tahoma"/>
            <family val="2"/>
          </rPr>
          <t>Martin Shkreli:</t>
        </r>
        <r>
          <rPr>
            <sz val="8"/>
            <color indexed="81"/>
            <rFont val="Tahoma"/>
            <family val="2"/>
          </rPr>
          <t xml:space="preserve">
1584 bear</t>
        </r>
      </text>
    </comment>
    <comment ref="U67" authorId="1" shapeId="0" xr:uid="{00000000-0006-0000-0700-000050020000}">
      <text>
        <r>
          <rPr>
            <b/>
            <sz val="8"/>
            <color indexed="81"/>
            <rFont val="Tahoma"/>
            <family val="2"/>
          </rPr>
          <t>Martin Shkreli:</t>
        </r>
        <r>
          <rPr>
            <sz val="8"/>
            <color indexed="81"/>
            <rFont val="Tahoma"/>
            <family val="2"/>
          </rPr>
          <t xml:space="preserve">
1553 bear</t>
        </r>
      </text>
    </comment>
    <comment ref="AA67" authorId="1" shapeId="0" xr:uid="{00000000-0006-0000-0700-000051020000}">
      <text>
        <r>
          <rPr>
            <b/>
            <sz val="8"/>
            <color indexed="81"/>
            <rFont val="Tahoma"/>
            <family val="2"/>
          </rPr>
          <t>Martin Shkreli:</t>
        </r>
        <r>
          <rPr>
            <sz val="8"/>
            <color indexed="81"/>
            <rFont val="Tahoma"/>
            <family val="2"/>
          </rPr>
          <t xml:space="preserve">
2084 bear</t>
        </r>
      </text>
    </comment>
    <comment ref="AD67" authorId="1" shapeId="0" xr:uid="{00000000-0006-0000-0700-000052020000}">
      <text>
        <r>
          <rPr>
            <b/>
            <sz val="8"/>
            <color indexed="81"/>
            <rFont val="Tahoma"/>
            <family val="2"/>
          </rPr>
          <t>Martin Shkreli:</t>
        </r>
        <r>
          <rPr>
            <sz val="8"/>
            <color indexed="81"/>
            <rFont val="Tahoma"/>
            <family val="2"/>
          </rPr>
          <t xml:space="preserve">
1703 bear</t>
        </r>
      </text>
    </comment>
    <comment ref="AI67" authorId="1" shapeId="0" xr:uid="{00000000-0006-0000-0700-000053020000}">
      <text>
        <r>
          <rPr>
            <b/>
            <sz val="8"/>
            <color indexed="81"/>
            <rFont val="Tahoma"/>
            <family val="2"/>
          </rPr>
          <t>Martin Shkreli:</t>
        </r>
        <r>
          <rPr>
            <sz val="8"/>
            <color indexed="81"/>
            <rFont val="Tahoma"/>
            <family val="2"/>
          </rPr>
          <t xml:space="preserve">
2927 bear</t>
        </r>
      </text>
    </comment>
    <comment ref="AJ67" authorId="1" shapeId="0" xr:uid="{00000000-0006-0000-0700-000054020000}">
      <text>
        <r>
          <rPr>
            <b/>
            <sz val="8"/>
            <color indexed="81"/>
            <rFont val="Tahoma"/>
            <family val="2"/>
          </rPr>
          <t>Martin Shkreli:</t>
        </r>
        <r>
          <rPr>
            <sz val="8"/>
            <color indexed="81"/>
            <rFont val="Tahoma"/>
            <family val="2"/>
          </rPr>
          <t xml:space="preserve">
2804 bear</t>
        </r>
      </text>
    </comment>
    <comment ref="AK67" authorId="1" shapeId="0" xr:uid="{00000000-0006-0000-0700-000055020000}">
      <text>
        <r>
          <rPr>
            <b/>
            <sz val="8"/>
            <color indexed="81"/>
            <rFont val="Tahoma"/>
            <family val="2"/>
          </rPr>
          <t>Martin Shkreli:</t>
        </r>
        <r>
          <rPr>
            <sz val="8"/>
            <color indexed="81"/>
            <rFont val="Tahoma"/>
            <family val="2"/>
          </rPr>
          <t xml:space="preserve">
2625 bear</t>
        </r>
      </text>
    </comment>
    <comment ref="AL67" authorId="1" shapeId="0" xr:uid="{00000000-0006-0000-0700-000056020000}">
      <text>
        <r>
          <rPr>
            <b/>
            <sz val="8"/>
            <color indexed="81"/>
            <rFont val="Tahoma"/>
            <family val="2"/>
          </rPr>
          <t>Martin Shkreli:</t>
        </r>
        <r>
          <rPr>
            <sz val="8"/>
            <color indexed="81"/>
            <rFont val="Tahoma"/>
            <family val="2"/>
          </rPr>
          <t xml:space="preserve">
2192 bear</t>
        </r>
      </text>
    </comment>
    <comment ref="AM67" authorId="1" shapeId="0" xr:uid="{00000000-0006-0000-0700-000057020000}">
      <text>
        <r>
          <rPr>
            <b/>
            <sz val="8"/>
            <color indexed="81"/>
            <rFont val="Tahoma"/>
            <family val="2"/>
          </rPr>
          <t>Martin Shkreli:</t>
        </r>
        <r>
          <rPr>
            <sz val="8"/>
            <color indexed="81"/>
            <rFont val="Tahoma"/>
            <family val="2"/>
          </rPr>
          <t xml:space="preserve">
2966 bear</t>
        </r>
      </text>
    </comment>
    <comment ref="BI67" authorId="4"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67" authorId="31"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67" authorId="32"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67" authorId="33"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67" authorId="34"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67" authorId="35"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67" authorId="36"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67" authorId="37"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67" authorId="38"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I67" authorId="1" shapeId="0" xr:uid="{00000000-0006-0000-0700-000059020000}">
      <text>
        <r>
          <rPr>
            <b/>
            <sz val="8"/>
            <color indexed="81"/>
            <rFont val="Tahoma"/>
            <family val="2"/>
          </rPr>
          <t>Martin Shkreli:</t>
        </r>
        <r>
          <rPr>
            <sz val="8"/>
            <color indexed="81"/>
            <rFont val="Tahoma"/>
            <family val="2"/>
          </rPr>
          <t xml:space="preserve">
1168 bear</t>
        </r>
      </text>
    </comment>
    <comment ref="DJ67" authorId="1" shapeId="0" xr:uid="{00000000-0006-0000-0700-00005A020000}">
      <text>
        <r>
          <rPr>
            <b/>
            <sz val="8"/>
            <color indexed="81"/>
            <rFont val="Tahoma"/>
            <family val="2"/>
          </rPr>
          <t>Martin Shkreli:</t>
        </r>
        <r>
          <rPr>
            <sz val="8"/>
            <color indexed="81"/>
            <rFont val="Tahoma"/>
            <family val="2"/>
          </rPr>
          <t xml:space="preserve">
1441 bear</t>
        </r>
      </text>
    </comment>
    <comment ref="DK67" authorId="1" shapeId="0" xr:uid="{00000000-0006-0000-0700-00005B020000}">
      <text>
        <r>
          <rPr>
            <b/>
            <sz val="8"/>
            <color indexed="81"/>
            <rFont val="Tahoma"/>
            <family val="2"/>
          </rPr>
          <t>Martin Shkreli:</t>
        </r>
        <r>
          <rPr>
            <sz val="8"/>
            <color indexed="81"/>
            <rFont val="Tahoma"/>
            <family val="2"/>
          </rPr>
          <t xml:space="preserve">
1572 bear</t>
        </r>
      </text>
    </comment>
    <comment ref="DL67" authorId="1" shapeId="0" xr:uid="{00000000-0006-0000-0700-00005C020000}">
      <text>
        <r>
          <rPr>
            <b/>
            <sz val="8"/>
            <color indexed="81"/>
            <rFont val="Tahoma"/>
            <family val="2"/>
          </rPr>
          <t>Martin Shkreli:</t>
        </r>
        <r>
          <rPr>
            <sz val="8"/>
            <color indexed="81"/>
            <rFont val="Tahoma"/>
            <family val="2"/>
          </rPr>
          <t xml:space="preserve">
1786 bear</t>
        </r>
      </text>
    </comment>
    <comment ref="DM67" authorId="1" shapeId="0" xr:uid="{00000000-0006-0000-0700-00005D020000}">
      <text>
        <r>
          <rPr>
            <b/>
            <sz val="8"/>
            <color indexed="81"/>
            <rFont val="Tahoma"/>
            <family val="2"/>
          </rPr>
          <t>Martin Shkreli:</t>
        </r>
        <r>
          <rPr>
            <sz val="8"/>
            <color indexed="81"/>
            <rFont val="Tahoma"/>
            <family val="2"/>
          </rPr>
          <t xml:space="preserve">
1998 bear</t>
        </r>
      </text>
    </comment>
    <comment ref="DN67" authorId="1" shapeId="0" xr:uid="{00000000-0006-0000-0700-00005E020000}">
      <text>
        <r>
          <rPr>
            <b/>
            <sz val="8"/>
            <color indexed="81"/>
            <rFont val="Tahoma"/>
            <family val="2"/>
          </rPr>
          <t>Martin Shkreli:</t>
        </r>
        <r>
          <rPr>
            <sz val="8"/>
            <color indexed="81"/>
            <rFont val="Tahoma"/>
            <family val="2"/>
          </rPr>
          <t xml:space="preserve">
2418 bear</t>
        </r>
      </text>
    </comment>
    <comment ref="DO67" authorId="1" shapeId="0" xr:uid="{00000000-0006-0000-0700-00005F020000}">
      <text>
        <r>
          <rPr>
            <b/>
            <sz val="8"/>
            <color indexed="81"/>
            <rFont val="Tahoma"/>
            <family val="2"/>
          </rPr>
          <t>Martin Shkreli:</t>
        </r>
        <r>
          <rPr>
            <sz val="8"/>
            <color indexed="81"/>
            <rFont val="Tahoma"/>
            <family val="2"/>
          </rPr>
          <t xml:space="preserve">
2958 bear</t>
        </r>
      </text>
    </comment>
    <comment ref="DP67" authorId="1" shapeId="0" xr:uid="{00000000-0006-0000-0700-000060020000}">
      <text>
        <r>
          <rPr>
            <b/>
            <sz val="8"/>
            <color indexed="81"/>
            <rFont val="Tahoma"/>
            <family val="2"/>
          </rPr>
          <t>Martin Shkreli:</t>
        </r>
        <r>
          <rPr>
            <sz val="8"/>
            <color indexed="81"/>
            <rFont val="Tahoma"/>
            <family val="2"/>
          </rPr>
          <t xml:space="preserve">
3471 bear</t>
        </r>
      </text>
    </comment>
    <comment ref="DQ67" authorId="1" shapeId="0" xr:uid="{00000000-0006-0000-0700-000061020000}">
      <text>
        <r>
          <rPr>
            <b/>
            <sz val="8"/>
            <color indexed="81"/>
            <rFont val="Tahoma"/>
            <family val="2"/>
          </rPr>
          <t>Martin Shkreli:</t>
        </r>
        <r>
          <rPr>
            <sz val="8"/>
            <color indexed="81"/>
            <rFont val="Tahoma"/>
            <family val="2"/>
          </rPr>
          <t xml:space="preserve">
3952 bear</t>
        </r>
      </text>
    </comment>
    <comment ref="DR67" authorId="1" shapeId="0" xr:uid="{00000000-0006-0000-0700-000062020000}">
      <text>
        <r>
          <rPr>
            <b/>
            <sz val="8"/>
            <color indexed="81"/>
            <rFont val="Tahoma"/>
            <family val="2"/>
          </rPr>
          <t>Martin Shkreli:</t>
        </r>
        <r>
          <rPr>
            <sz val="8"/>
            <color indexed="81"/>
            <rFont val="Tahoma"/>
            <family val="2"/>
          </rPr>
          <t xml:space="preserve">
4287 jpm
4273 bear</t>
        </r>
      </text>
    </comment>
    <comment ref="DS67" authorId="1" shapeId="0" xr:uid="{00000000-0006-0000-0700-000063020000}">
      <text>
        <r>
          <rPr>
            <b/>
            <sz val="8"/>
            <color indexed="81"/>
            <rFont val="Tahoma"/>
            <family val="2"/>
          </rPr>
          <t>Martin Shkreli:</t>
        </r>
        <r>
          <rPr>
            <sz val="8"/>
            <color indexed="81"/>
            <rFont val="Tahoma"/>
            <family val="2"/>
          </rPr>
          <t xml:space="preserve">
4998 jpm
5043 bear</t>
        </r>
      </text>
    </comment>
    <comment ref="DT67" authorId="1" shapeId="0" xr:uid="{00000000-0006-0000-0700-000064020000}">
      <text>
        <r>
          <rPr>
            <b/>
            <sz val="8"/>
            <color indexed="81"/>
            <rFont val="Tahoma"/>
            <family val="2"/>
          </rPr>
          <t>Martin Shkreli:</t>
        </r>
        <r>
          <rPr>
            <sz val="8"/>
            <color indexed="81"/>
            <rFont val="Tahoma"/>
            <family val="2"/>
          </rPr>
          <t xml:space="preserve">
5900 bear</t>
        </r>
      </text>
    </comment>
    <comment ref="DU67" authorId="1" shapeId="0" xr:uid="{00000000-0006-0000-0700-000065020000}">
      <text>
        <r>
          <rPr>
            <b/>
            <sz val="8"/>
            <color indexed="81"/>
            <rFont val="Tahoma"/>
            <family val="2"/>
          </rPr>
          <t>Martin Shkreli:</t>
        </r>
        <r>
          <rPr>
            <sz val="8"/>
            <color indexed="81"/>
            <rFont val="Tahoma"/>
            <family val="2"/>
          </rPr>
          <t xml:space="preserve">
6786 bear</t>
        </r>
      </text>
    </comment>
    <comment ref="DV67" authorId="1" shapeId="0" xr:uid="{00000000-0006-0000-0700-000066020000}">
      <text>
        <r>
          <rPr>
            <b/>
            <sz val="8"/>
            <color indexed="81"/>
            <rFont val="Tahoma"/>
            <family val="2"/>
          </rPr>
          <t>Martin Shkreli:</t>
        </r>
        <r>
          <rPr>
            <sz val="8"/>
            <color indexed="81"/>
            <rFont val="Tahoma"/>
            <family val="2"/>
          </rPr>
          <t xml:space="preserve">
7970 bear</t>
        </r>
      </text>
    </comment>
    <comment ref="DW67" authorId="1" shapeId="0" xr:uid="{00000000-0006-0000-0700-000067020000}">
      <text>
        <r>
          <rPr>
            <b/>
            <sz val="8"/>
            <color indexed="81"/>
            <rFont val="Tahoma"/>
            <family val="2"/>
          </rPr>
          <t>Martin Shkreli:</t>
        </r>
        <r>
          <rPr>
            <sz val="8"/>
            <color indexed="81"/>
            <rFont val="Tahoma"/>
            <family val="2"/>
          </rPr>
          <t xml:space="preserve">
9315 bear</t>
        </r>
      </text>
    </comment>
    <comment ref="DX67" authorId="1" shapeId="0" xr:uid="{00000000-0006-0000-0700-000068020000}">
      <text>
        <r>
          <rPr>
            <b/>
            <sz val="8"/>
            <color indexed="81"/>
            <rFont val="Tahoma"/>
            <family val="2"/>
          </rPr>
          <t>Martin Shkreli:</t>
        </r>
        <r>
          <rPr>
            <sz val="8"/>
            <color indexed="81"/>
            <rFont val="Tahoma"/>
            <family val="2"/>
          </rPr>
          <t xml:space="preserve">
10547 bear</t>
        </r>
      </text>
    </comment>
    <comment ref="EA67" authorId="1" shapeId="0" xr:uid="{00000000-0006-0000-0700-000069020000}">
      <text>
        <r>
          <rPr>
            <b/>
            <sz val="8"/>
            <color indexed="81"/>
            <rFont val="Tahoma"/>
            <family val="2"/>
          </rPr>
          <t>Martin Shkreli:</t>
        </r>
        <r>
          <rPr>
            <sz val="8"/>
            <color indexed="81"/>
            <rFont val="Tahoma"/>
            <family val="2"/>
          </rPr>
          <t xml:space="preserve">
12.949bn official #</t>
        </r>
      </text>
    </comment>
    <comment ref="K68" authorId="1" shapeId="0" xr:uid="{00000000-0006-0000-0700-00006A020000}">
      <text>
        <r>
          <rPr>
            <b/>
            <sz val="8"/>
            <color indexed="81"/>
            <rFont val="Tahoma"/>
            <family val="2"/>
          </rPr>
          <t>Martin Shkreli:</t>
        </r>
        <r>
          <rPr>
            <sz val="8"/>
            <color indexed="81"/>
            <rFont val="Tahoma"/>
            <family val="2"/>
          </rPr>
          <t xml:space="preserve">
0.37 jpm</t>
        </r>
      </text>
    </comment>
    <comment ref="L68" authorId="1" shapeId="0" xr:uid="{00000000-0006-0000-0700-00006B020000}">
      <text>
        <r>
          <rPr>
            <b/>
            <sz val="8"/>
            <color indexed="81"/>
            <rFont val="Tahoma"/>
            <family val="2"/>
          </rPr>
          <t>Martin Shkreli:</t>
        </r>
        <r>
          <rPr>
            <sz val="8"/>
            <color indexed="81"/>
            <rFont val="Tahoma"/>
            <family val="2"/>
          </rPr>
          <t xml:space="preserve">
0.39 jpm</t>
        </r>
      </text>
    </comment>
    <comment ref="M68" authorId="1" shapeId="0" xr:uid="{00000000-0006-0000-0700-00006C020000}">
      <text>
        <r>
          <rPr>
            <b/>
            <sz val="8"/>
            <color indexed="81"/>
            <rFont val="Tahoma"/>
            <family val="2"/>
          </rPr>
          <t>Martin Shkreli:</t>
        </r>
        <r>
          <rPr>
            <sz val="8"/>
            <color indexed="81"/>
            <rFont val="Tahoma"/>
            <family val="2"/>
          </rPr>
          <t xml:space="preserve">
0.38 jpm</t>
        </r>
      </text>
    </comment>
    <comment ref="N68" authorId="1" shapeId="0" xr:uid="{00000000-0006-0000-0700-00006D020000}">
      <text>
        <r>
          <rPr>
            <b/>
            <sz val="8"/>
            <color indexed="81"/>
            <rFont val="Tahoma"/>
            <family val="2"/>
          </rPr>
          <t>Martin Shkreli:</t>
        </r>
        <r>
          <rPr>
            <sz val="8"/>
            <color indexed="81"/>
            <rFont val="Tahoma"/>
            <family val="2"/>
          </rPr>
          <t xml:space="preserve">
0.25 jpm</t>
        </r>
      </text>
    </comment>
    <comment ref="O68" authorId="1" shapeId="0" xr:uid="{00000000-0006-0000-0700-00006E020000}">
      <text>
        <r>
          <rPr>
            <b/>
            <sz val="8"/>
            <color indexed="81"/>
            <rFont val="Tahoma"/>
            <family val="2"/>
          </rPr>
          <t>Martin Shkreli:</t>
        </r>
        <r>
          <rPr>
            <sz val="8"/>
            <color indexed="81"/>
            <rFont val="Tahoma"/>
            <family val="2"/>
          </rPr>
          <t xml:space="preserve">
0.44 jpm
0.44 bear</t>
        </r>
      </text>
    </comment>
    <comment ref="P68" authorId="1" shapeId="0" xr:uid="{00000000-0006-0000-0700-00006F020000}">
      <text>
        <r>
          <rPr>
            <b/>
            <sz val="8"/>
            <color indexed="81"/>
            <rFont val="Tahoma"/>
            <family val="2"/>
          </rPr>
          <t>Martin Shkreli:</t>
        </r>
        <r>
          <rPr>
            <sz val="8"/>
            <color indexed="81"/>
            <rFont val="Tahoma"/>
            <family val="2"/>
          </rPr>
          <t xml:space="preserve">
0.44 jpm
0.44 bear</t>
        </r>
      </text>
    </comment>
    <comment ref="Q68" authorId="1" shapeId="0" xr:uid="{00000000-0006-0000-0700-000070020000}">
      <text>
        <r>
          <rPr>
            <b/>
            <sz val="8"/>
            <color indexed="81"/>
            <rFont val="Tahoma"/>
            <family val="2"/>
          </rPr>
          <t>Martin Shkreli:</t>
        </r>
        <r>
          <rPr>
            <sz val="8"/>
            <color indexed="81"/>
            <rFont val="Tahoma"/>
            <family val="2"/>
          </rPr>
          <t xml:space="preserve">
0.43 jpm
0.43 bear</t>
        </r>
      </text>
    </comment>
    <comment ref="R68" authorId="1" shapeId="0" xr:uid="{00000000-0006-0000-0700-000071020000}">
      <text>
        <r>
          <rPr>
            <b/>
            <sz val="8"/>
            <color indexed="81"/>
            <rFont val="Tahoma"/>
            <family val="2"/>
          </rPr>
          <t>Martin Shkreli:</t>
        </r>
        <r>
          <rPr>
            <sz val="8"/>
            <color indexed="81"/>
            <rFont val="Tahoma"/>
            <family val="2"/>
          </rPr>
          <t xml:space="preserve">
0.32 jpm
0.32 bear</t>
        </r>
      </text>
    </comment>
    <comment ref="S68" authorId="1" shapeId="0" xr:uid="{00000000-0006-0000-0700-000072020000}">
      <text>
        <r>
          <rPr>
            <b/>
            <sz val="8"/>
            <color indexed="81"/>
            <rFont val="Tahoma"/>
            <family val="2"/>
          </rPr>
          <t>Martin Shkreli:</t>
        </r>
        <r>
          <rPr>
            <sz val="8"/>
            <color indexed="81"/>
            <rFont val="Tahoma"/>
            <family val="2"/>
          </rPr>
          <t xml:space="preserve">
0.50 bear</t>
        </r>
      </text>
    </comment>
    <comment ref="T68" authorId="1" shapeId="0" xr:uid="{00000000-0006-0000-0700-000073020000}">
      <text>
        <r>
          <rPr>
            <b/>
            <sz val="8"/>
            <color indexed="81"/>
            <rFont val="Tahoma"/>
            <family val="2"/>
          </rPr>
          <t>Martin Shkreli:</t>
        </r>
        <r>
          <rPr>
            <sz val="8"/>
            <color indexed="81"/>
            <rFont val="Tahoma"/>
            <family val="2"/>
          </rPr>
          <t xml:space="preserve">
0.51 bear</t>
        </r>
      </text>
    </comment>
    <comment ref="U68" authorId="1" shapeId="0" xr:uid="{00000000-0006-0000-0700-000074020000}">
      <text>
        <r>
          <rPr>
            <b/>
            <sz val="8"/>
            <color indexed="81"/>
            <rFont val="Tahoma"/>
            <family val="2"/>
          </rPr>
          <t>Martin Shkreli:</t>
        </r>
        <r>
          <rPr>
            <sz val="8"/>
            <color indexed="81"/>
            <rFont val="Tahoma"/>
            <family val="2"/>
          </rPr>
          <t xml:space="preserve">
 0.50 bear</t>
        </r>
      </text>
    </comment>
    <comment ref="X68" authorId="1" shapeId="0" xr:uid="{00000000-0006-0000-0700-000075020000}">
      <text>
        <r>
          <rPr>
            <b/>
            <sz val="8"/>
            <color indexed="81"/>
            <rFont val="Tahoma"/>
            <family val="2"/>
          </rPr>
          <t>Martin Shkreli:</t>
        </r>
        <r>
          <rPr>
            <sz val="8"/>
            <color indexed="81"/>
            <rFont val="Tahoma"/>
            <family val="2"/>
          </rPr>
          <t xml:space="preserve">
0.60 bear</t>
        </r>
      </text>
    </comment>
    <comment ref="AD68" authorId="1" shapeId="0" xr:uid="{00000000-0006-0000-0700-000076020000}">
      <text>
        <r>
          <rPr>
            <b/>
            <sz val="8"/>
            <color indexed="81"/>
            <rFont val="Tahoma"/>
            <family val="2"/>
          </rPr>
          <t>Martin Shkreli:</t>
        </r>
        <r>
          <rPr>
            <sz val="8"/>
            <color indexed="81"/>
            <rFont val="Tahoma"/>
            <family val="2"/>
          </rPr>
          <t xml:space="preserve">
0.57 bear</t>
        </r>
      </text>
    </comment>
    <comment ref="AI68" authorId="1" shapeId="0" xr:uid="{00000000-0006-0000-0700-000077020000}">
      <text>
        <r>
          <rPr>
            <b/>
            <sz val="8"/>
            <color indexed="81"/>
            <rFont val="Tahoma"/>
            <family val="2"/>
          </rPr>
          <t>Martin Shkreli:</t>
        </r>
        <r>
          <rPr>
            <sz val="8"/>
            <color indexed="81"/>
            <rFont val="Tahoma"/>
            <family val="2"/>
          </rPr>
          <t xml:space="preserve">
0.97 bear</t>
        </r>
      </text>
    </comment>
    <comment ref="AJ68" authorId="1" shapeId="0" xr:uid="{00000000-0006-0000-0700-000078020000}">
      <text>
        <r>
          <rPr>
            <b/>
            <sz val="8"/>
            <color indexed="81"/>
            <rFont val="Tahoma"/>
            <family val="2"/>
          </rPr>
          <t>Martin Shkreli:</t>
        </r>
        <r>
          <rPr>
            <sz val="8"/>
            <color indexed="81"/>
            <rFont val="Tahoma"/>
            <family val="2"/>
          </rPr>
          <t xml:space="preserve">
0.93 bear</t>
        </r>
      </text>
    </comment>
    <comment ref="AK68" authorId="1" shapeId="0" xr:uid="{00000000-0006-0000-0700-000079020000}">
      <text>
        <r>
          <rPr>
            <b/>
            <sz val="8"/>
            <color indexed="81"/>
            <rFont val="Tahoma"/>
            <family val="2"/>
          </rPr>
          <t>Martin Shkreli:</t>
        </r>
        <r>
          <rPr>
            <sz val="8"/>
            <color indexed="81"/>
            <rFont val="Tahoma"/>
            <family val="2"/>
          </rPr>
          <t xml:space="preserve">
0.87 bear</t>
        </r>
      </text>
    </comment>
    <comment ref="AL68" authorId="1" shapeId="0" xr:uid="{00000000-0006-0000-0700-00007A020000}">
      <text>
        <r>
          <rPr>
            <b/>
            <sz val="8"/>
            <color indexed="81"/>
            <rFont val="Tahoma"/>
            <family val="2"/>
          </rPr>
          <t>Martin Shkreli:</t>
        </r>
        <r>
          <rPr>
            <sz val="8"/>
            <color indexed="81"/>
            <rFont val="Tahoma"/>
            <family val="2"/>
          </rPr>
          <t xml:space="preserve">
0.73 bear</t>
        </r>
      </text>
    </comment>
    <comment ref="AM68" authorId="1" shapeId="0" xr:uid="{00000000-0006-0000-0700-00007B020000}">
      <text>
        <r>
          <rPr>
            <b/>
            <sz val="8"/>
            <color indexed="81"/>
            <rFont val="Tahoma"/>
            <family val="2"/>
          </rPr>
          <t>Martin Shkreli:</t>
        </r>
        <r>
          <rPr>
            <sz val="8"/>
            <color indexed="81"/>
            <rFont val="Tahoma"/>
            <family val="2"/>
          </rPr>
          <t xml:space="preserve">
0.99 bear</t>
        </r>
      </text>
    </comment>
    <comment ref="AQ68" authorId="2"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68" authorId="1" shapeId="0" xr:uid="{00000000-0006-0000-0700-00007D020000}">
      <text>
        <r>
          <rPr>
            <b/>
            <sz val="8"/>
            <color indexed="81"/>
            <rFont val="Tahoma"/>
            <family val="2"/>
          </rPr>
          <t>Martin Shkreli:</t>
        </r>
        <r>
          <rPr>
            <sz val="8"/>
            <color indexed="81"/>
            <rFont val="Tahoma"/>
            <family val="2"/>
          </rPr>
          <t xml:space="preserve">
0.06 negative currency impact</t>
        </r>
      </text>
    </comment>
    <comment ref="BB68" authorId="4" shapeId="0" xr:uid="{00000000-0006-0000-0700-00007E020000}">
      <text>
        <r>
          <rPr>
            <b/>
            <sz val="9"/>
            <color indexed="81"/>
            <rFont val="Tahoma"/>
            <family val="2"/>
          </rPr>
          <t>Martin:</t>
        </r>
        <r>
          <rPr>
            <sz val="9"/>
            <color indexed="81"/>
            <rFont val="Tahoma"/>
            <family val="2"/>
          </rPr>
          <t xml:space="preserve">
1.02 adjusted earnings</t>
        </r>
      </text>
    </comment>
    <comment ref="DI68" authorId="1" shapeId="0" xr:uid="{00000000-0006-0000-0700-00007F020000}">
      <text>
        <r>
          <rPr>
            <b/>
            <sz val="8"/>
            <color indexed="81"/>
            <rFont val="Tahoma"/>
            <family val="2"/>
          </rPr>
          <t>Martin Shkreli:</t>
        </r>
        <r>
          <rPr>
            <sz val="8"/>
            <color indexed="81"/>
            <rFont val="Tahoma"/>
            <family val="2"/>
          </rPr>
          <t xml:space="preserve">
0.48 bear</t>
        </r>
      </text>
    </comment>
    <comment ref="DJ68" authorId="1" shapeId="0" xr:uid="{00000000-0006-0000-0700-000080020000}">
      <text>
        <r>
          <rPr>
            <b/>
            <sz val="8"/>
            <color indexed="81"/>
            <rFont val="Tahoma"/>
            <family val="2"/>
          </rPr>
          <t>Martin Shkreli:</t>
        </r>
        <r>
          <rPr>
            <sz val="8"/>
            <color indexed="81"/>
            <rFont val="Tahoma"/>
            <family val="2"/>
          </rPr>
          <t xml:space="preserve">
0.55 bear</t>
        </r>
      </text>
    </comment>
    <comment ref="DK68" authorId="1" shapeId="0" xr:uid="{00000000-0006-0000-0700-000081020000}">
      <text>
        <r>
          <rPr>
            <b/>
            <sz val="8"/>
            <color indexed="81"/>
            <rFont val="Tahoma"/>
            <family val="2"/>
          </rPr>
          <t>Martin Shkreli:</t>
        </r>
        <r>
          <rPr>
            <sz val="8"/>
            <color indexed="81"/>
            <rFont val="Tahoma"/>
            <family val="2"/>
          </rPr>
          <t xml:space="preserve">
0.63 bear</t>
        </r>
      </text>
    </comment>
    <comment ref="DL68" authorId="1" shapeId="0" xr:uid="{00000000-0006-0000-0700-000082020000}">
      <text>
        <r>
          <rPr>
            <b/>
            <sz val="8"/>
            <color indexed="81"/>
            <rFont val="Tahoma"/>
            <family val="2"/>
          </rPr>
          <t>Martin Shkreli:</t>
        </r>
        <r>
          <rPr>
            <sz val="8"/>
            <color indexed="81"/>
            <rFont val="Tahoma"/>
            <family val="2"/>
          </rPr>
          <t xml:space="preserve">
0.69 bear</t>
        </r>
      </text>
    </comment>
    <comment ref="DM68" authorId="1" shapeId="0" xr:uid="{00000000-0006-0000-0700-000083020000}">
      <text>
        <r>
          <rPr>
            <b/>
            <sz val="8"/>
            <color indexed="81"/>
            <rFont val="Tahoma"/>
            <family val="2"/>
          </rPr>
          <t>Martin Shkreli:</t>
        </r>
        <r>
          <rPr>
            <sz val="8"/>
            <color indexed="81"/>
            <rFont val="Tahoma"/>
            <family val="2"/>
          </rPr>
          <t xml:space="preserve">
0.78 bear</t>
        </r>
      </text>
    </comment>
    <comment ref="DN68" authorId="1" shapeId="0" xr:uid="{00000000-0006-0000-0700-000084020000}">
      <text>
        <r>
          <rPr>
            <b/>
            <sz val="8"/>
            <color indexed="81"/>
            <rFont val="Tahoma"/>
            <family val="2"/>
          </rPr>
          <t>Martin Shkreli:</t>
        </r>
        <r>
          <rPr>
            <sz val="8"/>
            <color indexed="81"/>
            <rFont val="Tahoma"/>
            <family val="2"/>
          </rPr>
          <t xml:space="preserve">
0.93 bear</t>
        </r>
      </text>
    </comment>
    <comment ref="DO68" authorId="1" shapeId="0" xr:uid="{00000000-0006-0000-0700-000085020000}">
      <text>
        <r>
          <rPr>
            <b/>
            <sz val="8"/>
            <color indexed="81"/>
            <rFont val="Tahoma"/>
            <family val="2"/>
          </rPr>
          <t>Martin Shkreli:</t>
        </r>
        <r>
          <rPr>
            <sz val="8"/>
            <color indexed="81"/>
            <rFont val="Tahoma"/>
            <family val="2"/>
          </rPr>
          <t xml:space="preserve">
1.09 bear</t>
        </r>
      </text>
    </comment>
    <comment ref="DP68" authorId="1" shapeId="0" xr:uid="{00000000-0006-0000-0700-000086020000}">
      <text>
        <r>
          <rPr>
            <b/>
            <sz val="8"/>
            <color indexed="81"/>
            <rFont val="Tahoma"/>
            <family val="2"/>
          </rPr>
          <t>Martin Shkreli:</t>
        </r>
        <r>
          <rPr>
            <sz val="8"/>
            <color indexed="81"/>
            <rFont val="Tahoma"/>
            <family val="2"/>
          </rPr>
          <t xml:space="preserve">
1.17 bear</t>
        </r>
      </text>
    </comment>
    <comment ref="DQ68" authorId="1" shapeId="0" xr:uid="{00000000-0006-0000-0700-000087020000}">
      <text>
        <r>
          <rPr>
            <b/>
            <sz val="8"/>
            <color indexed="81"/>
            <rFont val="Tahoma"/>
            <family val="2"/>
          </rPr>
          <t>Martin Shkreli:</t>
        </r>
        <r>
          <rPr>
            <sz val="8"/>
            <color indexed="81"/>
            <rFont val="Tahoma"/>
            <family val="2"/>
          </rPr>
          <t xml:space="preserve">
1.31 bear</t>
        </r>
      </text>
    </comment>
    <comment ref="DR68" authorId="1" shapeId="0" xr:uid="{00000000-0006-0000-0700-000088020000}">
      <text>
        <r>
          <rPr>
            <b/>
            <sz val="8"/>
            <color indexed="81"/>
            <rFont val="Tahoma"/>
            <family val="2"/>
          </rPr>
          <t>Martin Shkreli:</t>
        </r>
        <r>
          <rPr>
            <sz val="8"/>
            <color indexed="81"/>
            <rFont val="Tahoma"/>
            <family val="2"/>
          </rPr>
          <t xml:space="preserve">
1.38 jpm
1.42 bear</t>
        </r>
      </text>
    </comment>
    <comment ref="DS68" authorId="1" shapeId="0" xr:uid="{00000000-0006-0000-0700-000089020000}">
      <text>
        <r>
          <rPr>
            <b/>
            <sz val="8"/>
            <color indexed="81"/>
            <rFont val="Tahoma"/>
            <family val="2"/>
          </rPr>
          <t>Martin Shkreli:</t>
        </r>
        <r>
          <rPr>
            <sz val="8"/>
            <color indexed="81"/>
            <rFont val="Tahoma"/>
            <family val="2"/>
          </rPr>
          <t xml:space="preserve">
1.63 jpm
1.63 bear</t>
        </r>
      </text>
    </comment>
    <comment ref="DT68" authorId="1" shapeId="0" xr:uid="{00000000-0006-0000-0700-00008A020000}">
      <text>
        <r>
          <rPr>
            <b/>
            <sz val="8"/>
            <color indexed="81"/>
            <rFont val="Tahoma"/>
            <family val="2"/>
          </rPr>
          <t>Martin Shkreli:</t>
        </r>
        <r>
          <rPr>
            <sz val="8"/>
            <color indexed="81"/>
            <rFont val="Tahoma"/>
            <family val="2"/>
          </rPr>
          <t xml:space="preserve">
1.91 bear</t>
        </r>
      </text>
    </comment>
    <comment ref="DU68" authorId="1" shapeId="0" xr:uid="{00000000-0006-0000-0700-00008B020000}">
      <text>
        <r>
          <rPr>
            <b/>
            <sz val="8"/>
            <color indexed="81"/>
            <rFont val="Tahoma"/>
            <family val="2"/>
          </rPr>
          <t>Martin Shkreli:</t>
        </r>
        <r>
          <rPr>
            <sz val="8"/>
            <color indexed="81"/>
            <rFont val="Tahoma"/>
            <family val="2"/>
          </rPr>
          <t xml:space="preserve">
2.23 bear</t>
        </r>
      </text>
    </comment>
    <comment ref="DV68" authorId="1" shapeId="0" xr:uid="{00000000-0006-0000-0700-00008C020000}">
      <text>
        <r>
          <rPr>
            <b/>
            <sz val="8"/>
            <color indexed="81"/>
            <rFont val="Tahoma"/>
            <family val="2"/>
          </rPr>
          <t>Martin Shkreli:</t>
        </r>
        <r>
          <rPr>
            <sz val="8"/>
            <color indexed="81"/>
            <rFont val="Tahoma"/>
            <family val="2"/>
          </rPr>
          <t xml:space="preserve">
2.65 bear</t>
        </r>
      </text>
    </comment>
    <comment ref="DW68" authorId="1" shapeId="0" xr:uid="{00000000-0006-0000-0700-00008D020000}">
      <text>
        <r>
          <rPr>
            <b/>
            <sz val="8"/>
            <color indexed="81"/>
            <rFont val="Tahoma"/>
            <family val="2"/>
          </rPr>
          <t>Martin Shkreli:</t>
        </r>
        <r>
          <rPr>
            <sz val="8"/>
            <color indexed="81"/>
            <rFont val="Tahoma"/>
            <family val="2"/>
          </rPr>
          <t xml:space="preserve">
3.10 bear</t>
        </r>
      </text>
    </comment>
    <comment ref="DX68" authorId="1" shapeId="0" xr:uid="{00000000-0006-0000-0700-00008E020000}">
      <text>
        <r>
          <rPr>
            <b/>
            <sz val="8"/>
            <color indexed="81"/>
            <rFont val="Tahoma"/>
            <family val="2"/>
          </rPr>
          <t>Martin Shkreli:</t>
        </r>
        <r>
          <rPr>
            <sz val="8"/>
            <color indexed="81"/>
            <rFont val="Tahoma"/>
            <family val="2"/>
          </rPr>
          <t xml:space="preserve">
3.49 bear</t>
        </r>
      </text>
    </comment>
    <comment ref="DZ68" authorId="2" shapeId="0" xr:uid="{00000000-0006-0000-0700-00008F020000}">
      <text>
        <r>
          <rPr>
            <sz val="8"/>
            <color indexed="8"/>
            <rFont val="Times New Roman"/>
            <family val="1"/>
          </rPr>
          <t>Q207: reit 4.02-4.07
CONR deal modestly dilutive (0.02)
4.05-4.10 excl PCH
3.93-3.98 incl PCH
Offical # is 3.63. Official adjusted # is 4.15</t>
        </r>
      </text>
    </comment>
    <comment ref="EA68" authorId="2"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B68" authorId="1"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C68" authorId="4"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D68" authorId="4" shapeId="0" xr:uid="{00000000-0006-0000-0700-000093020000}">
      <text>
        <r>
          <rPr>
            <b/>
            <sz val="9"/>
            <color indexed="81"/>
            <rFont val="Tahoma"/>
            <family val="2"/>
          </rPr>
          <t>Martin:</t>
        </r>
        <r>
          <rPr>
            <sz val="9"/>
            <color indexed="81"/>
            <rFont val="Tahoma"/>
            <family val="2"/>
          </rPr>
          <t xml:space="preserve">
Q311: 4.95-5.00</t>
        </r>
      </text>
    </comment>
    <comment ref="EE68" authorId="4" shapeId="0" xr:uid="{00000000-0006-0000-0700-000094020000}">
      <text>
        <r>
          <rPr>
            <b/>
            <sz val="9"/>
            <color indexed="81"/>
            <rFont val="Tahoma"/>
            <family val="2"/>
          </rPr>
          <t>Martin:</t>
        </r>
        <r>
          <rPr>
            <sz val="9"/>
            <color indexed="81"/>
            <rFont val="Tahoma"/>
            <family val="2"/>
          </rPr>
          <t xml:space="preserve">
5.05-5.15 set in Q411</t>
        </r>
      </text>
    </comment>
    <comment ref="EG68" authorId="4" shapeId="0" xr:uid="{00000000-0006-0000-0700-000095020000}">
      <text>
        <r>
          <rPr>
            <b/>
            <sz val="9"/>
            <color indexed="81"/>
            <rFont val="Tahoma"/>
            <family val="2"/>
          </rPr>
          <t>Martin:</t>
        </r>
        <r>
          <rPr>
            <sz val="9"/>
            <color indexed="81"/>
            <rFont val="Tahoma"/>
            <family val="2"/>
          </rPr>
          <t xml:space="preserve">
Q214: 5.85-5.92</t>
        </r>
      </text>
    </comment>
    <comment ref="K69" authorId="1" shapeId="0" xr:uid="{00000000-0006-0000-0700-000096020000}">
      <text>
        <r>
          <rPr>
            <b/>
            <sz val="8"/>
            <color indexed="81"/>
            <rFont val="Tahoma"/>
            <family val="2"/>
          </rPr>
          <t>Martin Shkreli:</t>
        </r>
        <r>
          <rPr>
            <sz val="8"/>
            <color indexed="81"/>
            <rFont val="Tahoma"/>
            <family val="2"/>
          </rPr>
          <t xml:space="preserve">
3106 jpm</t>
        </r>
      </text>
    </comment>
    <comment ref="L69" authorId="1" shapeId="0" xr:uid="{00000000-0006-0000-0700-000097020000}">
      <text>
        <r>
          <rPr>
            <b/>
            <sz val="8"/>
            <color indexed="81"/>
            <rFont val="Tahoma"/>
            <family val="2"/>
          </rPr>
          <t>Martin Shkreli:</t>
        </r>
        <r>
          <rPr>
            <sz val="8"/>
            <color indexed="81"/>
            <rFont val="Tahoma"/>
            <family val="2"/>
          </rPr>
          <t xml:space="preserve">
3109 jpm</t>
        </r>
      </text>
    </comment>
    <comment ref="M69" authorId="1" shapeId="0" xr:uid="{00000000-0006-0000-0700-000098020000}">
      <text>
        <r>
          <rPr>
            <b/>
            <sz val="8"/>
            <color indexed="81"/>
            <rFont val="Tahoma"/>
            <family val="2"/>
          </rPr>
          <t>Martin Shkreli:</t>
        </r>
        <r>
          <rPr>
            <sz val="8"/>
            <color indexed="81"/>
            <rFont val="Tahoma"/>
            <family val="2"/>
          </rPr>
          <t xml:space="preserve">
3105 jpm</t>
        </r>
      </text>
    </comment>
    <comment ref="N69" authorId="1" shapeId="0" xr:uid="{00000000-0006-0000-0700-000099020000}">
      <text>
        <r>
          <rPr>
            <b/>
            <sz val="8"/>
            <color indexed="81"/>
            <rFont val="Tahoma"/>
            <family val="2"/>
          </rPr>
          <t>Martin Shkreli:</t>
        </r>
        <r>
          <rPr>
            <sz val="8"/>
            <color indexed="81"/>
            <rFont val="Tahoma"/>
            <family val="2"/>
          </rPr>
          <t xml:space="preserve">
3106 jpm</t>
        </r>
      </text>
    </comment>
    <comment ref="O69" authorId="1" shapeId="0" xr:uid="{00000000-0006-0000-0700-00009A020000}">
      <text>
        <r>
          <rPr>
            <b/>
            <sz val="8"/>
            <color indexed="81"/>
            <rFont val="Tahoma"/>
            <family val="2"/>
          </rPr>
          <t>Martin Shkreli:</t>
        </r>
        <r>
          <rPr>
            <sz val="8"/>
            <color indexed="81"/>
            <rFont val="Tahoma"/>
            <family val="2"/>
          </rPr>
          <t xml:space="preserve">
3087 jpm
3087 bear</t>
        </r>
      </text>
    </comment>
    <comment ref="P69" authorId="1" shapeId="0" xr:uid="{00000000-0006-0000-0700-00009B020000}">
      <text>
        <r>
          <rPr>
            <b/>
            <sz val="8"/>
            <color indexed="81"/>
            <rFont val="Tahoma"/>
            <family val="2"/>
          </rPr>
          <t>Martin Shkreli:</t>
        </r>
        <r>
          <rPr>
            <sz val="8"/>
            <color indexed="81"/>
            <rFont val="Tahoma"/>
            <family val="2"/>
          </rPr>
          <t xml:space="preserve">
3095 jpm
3095 bear</t>
        </r>
      </text>
    </comment>
    <comment ref="Q69" authorId="1" shapeId="0" xr:uid="{00000000-0006-0000-0700-00009C020000}">
      <text>
        <r>
          <rPr>
            <b/>
            <sz val="8"/>
            <color indexed="81"/>
            <rFont val="Tahoma"/>
            <family val="2"/>
          </rPr>
          <t>Martin Shkreli:</t>
        </r>
        <r>
          <rPr>
            <sz val="8"/>
            <color indexed="81"/>
            <rFont val="Tahoma"/>
            <family val="2"/>
          </rPr>
          <t xml:space="preserve">
3113 jpm
3113 bear</t>
        </r>
      </text>
    </comment>
    <comment ref="R69" authorId="1" shapeId="0" xr:uid="{00000000-0006-0000-0700-00009D020000}">
      <text>
        <r>
          <rPr>
            <b/>
            <sz val="8"/>
            <color indexed="81"/>
            <rFont val="Tahoma"/>
            <family val="2"/>
          </rPr>
          <t>Martin Shkreli:</t>
        </r>
        <r>
          <rPr>
            <sz val="8"/>
            <color indexed="81"/>
            <rFont val="Tahoma"/>
            <family val="2"/>
          </rPr>
          <t xml:space="preserve">
3118 jpm
3118 bear</t>
        </r>
      </text>
    </comment>
    <comment ref="S69" authorId="1" shapeId="0" xr:uid="{00000000-0006-0000-0700-00009E020000}">
      <text>
        <r>
          <rPr>
            <b/>
            <sz val="8"/>
            <color indexed="81"/>
            <rFont val="Tahoma"/>
            <family val="2"/>
          </rPr>
          <t>Martin Shkreli:</t>
        </r>
        <r>
          <rPr>
            <sz val="8"/>
            <color indexed="81"/>
            <rFont val="Tahoma"/>
            <family val="2"/>
          </rPr>
          <t xml:space="preserve">
3106 bear</t>
        </r>
      </text>
    </comment>
    <comment ref="X69" authorId="1" shapeId="0" xr:uid="{00000000-0006-0000-0700-00009F020000}">
      <text>
        <r>
          <rPr>
            <b/>
            <sz val="8"/>
            <color indexed="81"/>
            <rFont val="Tahoma"/>
            <family val="2"/>
          </rPr>
          <t>Martin Shkreli:</t>
        </r>
        <r>
          <rPr>
            <sz val="8"/>
            <color indexed="81"/>
            <rFont val="Tahoma"/>
            <family val="2"/>
          </rPr>
          <t xml:space="preserve">
3087 bear</t>
        </r>
      </text>
    </comment>
    <comment ref="AB69" authorId="1" shapeId="0" xr:uid="{00000000-0006-0000-0700-0000A0020000}">
      <text>
        <r>
          <rPr>
            <b/>
            <sz val="8"/>
            <color indexed="81"/>
            <rFont val="Tahoma"/>
            <family val="2"/>
          </rPr>
          <t>Martin Shkreli:</t>
        </r>
        <r>
          <rPr>
            <sz val="8"/>
            <color indexed="81"/>
            <rFont val="Tahoma"/>
            <family val="2"/>
          </rPr>
          <t xml:space="preserve">
3016 bear
3028 JPM</t>
        </r>
      </text>
    </comment>
    <comment ref="AK69" authorId="1" shapeId="0" xr:uid="{00000000-0006-0000-0700-0000A1020000}">
      <text>
        <r>
          <rPr>
            <b/>
            <sz val="8"/>
            <color indexed="81"/>
            <rFont val="Tahoma"/>
            <family val="2"/>
          </rPr>
          <t>Martin Shkreli:</t>
        </r>
        <r>
          <rPr>
            <sz val="8"/>
            <color indexed="81"/>
            <rFont val="Tahoma"/>
            <family val="2"/>
          </rPr>
          <t xml:space="preserve">
3017 bear</t>
        </r>
      </text>
    </comment>
    <comment ref="AL69" authorId="1" shapeId="0" xr:uid="{00000000-0006-0000-0700-0000A2020000}">
      <text>
        <r>
          <rPr>
            <b/>
            <sz val="8"/>
            <color indexed="81"/>
            <rFont val="Tahoma"/>
            <family val="2"/>
          </rPr>
          <t>Martin Shkreli:</t>
        </r>
        <r>
          <rPr>
            <sz val="8"/>
            <color indexed="81"/>
            <rFont val="Tahoma"/>
            <family val="2"/>
          </rPr>
          <t xml:space="preserve">
3009 bear</t>
        </r>
      </text>
    </comment>
    <comment ref="AM69" authorId="2" shapeId="0" xr:uid="{00000000-0006-0000-0700-0000A3020000}">
      <text>
        <r>
          <rPr>
            <sz val="8"/>
            <color indexed="8"/>
            <rFont val="Times New Roman"/>
            <family val="1"/>
          </rPr>
          <t>5B repurchase program</t>
        </r>
      </text>
    </comment>
    <comment ref="DI69" authorId="1" shapeId="0" xr:uid="{00000000-0006-0000-0700-0000A4020000}">
      <text>
        <r>
          <rPr>
            <b/>
            <sz val="8"/>
            <color indexed="81"/>
            <rFont val="Tahoma"/>
            <family val="2"/>
          </rPr>
          <t>Martin Shkreli:</t>
        </r>
        <r>
          <rPr>
            <sz val="8"/>
            <color indexed="81"/>
            <rFont val="Tahoma"/>
            <family val="2"/>
          </rPr>
          <t xml:space="preserve">
2433 bear</t>
        </r>
      </text>
    </comment>
    <comment ref="DJ69" authorId="1" shapeId="0" xr:uid="{00000000-0006-0000-0700-0000A5020000}">
      <text>
        <r>
          <rPr>
            <b/>
            <sz val="8"/>
            <color indexed="81"/>
            <rFont val="Tahoma"/>
            <family val="2"/>
          </rPr>
          <t>Martin Shkreli:</t>
        </r>
        <r>
          <rPr>
            <sz val="8"/>
            <color indexed="81"/>
            <rFont val="Tahoma"/>
            <family val="2"/>
          </rPr>
          <t xml:space="preserve">
2620 bear</t>
        </r>
      </text>
    </comment>
    <comment ref="DK69" authorId="1" shapeId="0" xr:uid="{00000000-0006-0000-0700-0000A6020000}">
      <text>
        <r>
          <rPr>
            <b/>
            <sz val="8"/>
            <color indexed="81"/>
            <rFont val="Tahoma"/>
            <family val="2"/>
          </rPr>
          <t>Martin Shkreli:</t>
        </r>
        <r>
          <rPr>
            <sz val="8"/>
            <color indexed="81"/>
            <rFont val="Tahoma"/>
            <family val="2"/>
          </rPr>
          <t xml:space="preserve">
2495 bear</t>
        </r>
      </text>
    </comment>
    <comment ref="DL69" authorId="1" shapeId="0" xr:uid="{00000000-0006-0000-0700-0000A7020000}">
      <text>
        <r>
          <rPr>
            <b/>
            <sz val="8"/>
            <color indexed="81"/>
            <rFont val="Tahoma"/>
            <family val="2"/>
          </rPr>
          <t>Martin Shkreli:</t>
        </r>
        <r>
          <rPr>
            <sz val="8"/>
            <color indexed="81"/>
            <rFont val="Tahoma"/>
            <family val="2"/>
          </rPr>
          <t xml:space="preserve">
2588 bear</t>
        </r>
      </text>
    </comment>
    <comment ref="DM69" authorId="1" shapeId="0" xr:uid="{00000000-0006-0000-0700-0000A8020000}">
      <text>
        <r>
          <rPr>
            <b/>
            <sz val="8"/>
            <color indexed="81"/>
            <rFont val="Tahoma"/>
            <family val="2"/>
          </rPr>
          <t>Martin Shkreli:</t>
        </r>
        <r>
          <rPr>
            <sz val="8"/>
            <color indexed="81"/>
            <rFont val="Tahoma"/>
            <family val="2"/>
          </rPr>
          <t xml:space="preserve">
2562 bear</t>
        </r>
      </text>
    </comment>
    <comment ref="DN69" authorId="1" shapeId="0" xr:uid="{00000000-0006-0000-0700-0000A9020000}">
      <text>
        <r>
          <rPr>
            <b/>
            <sz val="8"/>
            <color indexed="81"/>
            <rFont val="Tahoma"/>
            <family val="2"/>
          </rPr>
          <t>Martin Shkreli:</t>
        </r>
        <r>
          <rPr>
            <sz val="8"/>
            <color indexed="81"/>
            <rFont val="Tahoma"/>
            <family val="2"/>
          </rPr>
          <t xml:space="preserve">
2600 bear</t>
        </r>
      </text>
    </comment>
    <comment ref="DO69" authorId="1" shapeId="0" xr:uid="{00000000-0006-0000-0700-0000AA020000}">
      <text>
        <r>
          <rPr>
            <b/>
            <sz val="8"/>
            <color indexed="81"/>
            <rFont val="Tahoma"/>
            <family val="2"/>
          </rPr>
          <t>Martin Shkreli:</t>
        </r>
        <r>
          <rPr>
            <sz val="8"/>
            <color indexed="81"/>
            <rFont val="Tahoma"/>
            <family val="2"/>
          </rPr>
          <t xml:space="preserve">
2714 bear</t>
        </r>
      </text>
    </comment>
    <comment ref="DP69" authorId="1" shapeId="0" xr:uid="{00000000-0006-0000-0700-0000AB020000}">
      <text>
        <r>
          <rPr>
            <b/>
            <sz val="8"/>
            <color indexed="81"/>
            <rFont val="Tahoma"/>
            <family val="2"/>
          </rPr>
          <t>Martin Shkreli:</t>
        </r>
        <r>
          <rPr>
            <sz val="8"/>
            <color indexed="81"/>
            <rFont val="Tahoma"/>
            <family val="2"/>
          </rPr>
          <t xml:space="preserve">
2967 bear</t>
        </r>
      </text>
    </comment>
    <comment ref="DQ69" authorId="1" shapeId="0" xr:uid="{00000000-0006-0000-0700-0000AC020000}">
      <text>
        <r>
          <rPr>
            <b/>
            <sz val="8"/>
            <color indexed="81"/>
            <rFont val="Tahoma"/>
            <family val="2"/>
          </rPr>
          <t>Martin Shkreli:</t>
        </r>
        <r>
          <rPr>
            <sz val="8"/>
            <color indexed="81"/>
            <rFont val="Tahoma"/>
            <family val="2"/>
          </rPr>
          <t xml:space="preserve">
3017 bear</t>
        </r>
      </text>
    </comment>
    <comment ref="DR69" authorId="1" shapeId="0" xr:uid="{00000000-0006-0000-0700-0000AD020000}">
      <text>
        <r>
          <rPr>
            <b/>
            <sz val="8"/>
            <color indexed="81"/>
            <rFont val="Tahoma"/>
            <family val="2"/>
          </rPr>
          <t>Martin Shkreli:</t>
        </r>
        <r>
          <rPr>
            <sz val="8"/>
            <color indexed="81"/>
            <rFont val="Tahoma"/>
            <family val="2"/>
          </rPr>
          <t xml:space="preserve">
3103 jpm
3009 bear</t>
        </r>
      </text>
    </comment>
    <comment ref="DS69" authorId="1" shapeId="0" xr:uid="{00000000-0006-0000-0700-0000AE020000}">
      <text>
        <r>
          <rPr>
            <b/>
            <sz val="8"/>
            <color indexed="81"/>
            <rFont val="Tahoma"/>
            <family val="2"/>
          </rPr>
          <t>Martin Shkreli:</t>
        </r>
        <r>
          <rPr>
            <sz val="8"/>
            <color indexed="81"/>
            <rFont val="Tahoma"/>
            <family val="2"/>
          </rPr>
          <t xml:space="preserve">
3099 jpm
3103 bear</t>
        </r>
      </text>
    </comment>
    <comment ref="DT69" authorId="1" shapeId="0" xr:uid="{00000000-0006-0000-0700-0000AF020000}">
      <text>
        <r>
          <rPr>
            <b/>
            <sz val="8"/>
            <color indexed="81"/>
            <rFont val="Tahoma"/>
            <family val="2"/>
          </rPr>
          <t>Martin Shkreli:</t>
        </r>
        <r>
          <rPr>
            <sz val="8"/>
            <color indexed="81"/>
            <rFont val="Tahoma"/>
            <family val="2"/>
          </rPr>
          <t xml:space="preserve">
3112 bear</t>
        </r>
      </text>
    </comment>
    <comment ref="DU69" authorId="1" shapeId="0" xr:uid="{00000000-0006-0000-0700-0000B0020000}">
      <text>
        <r>
          <rPr>
            <b/>
            <sz val="8"/>
            <color indexed="81"/>
            <rFont val="Tahoma"/>
            <family val="2"/>
          </rPr>
          <t>Martin Shkreli:</t>
        </r>
        <r>
          <rPr>
            <sz val="8"/>
            <color indexed="81"/>
            <rFont val="Tahoma"/>
            <family val="2"/>
          </rPr>
          <t xml:space="preserve">
3063 bear</t>
        </r>
      </text>
    </comment>
    <comment ref="DV69" authorId="1" shapeId="0" xr:uid="{00000000-0006-0000-0700-0000B1020000}">
      <text>
        <r>
          <rPr>
            <b/>
            <sz val="8"/>
            <color indexed="81"/>
            <rFont val="Tahoma"/>
            <family val="2"/>
          </rPr>
          <t>Martin Shkreli:</t>
        </r>
        <r>
          <rPr>
            <sz val="8"/>
            <color indexed="81"/>
            <rFont val="Tahoma"/>
            <family val="2"/>
          </rPr>
          <t xml:space="preserve">
3012 bear</t>
        </r>
      </text>
    </comment>
    <comment ref="DW69" authorId="1" shapeId="0" xr:uid="{00000000-0006-0000-0700-0000B2020000}">
      <text>
        <r>
          <rPr>
            <b/>
            <sz val="8"/>
            <color indexed="81"/>
            <rFont val="Tahoma"/>
            <family val="2"/>
          </rPr>
          <t>Martin Shkreli:</t>
        </r>
        <r>
          <rPr>
            <sz val="8"/>
            <color indexed="81"/>
            <rFont val="Tahoma"/>
            <family val="2"/>
          </rPr>
          <t xml:space="preserve">
3008 bear</t>
        </r>
      </text>
    </comment>
    <comment ref="DX69" authorId="1" shapeId="0" xr:uid="{00000000-0006-0000-0700-0000B3020000}">
      <text>
        <r>
          <rPr>
            <b/>
            <sz val="8"/>
            <color indexed="81"/>
            <rFont val="Tahoma"/>
            <family val="2"/>
          </rPr>
          <t>Martin Shkreli:</t>
        </r>
        <r>
          <rPr>
            <sz val="8"/>
            <color indexed="81"/>
            <rFont val="Tahoma"/>
            <family val="2"/>
          </rPr>
          <t xml:space="preserve">
3019 bear</t>
        </r>
      </text>
    </comment>
    <comment ref="BD70" authorId="3" shapeId="0" xr:uid="{00000000-0006-0000-0700-0000B4020000}">
      <text>
        <r>
          <rPr>
            <b/>
            <sz val="9"/>
            <color indexed="81"/>
            <rFont val="Tahoma"/>
            <family val="2"/>
          </rPr>
          <t>MSMB:</t>
        </r>
        <r>
          <rPr>
            <sz val="9"/>
            <color indexed="81"/>
            <rFont val="Tahoma"/>
            <family val="2"/>
          </rPr>
          <t xml:space="preserve">
was 1.24</t>
        </r>
      </text>
    </comment>
    <comment ref="DY70" authorId="2"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DZ70" authorId="2"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A70" authorId="2" shapeId="0" xr:uid="{00000000-0006-0000-0700-0000B7020000}">
      <text>
        <r>
          <rPr>
            <sz val="8"/>
            <color indexed="8"/>
            <rFont val="Times New Roman"/>
            <family val="1"/>
          </rPr>
          <t>was 4.35
was 4.30
was 4.24
"CONR deal neutral"</t>
        </r>
      </text>
    </comment>
    <comment ref="EB70" authorId="2" shapeId="0" xr:uid="{00000000-0006-0000-0700-0000B8020000}">
      <text>
        <r>
          <rPr>
            <sz val="8"/>
            <color indexed="8"/>
            <rFont val="Times New Roman"/>
            <family val="1"/>
          </rPr>
          <t>Q109: 4.49
was 4.71
was 4.70
was 4.64
was 4.47</t>
        </r>
      </text>
    </comment>
    <comment ref="EC70" authorId="2" shapeId="0" xr:uid="{00000000-0006-0000-0700-0000B9020000}">
      <text>
        <r>
          <rPr>
            <sz val="8"/>
            <color indexed="8"/>
            <rFont val="Times New Roman"/>
            <family val="1"/>
          </rPr>
          <t>was 5.20
was 5.10
was 4.96
was 4.90
was 4.87
was 4.92
was 4.71</t>
        </r>
      </text>
    </comment>
    <comment ref="ED70" authorId="2" shapeId="0" xr:uid="{00000000-0006-0000-0700-0000BA020000}">
      <text>
        <r>
          <rPr>
            <sz val="8"/>
            <color indexed="8"/>
            <rFont val="Times New Roman"/>
            <family val="1"/>
          </rPr>
          <t>was 5.80
was 5.57
was 5.26
was 5.21
was 5.10
was 5.37</t>
        </r>
      </text>
    </comment>
    <comment ref="EE70" authorId="1" shapeId="0" xr:uid="{00000000-0006-0000-0700-0000BB020000}">
      <text>
        <r>
          <rPr>
            <b/>
            <sz val="8"/>
            <color indexed="81"/>
            <rFont val="Tahoma"/>
            <family val="2"/>
          </rPr>
          <t>Martin Shkreli:</t>
        </r>
        <r>
          <rPr>
            <sz val="8"/>
            <color indexed="81"/>
            <rFont val="Tahoma"/>
            <family val="2"/>
          </rPr>
          <t xml:space="preserve">
was 6.39
was 6.22
was 5.83</t>
        </r>
      </text>
    </comment>
    <comment ref="EF70" authorId="0" shapeId="0" xr:uid="{00000000-0006-0000-0700-0000BC020000}">
      <text>
        <r>
          <rPr>
            <b/>
            <sz val="9"/>
            <color indexed="81"/>
            <rFont val="Tahoma"/>
            <family val="2"/>
          </rPr>
          <t>MSMB - Andre:</t>
        </r>
        <r>
          <rPr>
            <sz val="9"/>
            <color indexed="81"/>
            <rFont val="Tahoma"/>
            <family val="2"/>
          </rPr>
          <t xml:space="preserve">
was 6.28</t>
        </r>
      </text>
    </comment>
    <comment ref="EG70" authorId="0" shapeId="0" xr:uid="{00000000-0006-0000-0700-0000BD020000}">
      <text>
        <r>
          <rPr>
            <b/>
            <sz val="9"/>
            <color indexed="81"/>
            <rFont val="Tahoma"/>
            <family val="2"/>
          </rPr>
          <t>MSMB - Andre:</t>
        </r>
        <r>
          <rPr>
            <sz val="9"/>
            <color indexed="81"/>
            <rFont val="Tahoma"/>
            <family val="2"/>
          </rPr>
          <t xml:space="preserve">
was 6.59</t>
        </r>
      </text>
    </comment>
    <comment ref="BM72" authorId="4"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Y72" authorId="2"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A72" authorId="2" shapeId="0" xr:uid="{00000000-0006-0000-0700-0000C0020000}">
      <text>
        <r>
          <rPr>
            <sz val="8"/>
            <color indexed="8"/>
            <rFont val="Times New Roman"/>
            <family val="1"/>
          </rPr>
          <t>Guidance on Q208 call: 
1-2% op growth. 4.5% favorable currency impact if exchange rates don't change. 4-5% growth</t>
        </r>
      </text>
    </comment>
    <comment ref="EB75" authorId="0" shapeId="0" xr:uid="{00000000-0006-0000-0700-0000C1020000}">
      <text>
        <r>
          <rPr>
            <sz val="9"/>
            <color indexed="81"/>
            <rFont val="Tahoma"/>
            <family val="2"/>
          </rPr>
          <t>1.8% claimed by JNJ</t>
        </r>
      </text>
    </comment>
    <comment ref="BM84" authorId="4" shapeId="0" xr:uid="{00000000-0006-0000-0700-0000C2020000}">
      <text>
        <r>
          <rPr>
            <b/>
            <sz val="9"/>
            <color indexed="81"/>
            <rFont val="Tahoma"/>
            <family val="2"/>
          </rPr>
          <t>Martin:</t>
        </r>
        <r>
          <rPr>
            <sz val="9"/>
            <color indexed="81"/>
            <rFont val="Tahoma"/>
            <family val="2"/>
          </rPr>
          <t xml:space="preserve">
Synthes
</t>
        </r>
      </text>
    </comment>
    <comment ref="EB84" authorId="0" shapeId="0" xr:uid="{00000000-0006-0000-0700-0000C3020000}">
      <text>
        <r>
          <rPr>
            <sz val="9"/>
            <color indexed="81"/>
            <rFont val="Tahoma"/>
            <family val="2"/>
          </rPr>
          <t>8% operational growth</t>
        </r>
      </text>
    </comment>
    <comment ref="EB85" authorId="0" shapeId="0" xr:uid="{00000000-0006-0000-0700-0000C4020000}">
      <text>
        <r>
          <rPr>
            <sz val="9"/>
            <color indexed="81"/>
            <rFont val="Tahoma"/>
            <family val="2"/>
          </rPr>
          <t>11% operational</t>
        </r>
      </text>
    </comment>
    <comment ref="EB86" authorId="0" shapeId="0" xr:uid="{00000000-0006-0000-0700-0000C5020000}">
      <text>
        <r>
          <rPr>
            <sz val="9"/>
            <color indexed="81"/>
            <rFont val="Tahoma"/>
            <family val="2"/>
          </rPr>
          <t>8% operational</t>
        </r>
      </text>
    </comment>
    <comment ref="AM89" authorId="2"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89"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DU89" authorId="2" shapeId="0" xr:uid="{00000000-0006-0000-0700-0000C8020000}">
      <text>
        <r>
          <rPr>
            <b/>
            <sz val="8"/>
            <color indexed="8"/>
            <rFont val="Times New Roman"/>
            <family val="1"/>
          </rPr>
          <t xml:space="preserve">Bloomberg:
</t>
        </r>
        <r>
          <rPr>
            <sz val="8"/>
            <color indexed="8"/>
            <rFont val="Times New Roman"/>
            <family val="1"/>
          </rPr>
          <t>GMs peak with Procrit</t>
        </r>
      </text>
    </comment>
    <comment ref="DZ94" authorId="2" shapeId="0" xr:uid="{00000000-0006-0000-0700-0000C9020000}">
      <text>
        <r>
          <rPr>
            <b/>
            <sz val="8"/>
            <color indexed="8"/>
            <rFont val="Times New Roman"/>
            <family val="1"/>
          </rPr>
          <t xml:space="preserve">Martin Shkreli:
</t>
        </r>
        <r>
          <rPr>
            <sz val="8"/>
            <color indexed="8"/>
            <rFont val="Times New Roman"/>
            <family val="1"/>
          </rPr>
          <t>24-24.5% guid</t>
        </r>
      </text>
    </comment>
    <comment ref="DL97" authorId="2"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R97" authorId="1" shapeId="0" xr:uid="{00000000-0006-0000-0700-0000CB020000}">
      <text>
        <r>
          <rPr>
            <b/>
            <sz val="8"/>
            <color indexed="81"/>
            <rFont val="Tahoma"/>
            <family val="2"/>
          </rPr>
          <t>Martin Shkreli:</t>
        </r>
        <r>
          <rPr>
            <sz val="8"/>
            <color indexed="81"/>
            <rFont val="Tahoma"/>
            <family val="2"/>
          </rPr>
          <t xml:space="preserve">
11230 JPM</t>
        </r>
      </text>
    </comment>
    <comment ref="DS97" authorId="1" shapeId="0" xr:uid="{00000000-0006-0000-0700-0000CC020000}">
      <text>
        <r>
          <rPr>
            <b/>
            <sz val="8"/>
            <color indexed="81"/>
            <rFont val="Tahoma"/>
            <family val="2"/>
          </rPr>
          <t>Martin Shkreli:</t>
        </r>
        <r>
          <rPr>
            <sz val="8"/>
            <color indexed="81"/>
            <rFont val="Tahoma"/>
            <family val="2"/>
          </rPr>
          <t xml:space="preserve">
12661 bear</t>
        </r>
      </text>
    </comment>
    <comment ref="EB97" authorId="1" shapeId="0" xr:uid="{00000000-0006-0000-0700-0000CD020000}">
      <text>
        <r>
          <rPr>
            <b/>
            <sz val="8"/>
            <color indexed="81"/>
            <rFont val="Tahoma"/>
            <family val="2"/>
          </rPr>
          <t>Martin Shkreli:</t>
        </r>
        <r>
          <rPr>
            <sz val="8"/>
            <color indexed="81"/>
            <rFont val="Tahoma"/>
            <family val="2"/>
          </rPr>
          <t xml:space="preserve">
was 26 many years ago</t>
        </r>
      </text>
    </comment>
    <comment ref="EC97" authorId="1" shapeId="0" xr:uid="{00000000-0006-0000-0700-0000CE020000}">
      <text>
        <r>
          <rPr>
            <b/>
            <sz val="8"/>
            <color indexed="81"/>
            <rFont val="Tahoma"/>
            <family val="2"/>
          </rPr>
          <t>Martin Shkreli:</t>
        </r>
        <r>
          <rPr>
            <sz val="8"/>
            <color indexed="81"/>
            <rFont val="Tahoma"/>
            <family val="2"/>
          </rPr>
          <t xml:space="preserve">
was 26 many years ago</t>
        </r>
      </text>
    </comment>
    <comment ref="AI98" authorId="1" shapeId="0" xr:uid="{00000000-0006-0000-0700-0000CF020000}">
      <text>
        <r>
          <rPr>
            <b/>
            <sz val="8"/>
            <color indexed="81"/>
            <rFont val="Tahoma"/>
            <family val="2"/>
          </rPr>
          <t>Martin Shkreli:</t>
        </r>
        <r>
          <rPr>
            <sz val="8"/>
            <color indexed="81"/>
            <rFont val="Tahoma"/>
            <family val="2"/>
          </rPr>
          <t xml:space="preserve">
bear 2137</t>
        </r>
      </text>
    </comment>
    <comment ref="DS98" authorId="1" shapeId="0" xr:uid="{00000000-0006-0000-0700-0000D0020000}">
      <text>
        <r>
          <rPr>
            <b/>
            <sz val="8"/>
            <color indexed="81"/>
            <rFont val="Tahoma"/>
            <family val="2"/>
          </rPr>
          <t>Martin Shkreli:</t>
        </r>
        <r>
          <rPr>
            <sz val="8"/>
            <color indexed="81"/>
            <rFont val="Tahoma"/>
            <family val="2"/>
          </rPr>
          <t xml:space="preserve">
4394 bear</t>
        </r>
      </text>
    </comment>
    <comment ref="DX98" authorId="1" shapeId="0" xr:uid="{00000000-0006-0000-0700-0000D1020000}">
      <text>
        <r>
          <rPr>
            <b/>
            <sz val="8"/>
            <color indexed="81"/>
            <rFont val="Tahoma"/>
            <family val="2"/>
          </rPr>
          <t>Martin Shkreli:</t>
        </r>
        <r>
          <rPr>
            <sz val="8"/>
            <color indexed="81"/>
            <rFont val="Tahoma"/>
            <family val="2"/>
          </rPr>
          <t xml:space="preserve">
6610 bear</t>
        </r>
      </text>
    </comment>
    <comment ref="AM99" authorId="2"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4" authorId="1" shapeId="0" xr:uid="{00000000-0006-0000-0700-0000D3020000}">
      <text>
        <r>
          <rPr>
            <b/>
            <sz val="8"/>
            <color indexed="81"/>
            <rFont val="Tahoma"/>
            <family val="2"/>
          </rPr>
          <t>Martin Shkreli:</t>
        </r>
        <r>
          <rPr>
            <sz val="8"/>
            <color indexed="81"/>
            <rFont val="Tahoma"/>
            <family val="2"/>
          </rPr>
          <t xml:space="preserve">
Bear 2515 actual</t>
        </r>
      </text>
    </comment>
    <comment ref="P104" authorId="1" shapeId="0" xr:uid="{00000000-0006-0000-0700-0000D4020000}">
      <text>
        <r>
          <rPr>
            <b/>
            <sz val="8"/>
            <color indexed="81"/>
            <rFont val="Tahoma"/>
            <family val="2"/>
          </rPr>
          <t>Martin Shkreli:</t>
        </r>
        <r>
          <rPr>
            <sz val="8"/>
            <color indexed="81"/>
            <rFont val="Tahoma"/>
            <family val="2"/>
          </rPr>
          <t xml:space="preserve">
Bear 2570 actual</t>
        </r>
      </text>
    </comment>
    <comment ref="Q104" authorId="1" shapeId="0" xr:uid="{00000000-0006-0000-0700-0000D5020000}">
      <text>
        <r>
          <rPr>
            <b/>
            <sz val="8"/>
            <color indexed="81"/>
            <rFont val="Tahoma"/>
            <family val="2"/>
          </rPr>
          <t>Martin Shkreli:</t>
        </r>
        <r>
          <rPr>
            <sz val="8"/>
            <color indexed="81"/>
            <rFont val="Tahoma"/>
            <family val="2"/>
          </rPr>
          <t xml:space="preserve">
Bear 2538 actual</t>
        </r>
      </text>
    </comment>
    <comment ref="R104" authorId="1" shapeId="0" xr:uid="{00000000-0006-0000-0700-0000D6020000}">
      <text>
        <r>
          <rPr>
            <b/>
            <sz val="8"/>
            <color indexed="81"/>
            <rFont val="Tahoma"/>
            <family val="2"/>
          </rPr>
          <t>Martin Shkreli:</t>
        </r>
        <r>
          <rPr>
            <sz val="8"/>
            <color indexed="81"/>
            <rFont val="Tahoma"/>
            <family val="2"/>
          </rPr>
          <t xml:space="preserve">
2618 bear actual</t>
        </r>
      </text>
    </comment>
    <comment ref="DR104" authorId="1" shapeId="0" xr:uid="{00000000-0006-0000-0700-0000D7020000}">
      <text>
        <r>
          <rPr>
            <b/>
            <sz val="8"/>
            <color indexed="81"/>
            <rFont val="Tahoma"/>
            <family val="2"/>
          </rPr>
          <t>Martin Shkreli:</t>
        </r>
        <r>
          <rPr>
            <sz val="8"/>
            <color indexed="81"/>
            <rFont val="Tahoma"/>
            <family val="2"/>
          </rPr>
          <t xml:space="preserve">
9914 Bear actual</t>
        </r>
      </text>
    </comment>
    <comment ref="DS104" authorId="1" shapeId="0" xr:uid="{00000000-0006-0000-0700-0000D8020000}">
      <text>
        <r>
          <rPr>
            <b/>
            <sz val="8"/>
            <color indexed="81"/>
            <rFont val="Tahoma"/>
            <family val="2"/>
          </rPr>
          <t>Martin Shkreli:</t>
        </r>
        <r>
          <rPr>
            <sz val="8"/>
            <color indexed="81"/>
            <rFont val="Tahoma"/>
            <family val="2"/>
          </rPr>
          <t xml:space="preserve">
10240 bear</t>
        </r>
      </text>
    </comment>
    <comment ref="DT104" authorId="1" shapeId="0" xr:uid="{00000000-0006-0000-0700-0000D9020000}">
      <text>
        <r>
          <rPr>
            <b/>
            <sz val="8"/>
            <color indexed="81"/>
            <rFont val="Tahoma"/>
            <family val="2"/>
          </rPr>
          <t>Martin Shkreli:</t>
        </r>
        <r>
          <rPr>
            <sz val="8"/>
            <color indexed="81"/>
            <rFont val="Tahoma"/>
            <family val="2"/>
          </rPr>
          <t xml:space="preserve">
11146 bear
</t>
        </r>
      </text>
    </comment>
    <comment ref="DU104" authorId="1" shapeId="0" xr:uid="{00000000-0006-0000-0700-0000DA020000}">
      <text>
        <r>
          <rPr>
            <b/>
            <sz val="8"/>
            <color indexed="81"/>
            <rFont val="Tahoma"/>
            <family val="2"/>
          </rPr>
          <t>Martin Shkreli:</t>
        </r>
        <r>
          <rPr>
            <sz val="8"/>
            <color indexed="81"/>
            <rFont val="Tahoma"/>
            <family val="2"/>
          </rPr>
          <t xml:space="preserve">
12583 Bear actual</t>
        </r>
      </text>
    </comment>
    <comment ref="EB104" authorId="1" shapeId="0" xr:uid="{00000000-0006-0000-0700-0000DB020000}">
      <text>
        <r>
          <rPr>
            <b/>
            <sz val="8"/>
            <color indexed="81"/>
            <rFont val="Tahoma"/>
            <family val="2"/>
          </rPr>
          <t>Martin Shkreli:</t>
        </r>
        <r>
          <rPr>
            <sz val="8"/>
            <color indexed="81"/>
            <rFont val="Tahoma"/>
            <family val="2"/>
          </rPr>
          <t xml:space="preserve">
was 23 many years ago</t>
        </r>
      </text>
    </comment>
    <comment ref="EC104" authorId="1" shapeId="0" xr:uid="{00000000-0006-0000-0700-0000DC020000}">
      <text>
        <r>
          <rPr>
            <b/>
            <sz val="8"/>
            <color indexed="81"/>
            <rFont val="Tahoma"/>
            <family val="2"/>
          </rPr>
          <t>Martin Shkreli:</t>
        </r>
        <r>
          <rPr>
            <sz val="8"/>
            <color indexed="81"/>
            <rFont val="Tahoma"/>
            <family val="2"/>
          </rPr>
          <t xml:space="preserve">
was 25 many years ago</t>
        </r>
      </text>
    </comment>
    <comment ref="AI105" authorId="1" shapeId="0" xr:uid="{00000000-0006-0000-0700-0000DD020000}">
      <text>
        <r>
          <rPr>
            <b/>
            <sz val="8"/>
            <color indexed="81"/>
            <rFont val="Tahoma"/>
            <family val="2"/>
          </rPr>
          <t>Martin Shkreli:</t>
        </r>
        <r>
          <rPr>
            <sz val="8"/>
            <color indexed="81"/>
            <rFont val="Tahoma"/>
            <family val="2"/>
          </rPr>
          <t xml:space="preserve">
1493 bear</t>
        </r>
      </text>
    </comment>
    <comment ref="DS111" authorId="1" shapeId="0" xr:uid="{00000000-0006-0000-0700-0000DE020000}">
      <text>
        <r>
          <rPr>
            <b/>
            <sz val="8"/>
            <color indexed="81"/>
            <rFont val="Tahoma"/>
            <family val="2"/>
          </rPr>
          <t>Martin Shkreli:</t>
        </r>
        <r>
          <rPr>
            <sz val="8"/>
            <color indexed="81"/>
            <rFont val="Tahoma"/>
            <family val="2"/>
          </rPr>
          <t xml:space="preserve">
6271 bear</t>
        </r>
      </text>
    </comment>
    <comment ref="DT111" authorId="1" shapeId="0" xr:uid="{00000000-0006-0000-0700-0000DF020000}">
      <text>
        <r>
          <rPr>
            <b/>
            <sz val="8"/>
            <color indexed="81"/>
            <rFont val="Tahoma"/>
            <family val="2"/>
          </rPr>
          <t>Martin Shkreli:</t>
        </r>
        <r>
          <rPr>
            <sz val="8"/>
            <color indexed="81"/>
            <rFont val="Tahoma"/>
            <family val="2"/>
          </rPr>
          <t xml:space="preserve">
6321 bear</t>
        </r>
      </text>
    </comment>
    <comment ref="EB111" authorId="1"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C111" authorId="1" shapeId="0" xr:uid="{00000000-0006-0000-0700-0000E1020000}">
      <text>
        <r>
          <rPr>
            <b/>
            <sz val="8"/>
            <color indexed="81"/>
            <rFont val="Tahoma"/>
            <family val="2"/>
          </rPr>
          <t>Martin Shkreli:</t>
        </r>
        <r>
          <rPr>
            <sz val="8"/>
            <color indexed="81"/>
            <rFont val="Tahoma"/>
            <family val="2"/>
          </rPr>
          <t xml:space="preserve">
was 12 many years ago</t>
        </r>
      </text>
    </comment>
    <comment ref="AI112" authorId="1" shapeId="0" xr:uid="{00000000-0006-0000-0700-0000E2020000}">
      <text>
        <r>
          <rPr>
            <b/>
            <sz val="8"/>
            <color indexed="81"/>
            <rFont val="Tahoma"/>
            <family val="2"/>
          </rPr>
          <t>Martin Shkreli:</t>
        </r>
        <r>
          <rPr>
            <sz val="8"/>
            <color indexed="81"/>
            <rFont val="Tahoma"/>
            <family val="2"/>
          </rPr>
          <t xml:space="preserve">
bear 457</t>
        </r>
      </text>
    </comment>
    <comment ref="AM113" authorId="2"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16" authorId="1" shapeId="0" xr:uid="{00000000-0006-0000-0700-0000E4020000}">
      <text>
        <r>
          <rPr>
            <b/>
            <sz val="8"/>
            <color indexed="81"/>
            <rFont val="Tahoma"/>
            <family val="2"/>
          </rPr>
          <t>Martin Shkreli:</t>
        </r>
        <r>
          <rPr>
            <sz val="8"/>
            <color indexed="81"/>
            <rFont val="Tahoma"/>
            <family val="2"/>
          </rPr>
          <t xml:space="preserve">
+1.0% excluding Zyrtec</t>
        </r>
      </text>
    </comment>
    <comment ref="AR119" authorId="3" shapeId="0" xr:uid="{00000000-0006-0000-0700-0000E5020000}">
      <text>
        <r>
          <rPr>
            <b/>
            <sz val="9"/>
            <color indexed="81"/>
            <rFont val="Tahoma"/>
            <family val="2"/>
          </rPr>
          <t>MSMB:</t>
        </r>
        <r>
          <rPr>
            <sz val="9"/>
            <color indexed="81"/>
            <rFont val="Tahoma"/>
            <family val="2"/>
          </rPr>
          <t xml:space="preserve">
10.8% including PCH
3.6% without PCH</t>
        </r>
      </text>
    </comment>
    <comment ref="AT119" authorId="3" shapeId="0" xr:uid="{00000000-0006-0000-0700-0000E6020000}">
      <text>
        <r>
          <rPr>
            <b/>
            <sz val="9"/>
            <color indexed="81"/>
            <rFont val="Tahoma"/>
            <family val="2"/>
          </rPr>
          <t>MSMB:</t>
        </r>
        <r>
          <rPr>
            <sz val="9"/>
            <color indexed="81"/>
            <rFont val="Tahoma"/>
            <family val="2"/>
          </rPr>
          <t xml:space="preserve">
11.9% with PCH deal
4.6% without PCH</t>
        </r>
      </text>
    </comment>
    <comment ref="BB119" authorId="0" shapeId="0" xr:uid="{00000000-0006-0000-0700-0000E7020000}">
      <text>
        <r>
          <rPr>
            <sz val="9"/>
            <color indexed="81"/>
            <rFont val="Tahoma"/>
            <family val="2"/>
          </rPr>
          <t>Extra selling days accounted for half of operational growth.</t>
        </r>
      </text>
    </comment>
    <comment ref="AL122" authorId="1"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R124" authorId="1" shapeId="0" xr:uid="{00000000-0006-0000-0700-0000E9020000}">
      <text>
        <r>
          <rPr>
            <b/>
            <sz val="8"/>
            <color indexed="81"/>
            <rFont val="Tahoma"/>
            <family val="2"/>
          </rPr>
          <t>Martin Shkreli:</t>
        </r>
        <r>
          <rPr>
            <sz val="8"/>
            <color indexed="81"/>
            <rFont val="Tahoma"/>
            <family val="2"/>
          </rPr>
          <t xml:space="preserve">
15532 bear</t>
        </r>
      </text>
    </comment>
    <comment ref="DS124" authorId="1" shapeId="0" xr:uid="{00000000-0006-0000-0700-0000EA020000}">
      <text>
        <r>
          <rPr>
            <b/>
            <sz val="8"/>
            <color indexed="81"/>
            <rFont val="Tahoma"/>
            <family val="2"/>
          </rPr>
          <t>Martin Shkreli:</t>
        </r>
        <r>
          <rPr>
            <sz val="8"/>
            <color indexed="81"/>
            <rFont val="Tahoma"/>
            <family val="2"/>
          </rPr>
          <t xml:space="preserve">
17316 bear</t>
        </r>
      </text>
    </comment>
    <comment ref="AA128" authorId="1" shapeId="0" xr:uid="{00000000-0006-0000-0700-0000EB020000}">
      <text>
        <r>
          <rPr>
            <b/>
            <sz val="8"/>
            <color indexed="81"/>
            <rFont val="Tahoma"/>
            <family val="2"/>
          </rPr>
          <t>Martin Shkreli:</t>
        </r>
        <r>
          <rPr>
            <sz val="8"/>
            <color indexed="81"/>
            <rFont val="Tahoma"/>
            <family val="2"/>
          </rPr>
          <t xml:space="preserve">
EMEA: 2218
WH: 472
AAP: 1120</t>
        </r>
      </text>
    </comment>
    <comment ref="AB128" authorId="1" shapeId="0" xr:uid="{00000000-0006-0000-0700-0000EC020000}">
      <text>
        <r>
          <rPr>
            <b/>
            <sz val="8"/>
            <color indexed="81"/>
            <rFont val="Tahoma"/>
            <family val="2"/>
          </rPr>
          <t>Martin Shkreli:</t>
        </r>
        <r>
          <rPr>
            <sz val="8"/>
            <color indexed="81"/>
            <rFont val="Tahoma"/>
            <family val="2"/>
          </rPr>
          <t xml:space="preserve">
Europe: 2451
WH: 555
AAP: 1214</t>
        </r>
      </text>
    </comment>
    <comment ref="AC128" authorId="1" shapeId="0" xr:uid="{00000000-0006-0000-0700-0000ED020000}">
      <text>
        <r>
          <rPr>
            <b/>
            <sz val="8"/>
            <color indexed="81"/>
            <rFont val="Tahoma"/>
            <family val="2"/>
          </rPr>
          <t>Martin Shkreli:</t>
        </r>
        <r>
          <rPr>
            <sz val="8"/>
            <color indexed="81"/>
            <rFont val="Tahoma"/>
            <family val="2"/>
          </rPr>
          <t xml:space="preserve">
Europe: 2241
WH: 576
AAP: 1224</t>
        </r>
      </text>
    </comment>
    <comment ref="AD128" authorId="1" shapeId="0" xr:uid="{00000000-0006-0000-0700-0000EE020000}">
      <text>
        <r>
          <rPr>
            <b/>
            <sz val="8"/>
            <color indexed="81"/>
            <rFont val="Tahoma"/>
            <family val="2"/>
          </rPr>
          <t>Martin Shkreli:</t>
        </r>
        <r>
          <rPr>
            <sz val="8"/>
            <color indexed="81"/>
            <rFont val="Tahoma"/>
            <family val="2"/>
          </rPr>
          <t xml:space="preserve">
Europe: 2573
WH: 634
AAP: 1310</t>
        </r>
      </text>
    </comment>
    <comment ref="DR128" authorId="1" shapeId="0" xr:uid="{00000000-0006-0000-0700-0000EF020000}">
      <text>
        <r>
          <rPr>
            <b/>
            <sz val="8"/>
            <color indexed="81"/>
            <rFont val="Tahoma"/>
            <family val="2"/>
          </rPr>
          <t>Martin Shkreli:</t>
        </r>
        <r>
          <rPr>
            <sz val="8"/>
            <color indexed="81"/>
            <rFont val="Tahoma"/>
            <family val="2"/>
          </rPr>
          <t xml:space="preserve">
11825 bear</t>
        </r>
      </text>
    </comment>
    <comment ref="DS128" authorId="1" shapeId="0" xr:uid="{00000000-0006-0000-0700-0000F0020000}">
      <text>
        <r>
          <rPr>
            <b/>
            <sz val="8"/>
            <color indexed="81"/>
            <rFont val="Tahoma"/>
            <family val="2"/>
          </rPr>
          <t>Martin Shkreli:</t>
        </r>
        <r>
          <rPr>
            <sz val="8"/>
            <color indexed="81"/>
            <rFont val="Tahoma"/>
            <family val="2"/>
          </rPr>
          <t xml:space="preserve">
11856 bear</t>
        </r>
      </text>
    </comment>
    <comment ref="DS134" authorId="1" shapeId="0" xr:uid="{00000000-0006-0000-0700-0000F1020000}">
      <text>
        <r>
          <rPr>
            <b/>
            <sz val="8"/>
            <color indexed="81"/>
            <rFont val="Tahoma"/>
            <family val="2"/>
          </rPr>
          <t>Martin Shkreli:</t>
        </r>
        <r>
          <rPr>
            <sz val="8"/>
            <color indexed="81"/>
            <rFont val="Tahoma"/>
            <family val="2"/>
          </rPr>
          <t xml:space="preserve">
1.50 share Bear</t>
        </r>
      </text>
    </comment>
    <comment ref="DT134" authorId="1" shapeId="0" xr:uid="{00000000-0006-0000-0700-0000F2020000}">
      <text>
        <r>
          <rPr>
            <b/>
            <sz val="8"/>
            <color indexed="81"/>
            <rFont val="Tahoma"/>
            <family val="2"/>
          </rPr>
          <t>Martin Shkreli:</t>
        </r>
        <r>
          <rPr>
            <sz val="8"/>
            <color indexed="81"/>
            <rFont val="Tahoma"/>
            <family val="2"/>
          </rPr>
          <t xml:space="preserve">
1.78 share Bear</t>
        </r>
      </text>
    </comment>
    <comment ref="DU134" authorId="1" shapeId="0" xr:uid="{00000000-0006-0000-0700-0000F3020000}">
      <text>
        <r>
          <rPr>
            <b/>
            <sz val="8"/>
            <color indexed="81"/>
            <rFont val="Tahoma"/>
            <family val="2"/>
          </rPr>
          <t>Martin Shkreli:</t>
        </r>
        <r>
          <rPr>
            <sz val="8"/>
            <color indexed="81"/>
            <rFont val="Tahoma"/>
            <family val="2"/>
          </rPr>
          <t xml:space="preserve">
2.13/share Bear</t>
        </r>
      </text>
    </comment>
    <comment ref="DV134" authorId="1" shapeId="0" xr:uid="{00000000-0006-0000-0700-0000F4020000}">
      <text>
        <r>
          <rPr>
            <b/>
            <sz val="8"/>
            <color indexed="81"/>
            <rFont val="Tahoma"/>
            <family val="2"/>
          </rPr>
          <t>Martin Shkreli:</t>
        </r>
        <r>
          <rPr>
            <sz val="8"/>
            <color indexed="81"/>
            <rFont val="Tahoma"/>
            <family val="2"/>
          </rPr>
          <t xml:space="preserve">
2.42/share Bear</t>
        </r>
      </text>
    </comment>
    <comment ref="DW134" authorId="1" shapeId="0" xr:uid="{00000000-0006-0000-0700-0000F5020000}">
      <text>
        <r>
          <rPr>
            <b/>
            <sz val="8"/>
            <color indexed="81"/>
            <rFont val="Tahoma"/>
            <family val="2"/>
          </rPr>
          <t>Martin Shkreli:</t>
        </r>
        <r>
          <rPr>
            <sz val="8"/>
            <color indexed="81"/>
            <rFont val="Tahoma"/>
            <family val="2"/>
          </rPr>
          <t xml:space="preserve">
3.06/share Bear</t>
        </r>
      </text>
    </comment>
    <comment ref="DX134" authorId="1" shapeId="0" xr:uid="{00000000-0006-0000-0700-0000F6020000}">
      <text>
        <r>
          <rPr>
            <b/>
            <sz val="8"/>
            <color indexed="81"/>
            <rFont val="Tahoma"/>
            <family val="2"/>
          </rPr>
          <t>Martin Shkreli:</t>
        </r>
        <r>
          <rPr>
            <sz val="8"/>
            <color indexed="81"/>
            <rFont val="Tahoma"/>
            <family val="2"/>
          </rPr>
          <t xml:space="preserve">
3.01/share Bear</t>
        </r>
      </text>
    </comment>
    <comment ref="BO185" authorId="4" shapeId="0" xr:uid="{00000000-0006-0000-0700-0000F7020000}">
      <text>
        <r>
          <rPr>
            <b/>
            <sz val="9"/>
            <color indexed="81"/>
            <rFont val="Tahoma"/>
            <family val="2"/>
          </rPr>
          <t>Martin:</t>
        </r>
        <r>
          <rPr>
            <sz val="9"/>
            <color indexed="81"/>
            <rFont val="Tahoma"/>
            <family val="2"/>
          </rPr>
          <t xml:space="preserve">
Venezuela</t>
        </r>
      </text>
    </comment>
    <comment ref="BP185" authorId="4" shapeId="0" xr:uid="{00000000-0006-0000-0700-0000F8020000}">
      <text>
        <r>
          <rPr>
            <b/>
            <sz val="9"/>
            <color indexed="81"/>
            <rFont val="Tahoma"/>
            <family val="2"/>
          </rPr>
          <t>Martin:</t>
        </r>
        <r>
          <rPr>
            <sz val="9"/>
            <color indexed="81"/>
            <rFont val="Tahoma"/>
            <family val="2"/>
          </rPr>
          <t xml:space="preserve">
Venezuela, net gain on equity</t>
        </r>
      </text>
    </comment>
    <comment ref="BQ185" authorId="4" shapeId="0" xr:uid="{00000000-0006-0000-0700-0000F9020000}">
      <text>
        <r>
          <rPr>
            <b/>
            <sz val="9"/>
            <color indexed="81"/>
            <rFont val="Tahoma"/>
            <family val="2"/>
          </rPr>
          <t>Martin:</t>
        </r>
        <r>
          <rPr>
            <sz val="9"/>
            <color indexed="81"/>
            <rFont val="Tahoma"/>
            <family val="2"/>
          </rPr>
          <t xml:space="preserve">
Venezuela, net gain on equity</t>
        </r>
      </text>
    </comment>
    <comment ref="BO196" authorId="4" shapeId="0" xr:uid="{00000000-0006-0000-0700-0000FA020000}">
      <text>
        <r>
          <rPr>
            <b/>
            <sz val="9"/>
            <color indexed="81"/>
            <rFont val="Tahoma"/>
            <family val="2"/>
          </rPr>
          <t>Martin:</t>
        </r>
        <r>
          <rPr>
            <sz val="9"/>
            <color indexed="81"/>
            <rFont val="Tahoma"/>
            <family val="2"/>
          </rPr>
          <t xml:space="preserve">
Flexible Stenting Solutions Inc.</t>
        </r>
      </text>
    </comment>
    <comment ref="BQ196" authorId="4" shapeId="0" xr:uid="{00000000-0006-0000-0700-0000FB020000}">
      <text>
        <r>
          <rPr>
            <b/>
            <sz val="9"/>
            <color indexed="81"/>
            <rFont val="Tahoma"/>
            <family val="2"/>
          </rPr>
          <t>Martin:</t>
        </r>
        <r>
          <rPr>
            <sz val="9"/>
            <color indexed="81"/>
            <rFont val="Tahoma"/>
            <family val="2"/>
          </rPr>
          <t xml:space="preserve">
Aragon</t>
        </r>
      </text>
    </comment>
    <comment ref="EB215" authorId="3" shapeId="0" xr:uid="{00000000-0006-0000-0700-0000FC020000}">
      <text>
        <r>
          <rPr>
            <b/>
            <sz val="9"/>
            <color indexed="81"/>
            <rFont val="Tahoma"/>
            <family val="2"/>
          </rPr>
          <t>MSMB:</t>
        </r>
        <r>
          <rPr>
            <sz val="9"/>
            <color indexed="81"/>
            <rFont val="Tahoma"/>
            <family val="2"/>
          </rPr>
          <t xml:space="preserve">
3/9/09</t>
        </r>
      </text>
    </comment>
    <comment ref="Q225" authorId="1" shapeId="0" xr:uid="{00000000-0006-0000-0700-0000FD020000}">
      <text>
        <r>
          <rPr>
            <b/>
            <sz val="8"/>
            <color indexed="81"/>
            <rFont val="Tahoma"/>
            <family val="2"/>
          </rPr>
          <t>Martin Shkreli:</t>
        </r>
        <r>
          <rPr>
            <sz val="8"/>
            <color indexed="81"/>
            <rFont val="Tahoma"/>
            <family val="2"/>
          </rPr>
          <t xml:space="preserve">
100m destocking hit</t>
        </r>
      </text>
    </comment>
    <comment ref="T225" authorId="1" shapeId="0" xr:uid="{00000000-0006-0000-0700-0000FE020000}">
      <text>
        <r>
          <rPr>
            <b/>
            <sz val="8"/>
            <color indexed="81"/>
            <rFont val="Tahoma"/>
            <family val="2"/>
          </rPr>
          <t>Martin Shkreli:</t>
        </r>
        <r>
          <rPr>
            <sz val="8"/>
            <color indexed="81"/>
            <rFont val="Tahoma"/>
            <family val="2"/>
          </rPr>
          <t xml:space="preserve">
AZA?</t>
        </r>
      </text>
    </comment>
    <comment ref="DS225" authorId="1" shapeId="0" xr:uid="{00000000-0006-0000-0700-0000FF020000}">
      <text>
        <r>
          <rPr>
            <b/>
            <sz val="8"/>
            <color indexed="81"/>
            <rFont val="Tahoma"/>
            <family val="2"/>
          </rPr>
          <t>Martin Shkreli:</t>
        </r>
        <r>
          <rPr>
            <sz val="8"/>
            <color indexed="81"/>
            <rFont val="Tahoma"/>
            <family val="2"/>
          </rPr>
          <t xml:space="preserve">
8441 bear</t>
        </r>
      </text>
    </comment>
    <comment ref="Q226" authorId="1" shapeId="0" xr:uid="{00000000-0006-0000-0700-000000030000}">
      <text>
        <r>
          <rPr>
            <b/>
            <sz val="8"/>
            <color indexed="81"/>
            <rFont val="Tahoma"/>
            <family val="2"/>
          </rPr>
          <t>Martin Shkreli:</t>
        </r>
        <r>
          <rPr>
            <sz val="8"/>
            <color indexed="81"/>
            <rFont val="Tahoma"/>
            <family val="2"/>
          </rPr>
          <t xml:space="preserve">
8% constant FX growth</t>
        </r>
      </text>
    </comment>
    <comment ref="DS226" authorId="1" shapeId="0" xr:uid="{00000000-0006-0000-0700-000001030000}">
      <text>
        <r>
          <rPr>
            <b/>
            <sz val="8"/>
            <color indexed="81"/>
            <rFont val="Tahoma"/>
            <family val="2"/>
          </rPr>
          <t>Martin Shkreli:</t>
        </r>
        <r>
          <rPr>
            <sz val="8"/>
            <color indexed="81"/>
            <rFont val="Tahoma"/>
            <family val="2"/>
          </rPr>
          <t xml:space="preserve">
4220 bear</t>
        </r>
      </text>
    </comment>
    <comment ref="Q227" authorId="1" shapeId="0" xr:uid="{00000000-0006-0000-0700-000002030000}">
      <text>
        <r>
          <rPr>
            <b/>
            <sz val="8"/>
            <color indexed="81"/>
            <rFont val="Tahoma"/>
            <family val="2"/>
          </rPr>
          <t>Martin Shkreli:</t>
        </r>
        <r>
          <rPr>
            <sz val="8"/>
            <color indexed="81"/>
            <rFont val="Tahoma"/>
            <family val="2"/>
          </rPr>
          <t xml:space="preserve">
11% constant FX growth</t>
        </r>
      </text>
    </comment>
    <comment ref="AA227" authorId="1" shapeId="0" xr:uid="{00000000-0006-0000-0700-000003030000}">
      <text>
        <r>
          <rPr>
            <b/>
            <sz val="8"/>
            <color indexed="81"/>
            <rFont val="Tahoma"/>
            <family val="2"/>
          </rPr>
          <t>Martin Shkreli:</t>
        </r>
        <r>
          <rPr>
            <sz val="8"/>
            <color indexed="81"/>
            <rFont val="Tahoma"/>
            <family val="2"/>
          </rPr>
          <t xml:space="preserve">
7.8% CC</t>
        </r>
      </text>
    </comment>
    <comment ref="AC227" authorId="1" shapeId="0" xr:uid="{00000000-0006-0000-0700-000004030000}">
      <text>
        <r>
          <rPr>
            <b/>
            <sz val="8"/>
            <color indexed="81"/>
            <rFont val="Tahoma"/>
            <family val="2"/>
          </rPr>
          <t>Martin Shkreli:</t>
        </r>
        <r>
          <rPr>
            <sz val="8"/>
            <color indexed="81"/>
            <rFont val="Tahoma"/>
            <family val="2"/>
          </rPr>
          <t xml:space="preserve">
9.7% CC growth</t>
        </r>
      </text>
    </comment>
    <comment ref="DR227" authorId="1" shapeId="0" xr:uid="{00000000-0006-0000-0700-000005030000}">
      <text>
        <r>
          <rPr>
            <b/>
            <sz val="8"/>
            <color indexed="81"/>
            <rFont val="Tahoma"/>
            <family val="2"/>
          </rPr>
          <t>Martin Shkreli:</t>
        </r>
        <r>
          <rPr>
            <sz val="8"/>
            <color indexed="81"/>
            <rFont val="Tahoma"/>
            <family val="2"/>
          </rPr>
          <t xml:space="preserve">
jpm may incl alza</t>
        </r>
      </text>
    </comment>
    <comment ref="DS227" authorId="1" shapeId="0" xr:uid="{00000000-0006-0000-0700-000006030000}">
      <text>
        <r>
          <rPr>
            <b/>
            <sz val="8"/>
            <color indexed="81"/>
            <rFont val="Tahoma"/>
            <family val="2"/>
          </rPr>
          <t>Martin Shkreli:</t>
        </r>
        <r>
          <rPr>
            <sz val="8"/>
            <color indexed="81"/>
            <rFont val="Tahoma"/>
            <family val="2"/>
          </rPr>
          <t xml:space="preserve">
jpm may incl alza</t>
        </r>
      </text>
    </comment>
    <comment ref="DR228" authorId="1" shapeId="0" xr:uid="{00000000-0006-0000-0700-000007030000}">
      <text>
        <r>
          <rPr>
            <b/>
            <sz val="8"/>
            <color indexed="81"/>
            <rFont val="Tahoma"/>
            <family val="2"/>
          </rPr>
          <t>Martin Shkreli:</t>
        </r>
        <r>
          <rPr>
            <sz val="8"/>
            <color indexed="81"/>
            <rFont val="Tahoma"/>
            <family val="2"/>
          </rPr>
          <t xml:space="preserve">
5266 bear</t>
        </r>
      </text>
    </comment>
    <comment ref="DS228" authorId="1" shapeId="0" xr:uid="{00000000-0006-0000-0700-000008030000}">
      <text>
        <r>
          <rPr>
            <b/>
            <sz val="8"/>
            <color indexed="81"/>
            <rFont val="Tahoma"/>
            <family val="2"/>
          </rPr>
          <t>Martin Shkreli:</t>
        </r>
        <r>
          <rPr>
            <sz val="8"/>
            <color indexed="81"/>
            <rFont val="Tahoma"/>
            <family val="2"/>
          </rPr>
          <t xml:space="preserve">
5472 bear</t>
        </r>
      </text>
    </comment>
    <comment ref="Q229" authorId="1" shapeId="0" xr:uid="{00000000-0006-0000-0700-000009030000}">
      <text>
        <r>
          <rPr>
            <b/>
            <sz val="8"/>
            <color indexed="81"/>
            <rFont val="Tahoma"/>
            <family val="2"/>
          </rPr>
          <t>Martin Shkreli:</t>
        </r>
        <r>
          <rPr>
            <sz val="8"/>
            <color indexed="81"/>
            <rFont val="Tahoma"/>
            <family val="2"/>
          </rPr>
          <t xml:space="preserve">
12% constant FX growth</t>
        </r>
      </text>
    </comment>
    <comment ref="DR229" authorId="1" shapeId="0" xr:uid="{00000000-0006-0000-0700-00000A030000}">
      <text>
        <r>
          <rPr>
            <b/>
            <sz val="8"/>
            <color indexed="81"/>
            <rFont val="Tahoma"/>
            <family val="2"/>
          </rPr>
          <t>Martin Shkreli:</t>
        </r>
        <r>
          <rPr>
            <sz val="8"/>
            <color indexed="81"/>
            <rFont val="Tahoma"/>
            <family val="2"/>
          </rPr>
          <t xml:space="preserve">
4613 bear</t>
        </r>
      </text>
    </comment>
    <comment ref="DS229" authorId="1" shapeId="0" xr:uid="{00000000-0006-0000-0700-00000B030000}">
      <text>
        <r>
          <rPr>
            <b/>
            <sz val="8"/>
            <color indexed="81"/>
            <rFont val="Tahoma"/>
            <family val="2"/>
          </rPr>
          <t>Martin Shkreli:</t>
        </r>
        <r>
          <rPr>
            <sz val="8"/>
            <color indexed="81"/>
            <rFont val="Tahoma"/>
            <family val="2"/>
          </rPr>
          <t xml:space="preserve">
4768 bear</t>
        </r>
      </text>
    </comment>
    <comment ref="Q230" authorId="1" shapeId="0" xr:uid="{00000000-0006-0000-0700-00000C030000}">
      <text>
        <r>
          <rPr>
            <b/>
            <sz val="8"/>
            <color indexed="81"/>
            <rFont val="Tahoma"/>
            <family val="2"/>
          </rPr>
          <t>Martin Shkreli:</t>
        </r>
        <r>
          <rPr>
            <sz val="8"/>
            <color indexed="81"/>
            <rFont val="Tahoma"/>
            <family val="2"/>
          </rPr>
          <t xml:space="preserve">
8% constant FX growth</t>
        </r>
      </text>
    </comment>
    <comment ref="DR230" authorId="1" shapeId="0" xr:uid="{00000000-0006-0000-0700-00000D030000}">
      <text>
        <r>
          <rPr>
            <b/>
            <sz val="8"/>
            <color indexed="81"/>
            <rFont val="Tahoma"/>
            <family val="2"/>
          </rPr>
          <t>Martin Shkreli:</t>
        </r>
        <r>
          <rPr>
            <sz val="8"/>
            <color indexed="81"/>
            <rFont val="Tahoma"/>
            <family val="2"/>
          </rPr>
          <t xml:space="preserve">
9879 bear</t>
        </r>
      </text>
    </comment>
    <comment ref="DS230" authorId="1" shapeId="0" xr:uid="{00000000-0006-0000-0700-00000E030000}">
      <text>
        <r>
          <rPr>
            <b/>
            <sz val="8"/>
            <color indexed="81"/>
            <rFont val="Tahoma"/>
            <family val="2"/>
          </rPr>
          <t>Martin Shkreli:</t>
        </r>
        <r>
          <rPr>
            <sz val="8"/>
            <color indexed="81"/>
            <rFont val="Tahoma"/>
            <family val="2"/>
          </rPr>
          <t xml:space="preserve">
10240 bear</t>
        </r>
      </text>
    </comment>
    <comment ref="DR231" authorId="1" shapeId="0" xr:uid="{00000000-0006-0000-0700-00000F030000}">
      <text>
        <r>
          <rPr>
            <b/>
            <sz val="8"/>
            <color indexed="81"/>
            <rFont val="Tahoma"/>
            <family val="2"/>
          </rPr>
          <t>Martin Shkreli:</t>
        </r>
        <r>
          <rPr>
            <sz val="8"/>
            <color indexed="81"/>
            <rFont val="Tahoma"/>
            <family val="2"/>
          </rPr>
          <t xml:space="preserve">
3311 bear</t>
        </r>
      </text>
    </comment>
    <comment ref="DS231" authorId="1" shapeId="0" xr:uid="{00000000-0006-0000-0700-000010030000}">
      <text>
        <r>
          <rPr>
            <b/>
            <sz val="8"/>
            <color indexed="81"/>
            <rFont val="Tahoma"/>
            <family val="2"/>
          </rPr>
          <t>Martin Shkreli:</t>
        </r>
        <r>
          <rPr>
            <sz val="8"/>
            <color indexed="81"/>
            <rFont val="Tahoma"/>
            <family val="2"/>
          </rPr>
          <t xml:space="preserve">
3403 bear</t>
        </r>
      </text>
    </comment>
    <comment ref="Q232" authorId="1" shapeId="0" xr:uid="{00000000-0006-0000-0700-000011030000}">
      <text>
        <r>
          <rPr>
            <b/>
            <sz val="8"/>
            <color indexed="81"/>
            <rFont val="Tahoma"/>
            <family val="2"/>
          </rPr>
          <t>Martin Shkreli:</t>
        </r>
        <r>
          <rPr>
            <sz val="8"/>
            <color indexed="81"/>
            <rFont val="Tahoma"/>
            <family val="2"/>
          </rPr>
          <t xml:space="preserve">
7% constant FX growth</t>
        </r>
      </text>
    </comment>
    <comment ref="DR232" authorId="1" shapeId="0" xr:uid="{00000000-0006-0000-0700-000012030000}">
      <text>
        <r>
          <rPr>
            <b/>
            <sz val="8"/>
            <color indexed="81"/>
            <rFont val="Tahoma"/>
            <family val="2"/>
          </rPr>
          <t>Martin Shkreli:</t>
        </r>
        <r>
          <rPr>
            <sz val="8"/>
            <color indexed="81"/>
            <rFont val="Tahoma"/>
            <family val="2"/>
          </rPr>
          <t xml:space="preserve">
2937 bear</t>
        </r>
      </text>
    </comment>
    <comment ref="DS232" authorId="1" shapeId="0" xr:uid="{00000000-0006-0000-0700-000013030000}">
      <text>
        <r>
          <rPr>
            <b/>
            <sz val="8"/>
            <color indexed="81"/>
            <rFont val="Tahoma"/>
            <family val="2"/>
          </rPr>
          <t>Martin Shkreli:</t>
        </r>
        <r>
          <rPr>
            <sz val="8"/>
            <color indexed="81"/>
            <rFont val="Tahoma"/>
            <family val="2"/>
          </rPr>
          <t xml:space="preserve">
2868 bear</t>
        </r>
      </text>
    </comment>
    <comment ref="Q233" authorId="1" shapeId="0" xr:uid="{00000000-0006-0000-0700-000014030000}">
      <text>
        <r>
          <rPr>
            <b/>
            <sz val="8"/>
            <color indexed="81"/>
            <rFont val="Tahoma"/>
            <family val="2"/>
          </rPr>
          <t>Martin Shkreli:</t>
        </r>
        <r>
          <rPr>
            <sz val="8"/>
            <color indexed="81"/>
            <rFont val="Tahoma"/>
            <family val="2"/>
          </rPr>
          <t xml:space="preserve">
4% constant FX growth</t>
        </r>
      </text>
    </comment>
    <comment ref="DR233" authorId="1" shapeId="0" xr:uid="{00000000-0006-0000-0700-000015030000}">
      <text>
        <r>
          <rPr>
            <b/>
            <sz val="8"/>
            <color indexed="81"/>
            <rFont val="Tahoma"/>
            <family val="2"/>
          </rPr>
          <t>Martin Shkreli:</t>
        </r>
        <r>
          <rPr>
            <sz val="8"/>
            <color indexed="81"/>
            <rFont val="Tahoma"/>
            <family val="2"/>
          </rPr>
          <t xml:space="preserve">
6248 bear</t>
        </r>
      </text>
    </comment>
    <comment ref="DS233" authorId="1" shapeId="0" xr:uid="{00000000-0006-0000-0700-000016030000}">
      <text>
        <r>
          <rPr>
            <sz val="8"/>
            <color indexed="81"/>
            <rFont val="Tahoma"/>
            <family val="2"/>
          </rPr>
          <t>6271 bear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8"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7" authorId="1" shapeId="0" xr:uid="{00000000-0006-0000-2B00-000002000000}">
      <text>
        <r>
          <rPr>
            <sz val="8"/>
            <color indexed="8"/>
            <rFont val="Times New Roman"/>
            <family val="1"/>
          </rPr>
          <t>See JPM Stent Market Model for detailed assumptions.</t>
        </r>
      </text>
    </comment>
    <comment ref="L57" authorId="1" shapeId="0" xr:uid="{00000000-0006-0000-2B00-000003000000}">
      <text>
        <r>
          <rPr>
            <sz val="8"/>
            <color indexed="8"/>
            <rFont val="Times New Roman"/>
            <family val="1"/>
          </rPr>
          <t>See JPM Stent Market Model for detailed assumptions.</t>
        </r>
      </text>
    </comment>
    <comment ref="M57" authorId="1" shapeId="0" xr:uid="{00000000-0006-0000-2B00-000004000000}">
      <text>
        <r>
          <rPr>
            <sz val="8"/>
            <color indexed="8"/>
            <rFont val="Times New Roman"/>
            <family val="1"/>
          </rPr>
          <t>See JPM Stent Market Model for detailed assumptions.</t>
        </r>
      </text>
    </comment>
    <comment ref="N57" authorId="1" shapeId="0" xr:uid="{00000000-0006-0000-2B00-000005000000}">
      <text>
        <r>
          <rPr>
            <sz val="8"/>
            <color indexed="8"/>
            <rFont val="Times New Roman"/>
            <family val="1"/>
          </rPr>
          <t>See JPM Stent Market Model for detailed assumptions.</t>
        </r>
      </text>
    </comment>
    <comment ref="K58" authorId="1" shapeId="0" xr:uid="{00000000-0006-0000-2B00-000006000000}">
      <text>
        <r>
          <rPr>
            <sz val="8"/>
            <color indexed="8"/>
            <rFont val="Times New Roman"/>
            <family val="1"/>
          </rPr>
          <t>Assumes 3Q'04 approval for Cypher in Japan.</t>
        </r>
      </text>
    </comment>
    <comment ref="L60" authorId="1" shapeId="0" xr:uid="{00000000-0006-0000-2B00-000007000000}">
      <text>
        <r>
          <rPr>
            <sz val="8"/>
            <color indexed="8"/>
            <rFont val="Times New Roman"/>
            <family val="1"/>
          </rPr>
          <t>Assumes carotid stent approval 2H04.</t>
        </r>
      </text>
    </comment>
    <comment ref="K65" authorId="1" shapeId="0" xr:uid="{00000000-0006-0000-2B00-000008000000}">
      <text>
        <r>
          <rPr>
            <sz val="8"/>
            <color indexed="8"/>
            <rFont val="Times New Roman"/>
            <family val="1"/>
          </rPr>
          <t>21% operational growth Q1</t>
        </r>
      </text>
    </comment>
  </commentList>
</comments>
</file>

<file path=xl/sharedStrings.xml><?xml version="1.0" encoding="utf-8"?>
<sst xmlns="http://schemas.openxmlformats.org/spreadsheetml/2006/main" count="2914" uniqueCount="1905">
  <si>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</si>
  <si>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</si>
  <si>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</si>
  <si>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</si>
  <si>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</si>
  <si>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</si>
  <si>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</si>
  <si>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</si>
  <si>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</si>
  <si>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</si>
  <si>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</si>
  <si>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</si>
  <si>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</si>
  <si>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</si>
  <si>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</si>
  <si>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</si>
  <si>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</si>
  <si>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</si>
  <si>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NCE antibody. 7,491,391 and 7,479.479 issued in 2009.</t>
  </si>
  <si>
    <t>5,641,651, 5,656,272, 5,698,195, 5,698,419, issued 1997 (2017 expiry). 5,753,628 issued 1998. 7,425,330, 7,416,729, 7,404,955, 7,374,761, 7,335,358 issued 2008.</t>
  </si>
  <si>
    <t>abciximab</t>
  </si>
  <si>
    <t>CNTO3649</t>
  </si>
  <si>
    <t>Phase II/III n=500 Crohn's</t>
  </si>
  <si>
    <t>Expired</t>
  </si>
  <si>
    <t>NCE</t>
  </si>
  <si>
    <t>PPIs</t>
  </si>
  <si>
    <t>EPO</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</si>
  <si>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</si>
  <si>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</si>
  <si>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</si>
  <si>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</si>
  <si>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</si>
  <si>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</si>
  <si>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</si>
  <si>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</si>
  <si>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</si>
  <si>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</si>
  <si>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</si>
  <si>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</si>
  <si>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</si>
  <si>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</si>
  <si>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</si>
  <si>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</si>
  <si>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</si>
  <si>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</si>
  <si>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</si>
  <si>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</si>
  <si>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</si>
  <si>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</si>
  <si>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</si>
  <si>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</si>
  <si>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</si>
  <si>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</si>
  <si>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</si>
  <si>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</si>
  <si>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</si>
  <si>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</si>
  <si>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</si>
  <si>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</si>
  <si>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</si>
  <si>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</si>
  <si>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</si>
  <si>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</si>
  <si>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</si>
  <si>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</si>
  <si>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</si>
  <si>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</si>
  <si>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</si>
  <si>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</si>
  <si>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</si>
  <si>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</si>
  <si>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</si>
  <si>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</si>
  <si>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</si>
  <si>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</si>
  <si>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</si>
  <si>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</si>
  <si>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</si>
  <si>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</si>
  <si>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</si>
  <si>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</si>
  <si>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</si>
  <si>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</si>
  <si>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</si>
  <si>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</si>
  <si>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</si>
  <si>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</si>
  <si>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</si>
  <si>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</si>
  <si>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</si>
  <si>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</si>
  <si>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</si>
  <si>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</si>
  <si>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</si>
  <si>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</si>
  <si>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</si>
  <si>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</si>
  <si>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</si>
  <si>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</si>
  <si>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</si>
  <si>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</si>
  <si>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</si>
  <si>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</si>
  <si>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</si>
  <si>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</si>
  <si>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</si>
  <si>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</si>
  <si>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</si>
  <si>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</si>
  <si>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</si>
  <si>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</si>
  <si>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</si>
  <si>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</si>
  <si>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</si>
  <si>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</si>
  <si>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</si>
  <si>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</si>
  <si>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</si>
  <si>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</si>
  <si>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</si>
  <si>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</si>
  <si>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</si>
  <si>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</si>
  <si>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</si>
  <si>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</si>
  <si>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</si>
  <si>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</si>
  <si>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</si>
  <si>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</si>
  <si>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</si>
  <si>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</si>
  <si>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</si>
  <si>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</si>
  <si>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</si>
  <si>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</si>
  <si>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</si>
  <si>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</si>
  <si>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</si>
  <si>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</si>
  <si>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</si>
  <si>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</si>
  <si>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</si>
  <si>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</si>
  <si>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</si>
  <si>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</si>
  <si>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</si>
  <si>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</si>
  <si>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</si>
  <si>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</si>
  <si>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</si>
  <si>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</si>
  <si>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</si>
  <si>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</si>
  <si>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</si>
  <si>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</si>
  <si>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</si>
  <si>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</si>
  <si>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</si>
  <si>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</si>
  <si>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</si>
  <si>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</si>
  <si>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</si>
  <si>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</si>
  <si>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</si>
  <si>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</si>
  <si>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</si>
  <si>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</si>
  <si>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</si>
  <si>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</si>
  <si>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</si>
  <si>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</si>
  <si>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</si>
  <si>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</si>
  <si>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</si>
  <si>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</si>
  <si>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</si>
  <si>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</si>
  <si>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</si>
  <si>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</si>
  <si>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</si>
  <si>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</si>
  <si>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</si>
  <si>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</si>
  <si>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</si>
  <si>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</si>
  <si>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</si>
  <si>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</si>
  <si>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</si>
  <si>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</si>
  <si>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</si>
  <si>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</si>
  <si>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</si>
  <si>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</si>
  <si>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</si>
  <si>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</si>
  <si>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</si>
  <si>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</si>
  <si>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</si>
  <si>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</si>
  <si>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</si>
  <si>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</si>
  <si>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</si>
  <si>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</si>
  <si>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</si>
  <si>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</si>
  <si>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</si>
  <si>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</si>
  <si>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</si>
  <si>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</si>
  <si>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</si>
  <si>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</si>
  <si>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</si>
  <si>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</si>
  <si>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</si>
  <si>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</si>
  <si>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</si>
  <si>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</si>
  <si>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</si>
  <si>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</si>
  <si>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</si>
  <si>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</si>
  <si>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</si>
  <si>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</si>
  <si>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</si>
  <si>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</si>
  <si>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</si>
  <si>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</si>
  <si>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</si>
  <si>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</si>
  <si>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</si>
  <si>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</si>
  <si>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</si>
  <si>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</si>
  <si>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</si>
  <si>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</si>
  <si>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</si>
  <si>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</si>
  <si>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</si>
  <si>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</si>
  <si>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</si>
  <si>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</si>
  <si>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</si>
  <si>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</si>
  <si>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</si>
  <si>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</si>
  <si>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</si>
  <si>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</si>
  <si>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</si>
  <si>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</si>
  <si>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</si>
  <si>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</si>
  <si>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</si>
  <si>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</si>
  <si>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</si>
  <si>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</si>
  <si>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</si>
  <si>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</si>
  <si>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</si>
  <si>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</si>
  <si>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</si>
  <si>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</si>
  <si>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</si>
  <si>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</si>
  <si>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</si>
  <si>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</si>
  <si>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</si>
  <si>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</si>
  <si>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</si>
  <si>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</si>
  <si>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</si>
  <si>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</si>
  <si>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</si>
  <si>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</si>
  <si>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</si>
  <si>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</si>
  <si>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</si>
  <si>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</si>
  <si>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</si>
  <si>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</si>
  <si>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</si>
  <si>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</si>
  <si>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</si>
  <si>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</si>
  <si>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</si>
  <si>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</si>
  <si>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</si>
  <si>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</si>
  <si>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</si>
  <si>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</si>
  <si>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</si>
  <si>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</si>
  <si>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</si>
  <si>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</si>
  <si>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</si>
  <si>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</si>
  <si>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</si>
  <si>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</si>
  <si>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</si>
  <si>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</si>
  <si>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</si>
  <si>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</si>
  <si>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</si>
  <si>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</si>
  <si>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</si>
  <si>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</si>
  <si>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</si>
  <si>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</si>
  <si>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</si>
  <si>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</si>
  <si>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</si>
  <si>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</si>
  <si>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</si>
  <si>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</si>
  <si>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</si>
  <si>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</si>
  <si>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</si>
  <si>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</si>
  <si>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</si>
  <si>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</si>
  <si>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</si>
  <si>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</si>
  <si>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</si>
  <si>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</si>
  <si>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</si>
  <si>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</si>
  <si>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</si>
  <si>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</si>
  <si>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</si>
  <si>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</si>
  <si>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</si>
  <si>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</si>
  <si>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</si>
  <si>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</si>
  <si>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</si>
  <si>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</si>
  <si>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</si>
  <si>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</si>
  <si>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</si>
  <si>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</si>
  <si>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</si>
  <si>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</si>
  <si>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</si>
  <si>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</si>
  <si>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</si>
  <si>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</si>
  <si>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</si>
  <si>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</si>
  <si>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</si>
  <si>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</si>
  <si>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</si>
  <si>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</si>
  <si>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</si>
  <si>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</si>
  <si>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</si>
  <si>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</si>
  <si>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</si>
  <si>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</si>
  <si>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</si>
  <si>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</si>
  <si>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</si>
  <si>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</si>
  <si>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</si>
  <si>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</si>
  <si>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</si>
  <si>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</si>
  <si>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</si>
  <si>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</si>
  <si>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</si>
  <si>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</si>
  <si>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</si>
  <si>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</si>
  <si>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</si>
  <si>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</si>
  <si>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</si>
  <si>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</si>
  <si>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</si>
  <si>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</si>
  <si>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</si>
  <si>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</si>
  <si>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</si>
  <si>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</si>
  <si>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</si>
  <si>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</si>
  <si>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</si>
  <si>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</si>
  <si>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</si>
  <si>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</si>
  <si>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</si>
  <si>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</si>
  <si>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</si>
  <si>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</si>
  <si>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</si>
  <si>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</si>
  <si>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</si>
  <si>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</si>
  <si>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</si>
  <si>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</si>
  <si>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</si>
  <si>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</si>
  <si>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</si>
  <si>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</si>
  <si>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</si>
  <si>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</si>
  <si>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</si>
  <si>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</si>
  <si>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</si>
  <si>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</si>
  <si>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</si>
  <si>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</si>
  <si>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</si>
  <si>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</si>
  <si>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</si>
  <si>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</si>
  <si>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</si>
  <si>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</si>
  <si>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</si>
  <si>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</si>
  <si>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</si>
  <si>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</si>
  <si>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</si>
  <si>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</si>
  <si>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</si>
  <si>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</si>
  <si>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</si>
  <si>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</si>
  <si>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</si>
  <si>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</si>
  <si>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</si>
  <si>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</si>
  <si>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</si>
  <si>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</si>
  <si>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</si>
  <si>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</si>
  <si>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</si>
  <si>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</si>
  <si>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</si>
  <si>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</si>
  <si>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</si>
  <si>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</si>
  <si>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</si>
  <si>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</si>
  <si>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</si>
  <si>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</si>
  <si>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</si>
  <si>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</si>
  <si>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</si>
  <si>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</si>
  <si>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</si>
  <si>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</si>
  <si>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</si>
  <si>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</si>
  <si>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</si>
  <si>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</si>
  <si>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</si>
  <si>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</si>
  <si>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</si>
  <si>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</si>
  <si>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</si>
  <si>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</si>
  <si>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</si>
  <si>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</si>
  <si>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</si>
  <si>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</si>
  <si>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</si>
  <si>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</si>
  <si>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</si>
  <si>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</si>
  <si>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</si>
  <si>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</si>
  <si>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</si>
  <si>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</si>
  <si>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</si>
  <si>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</si>
  <si>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</si>
  <si>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</si>
  <si>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</si>
  <si>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</si>
  <si>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</si>
  <si>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</si>
  <si>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</si>
  <si>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</si>
  <si>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</si>
  <si>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</si>
  <si>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</si>
  <si>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</si>
  <si>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</si>
  <si>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</si>
  <si>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</si>
  <si>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</si>
  <si>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</si>
  <si>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</si>
  <si>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</si>
  <si>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</si>
  <si>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</si>
  <si>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</si>
  <si>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</si>
  <si>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</si>
  <si>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</si>
  <si>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</si>
  <si>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</si>
  <si>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</si>
  <si>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</si>
  <si>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</si>
  <si>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</si>
  <si>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</si>
  <si>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</si>
  <si>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</si>
  <si>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</si>
  <si>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</si>
  <si>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</si>
  <si>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</si>
  <si>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</si>
  <si>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</si>
  <si>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</si>
  <si>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</si>
  <si>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</si>
  <si>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</si>
  <si>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</si>
  <si>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</si>
  <si>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</si>
  <si>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</si>
  <si>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</si>
  <si>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</si>
  <si>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</si>
  <si>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</si>
  <si>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</si>
  <si>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</si>
  <si>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</si>
  <si>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</si>
  <si>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</si>
  <si>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</si>
  <si>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</si>
  <si>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</si>
  <si>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</si>
  <si>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</si>
  <si>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</si>
  <si>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</si>
  <si>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</si>
  <si>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</si>
  <si>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</si>
  <si>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</si>
  <si>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</si>
  <si>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</si>
  <si>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</si>
  <si>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</si>
  <si>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</si>
  <si>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</si>
  <si>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</si>
  <si>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</si>
  <si>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</si>
  <si>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</si>
  <si>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</si>
  <si>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</si>
  <si>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</si>
  <si>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</si>
  <si>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</si>
  <si>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</si>
  <si>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</si>
  <si>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</si>
  <si>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</si>
  <si>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</si>
  <si>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</si>
  <si>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</si>
  <si>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</si>
  <si>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</si>
  <si>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</si>
  <si>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</si>
  <si>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</si>
  <si>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</si>
  <si>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</si>
  <si>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</si>
  <si>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</si>
  <si>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</si>
  <si>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Concerta (2017 being litigated)</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</si>
  <si>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</si>
  <si>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</si>
  <si>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</si>
  <si>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</si>
  <si>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</si>
  <si>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</si>
  <si>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</si>
  <si>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</si>
  <si>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</si>
  <si>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</si>
  <si>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</si>
  <si>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</si>
  <si>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</si>
  <si>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</si>
  <si>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</si>
  <si>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</si>
  <si>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</si>
  <si>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</si>
  <si>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</si>
  <si>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</si>
  <si>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</si>
  <si>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</si>
  <si>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</si>
  <si>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</si>
  <si>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</si>
  <si>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</si>
  <si>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</si>
  <si>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</si>
  <si>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</si>
  <si>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</si>
  <si>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</si>
  <si>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</si>
  <si>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</si>
  <si>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</si>
  <si>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</si>
  <si>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</si>
  <si>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</si>
  <si>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</si>
  <si>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</si>
  <si>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</si>
  <si>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</si>
  <si>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</si>
  <si>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</si>
  <si>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</si>
  <si>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</si>
  <si>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</si>
  <si>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</si>
  <si>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</si>
  <si>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</si>
  <si>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</si>
  <si>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</si>
  <si>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</si>
  <si>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</si>
  <si>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</si>
  <si>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</si>
  <si>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</si>
  <si>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</si>
  <si>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</si>
  <si>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</si>
  <si>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</si>
  <si>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</si>
  <si>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</si>
  <si>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</si>
  <si>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</si>
  <si>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</si>
  <si>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</si>
  <si>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</si>
  <si>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</si>
  <si>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</si>
  <si>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</si>
  <si>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</si>
  <si>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</si>
  <si>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</si>
  <si>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</si>
  <si>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</si>
  <si>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</si>
  <si>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</si>
  <si>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</si>
  <si>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</si>
  <si>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</si>
  <si>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</si>
  <si>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</si>
  <si>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</si>
  <si>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</si>
  <si>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</si>
  <si>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</si>
  <si>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</si>
  <si>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</si>
  <si>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</si>
  <si>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</si>
  <si>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</si>
  <si>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</si>
  <si>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</si>
  <si>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</si>
  <si>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</si>
  <si>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</si>
  <si>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</si>
  <si>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</si>
  <si>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</si>
  <si>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</si>
  <si>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</si>
  <si>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</si>
  <si>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</si>
  <si>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</si>
  <si>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</si>
  <si>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</si>
  <si>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</si>
  <si>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</si>
  <si>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</si>
  <si>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</si>
  <si>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</si>
  <si>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</si>
  <si>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</si>
  <si>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</si>
  <si>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</si>
  <si>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</si>
  <si>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</si>
  <si>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</si>
  <si>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</si>
  <si>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</si>
  <si>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</si>
  <si>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</si>
  <si>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</si>
  <si>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</si>
  <si>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</si>
  <si>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</si>
  <si>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</si>
  <si>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</si>
  <si>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</si>
  <si>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</si>
  <si>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</si>
  <si>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</si>
  <si>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</si>
  <si>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</si>
  <si>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</si>
  <si>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</si>
  <si>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</si>
  <si>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</si>
  <si>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</si>
  <si>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</si>
  <si>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</si>
  <si>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</si>
  <si>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</si>
  <si>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</si>
  <si>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</si>
  <si>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</si>
  <si>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</si>
  <si>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</si>
  <si>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</si>
  <si>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</si>
  <si>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</si>
  <si>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</si>
  <si>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</si>
  <si>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</si>
  <si>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Remicade (9/18)</t>
  </si>
  <si>
    <t>Risperdal (6/08)/Consta/Invega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</si>
  <si>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</si>
  <si>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</si>
  <si>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</si>
  <si>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</si>
  <si>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</si>
  <si>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</si>
  <si>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</si>
  <si>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</si>
  <si>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</si>
  <si>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</si>
  <si>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</si>
  <si>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</si>
  <si>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</si>
  <si>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</si>
  <si>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</si>
  <si>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</si>
  <si>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</si>
  <si>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</si>
  <si>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</si>
  <si>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</si>
  <si>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</si>
  <si>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</si>
  <si>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</si>
  <si>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</si>
  <si>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</si>
  <si>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</si>
  <si>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</si>
  <si>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</si>
  <si>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</si>
  <si>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</si>
  <si>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</si>
  <si>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</si>
  <si>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</si>
  <si>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</si>
  <si>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</si>
  <si>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</si>
  <si>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</si>
  <si>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</si>
  <si>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</si>
  <si>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</si>
  <si>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</si>
  <si>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</si>
  <si>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</si>
  <si>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</si>
  <si>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</si>
  <si>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</si>
  <si>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</si>
  <si>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</si>
  <si>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</si>
  <si>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</si>
  <si>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</si>
  <si>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</si>
  <si>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</si>
  <si>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</si>
  <si>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</si>
  <si>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</si>
  <si>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</si>
  <si>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</si>
  <si>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</si>
  <si>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</si>
  <si>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</si>
  <si>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</si>
  <si>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</si>
  <si>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</si>
  <si>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</si>
  <si>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</si>
  <si>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</si>
  <si>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</si>
  <si>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</si>
  <si>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</si>
  <si>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</si>
  <si>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</si>
  <si>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</si>
  <si>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</si>
  <si>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</si>
  <si>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</si>
  <si>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</si>
  <si>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</si>
  <si>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</si>
  <si>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</si>
  <si>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</si>
  <si>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</si>
  <si>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</si>
  <si>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</si>
  <si>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</si>
  <si>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</si>
  <si>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</si>
  <si>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</si>
  <si>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</si>
  <si>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</si>
  <si>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</si>
  <si>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</si>
  <si>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</si>
  <si>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</si>
  <si>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</si>
  <si>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</si>
  <si>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</si>
  <si>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</si>
  <si>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</si>
  <si>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</si>
  <si>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</si>
  <si>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</si>
  <si>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</si>
  <si>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</si>
  <si>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</si>
  <si>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</si>
  <si>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</si>
  <si>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</si>
  <si>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</si>
  <si>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</si>
  <si>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</si>
  <si>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</si>
  <si>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</si>
  <si>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</si>
  <si>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</si>
  <si>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</si>
  <si>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</si>
  <si>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</si>
  <si>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</si>
  <si>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</si>
  <si>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</si>
  <si>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</si>
  <si>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</si>
  <si>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</si>
  <si>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</si>
  <si>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</si>
  <si>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</si>
  <si>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</si>
  <si>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</si>
  <si>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</si>
  <si>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</si>
  <si>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</si>
  <si>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</si>
  <si>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</si>
  <si>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</si>
  <si>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</si>
  <si>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</si>
  <si>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</si>
  <si>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</si>
  <si>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</si>
  <si>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</si>
  <si>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</si>
  <si>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</si>
  <si>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</si>
  <si>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</si>
  <si>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</si>
  <si>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</si>
  <si>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</si>
  <si>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</si>
  <si>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</si>
  <si>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</si>
  <si>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</si>
  <si>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</si>
  <si>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</si>
  <si>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</si>
  <si>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</si>
  <si>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</si>
  <si>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</si>
  <si>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</si>
  <si>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</si>
  <si>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</si>
  <si>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</si>
  <si>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</si>
  <si>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</si>
  <si>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</si>
  <si>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</si>
  <si>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</si>
  <si>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</si>
  <si>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</si>
  <si>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</si>
  <si>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</si>
  <si>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</si>
  <si>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</si>
  <si>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</si>
  <si>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</si>
  <si>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</si>
  <si>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</si>
  <si>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</si>
  <si>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</si>
  <si>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</si>
  <si>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</si>
  <si>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</si>
  <si>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</si>
  <si>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</si>
  <si>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</si>
  <si>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</si>
  <si>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</si>
  <si>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</si>
  <si>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</si>
  <si>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</si>
  <si>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</si>
  <si>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</si>
  <si>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</si>
  <si>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</si>
  <si>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</si>
  <si>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</si>
  <si>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</si>
  <si>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</si>
  <si>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</si>
  <si>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</si>
  <si>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</si>
  <si>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</si>
  <si>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</si>
  <si>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</si>
  <si>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</si>
  <si>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</si>
  <si>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</si>
  <si>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</si>
  <si>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</si>
  <si>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</si>
  <si>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</si>
  <si>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</si>
  <si>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</si>
  <si>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</si>
  <si>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</si>
  <si>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</si>
  <si>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</si>
  <si>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</si>
  <si>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</si>
  <si>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</si>
  <si>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</si>
  <si>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</si>
  <si>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</si>
  <si>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</si>
  <si>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</si>
  <si>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</si>
  <si>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</si>
  <si>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</si>
  <si>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</si>
  <si>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</si>
  <si>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PDUFA extended? 1/23/09: EU approval.</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</si>
  <si>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</si>
  <si>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</si>
  <si>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</si>
  <si>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</si>
  <si>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</si>
  <si>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</si>
  <si>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</si>
  <si>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</si>
  <si>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</si>
  <si>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</si>
  <si>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</si>
  <si>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</si>
  <si>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</si>
  <si>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</si>
  <si>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</si>
  <si>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</si>
  <si>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</si>
  <si>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</si>
  <si>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</si>
  <si>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</si>
  <si>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</si>
  <si>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</si>
  <si>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</si>
  <si>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</si>
  <si>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</si>
  <si>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</si>
  <si>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</si>
  <si>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</si>
  <si>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</si>
  <si>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</si>
  <si>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</si>
  <si>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</si>
  <si>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</si>
  <si>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</si>
  <si>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</si>
  <si>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</si>
  <si>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</si>
  <si>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</si>
  <si>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</si>
  <si>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</si>
  <si>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</si>
  <si>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</si>
  <si>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</si>
  <si>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</si>
  <si>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</si>
  <si>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</si>
  <si>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</si>
  <si>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</si>
  <si>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</si>
  <si>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</si>
  <si>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</si>
  <si>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</si>
  <si>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</si>
  <si>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</si>
  <si>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</si>
  <si>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</si>
  <si>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</si>
  <si>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</si>
  <si>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</si>
  <si>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</si>
  <si>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</si>
  <si>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</si>
  <si>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</si>
  <si>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</si>
  <si>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</si>
  <si>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</si>
  <si>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</si>
  <si>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</si>
  <si>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</si>
  <si>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</si>
  <si>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</si>
  <si>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</si>
  <si>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</si>
  <si>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</si>
  <si>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</si>
  <si>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</si>
  <si>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</si>
  <si>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</si>
  <si>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</si>
  <si>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</si>
  <si>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</si>
  <si>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</si>
  <si>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</si>
  <si>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</si>
  <si>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</si>
  <si>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</si>
  <si>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</si>
  <si>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</si>
  <si>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</si>
  <si>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</si>
  <si>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</si>
  <si>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</si>
  <si>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</si>
  <si>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</si>
  <si>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</si>
  <si>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</si>
  <si>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</si>
  <si>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</si>
  <si>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</si>
  <si>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</si>
  <si>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</si>
  <si>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</si>
  <si>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</si>
  <si>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</si>
  <si>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</si>
  <si>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</si>
  <si>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</si>
  <si>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</si>
  <si>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</si>
  <si>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</si>
  <si>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</si>
  <si>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</si>
  <si>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</si>
  <si>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</si>
  <si>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ABT-874 same mechanism of action.</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</si>
  <si>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</si>
  <si>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</si>
  <si>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</si>
  <si>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</si>
  <si>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</si>
  <si>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</si>
  <si>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</si>
  <si>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</si>
  <si>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</si>
  <si>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</si>
  <si>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</si>
  <si>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</si>
  <si>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</si>
  <si>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</si>
  <si>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</si>
  <si>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</si>
  <si>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</si>
  <si>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</si>
  <si>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</si>
  <si>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</si>
  <si>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</si>
  <si>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</si>
  <si>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</si>
  <si>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</si>
  <si>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</si>
  <si>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</si>
  <si>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</si>
  <si>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</si>
  <si>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</si>
  <si>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</si>
  <si>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</si>
  <si>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</si>
  <si>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</si>
  <si>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</si>
  <si>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</si>
  <si>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</si>
  <si>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</si>
  <si>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</si>
  <si>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</si>
  <si>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</si>
  <si>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</si>
  <si>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</si>
  <si>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</si>
  <si>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</si>
  <si>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</si>
  <si>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</si>
  <si>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</si>
  <si>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</si>
  <si>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</si>
  <si>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</si>
  <si>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</si>
  <si>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</si>
  <si>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</si>
  <si>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</si>
  <si>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</si>
  <si>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</si>
  <si>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</si>
  <si>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</si>
  <si>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</si>
  <si>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</si>
  <si>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</si>
  <si>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</si>
  <si>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</si>
  <si>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</si>
  <si>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</si>
  <si>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</si>
  <si>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</si>
  <si>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</si>
  <si>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</si>
  <si>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</si>
  <si>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</si>
  <si>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</si>
  <si>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</si>
  <si>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</si>
  <si>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</si>
  <si>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</si>
  <si>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</si>
  <si>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</si>
  <si>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</si>
  <si>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</si>
  <si>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</si>
  <si>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</si>
  <si>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</si>
  <si>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</si>
  <si>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</si>
  <si>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</si>
  <si>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</si>
  <si>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</si>
  <si>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</si>
  <si>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</si>
  <si>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</si>
  <si>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</si>
  <si>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</si>
  <si>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</si>
  <si>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</si>
  <si>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</si>
  <si>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</si>
  <si>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</si>
  <si>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</si>
  <si>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</si>
  <si>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</si>
  <si>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</si>
  <si>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</si>
  <si>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</si>
  <si>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</si>
  <si>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</si>
  <si>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</si>
  <si>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</si>
  <si>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</si>
  <si>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</si>
  <si>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</si>
  <si>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</si>
  <si>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</si>
  <si>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</si>
  <si>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</si>
  <si>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</si>
  <si>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</si>
  <si>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</si>
  <si>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</si>
  <si>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</si>
  <si>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</si>
  <si>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</si>
  <si>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</si>
  <si>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</si>
  <si>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</si>
  <si>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</si>
  <si>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</si>
  <si>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</si>
  <si>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</si>
  <si>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</si>
  <si>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</si>
  <si>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</si>
  <si>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</si>
  <si>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</si>
  <si>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</si>
  <si>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</si>
  <si>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</si>
  <si>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</si>
  <si>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</si>
  <si>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</si>
  <si>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</si>
  <si>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</si>
  <si>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</si>
  <si>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</si>
  <si>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</si>
  <si>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</si>
  <si>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</si>
  <si>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</si>
  <si>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</si>
  <si>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</si>
  <si>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</si>
  <si>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</si>
  <si>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</si>
  <si>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</si>
  <si>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</si>
  <si>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</si>
  <si>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</si>
  <si>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</si>
  <si>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</si>
  <si>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</si>
  <si>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</si>
  <si>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</si>
  <si>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</si>
  <si>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</si>
  <si>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</si>
  <si>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</si>
  <si>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</si>
  <si>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</si>
  <si>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</si>
  <si>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</si>
  <si>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</si>
  <si>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</si>
  <si>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</si>
  <si>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</si>
  <si>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</si>
  <si>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</si>
  <si>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</si>
  <si>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</si>
  <si>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</si>
  <si>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</si>
  <si>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</si>
  <si>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</si>
  <si>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</si>
  <si>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</si>
  <si>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</si>
  <si>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</si>
  <si>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</si>
  <si>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</si>
  <si>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</si>
  <si>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</si>
  <si>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</si>
  <si>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</si>
  <si>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</si>
  <si>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</si>
  <si>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</si>
  <si>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</si>
  <si>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</si>
  <si>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</si>
  <si>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</si>
  <si>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</si>
  <si>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</si>
  <si>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</si>
  <si>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</si>
  <si>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</si>
  <si>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</si>
  <si>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</si>
  <si>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</si>
  <si>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</si>
  <si>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</si>
  <si>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</si>
  <si>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t>Pradaxa big problem.</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</si>
  <si>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</si>
  <si>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</si>
  <si>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</si>
  <si>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</si>
  <si>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</si>
  <si>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</si>
  <si>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</si>
  <si>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</si>
  <si>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</si>
  <si>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</si>
  <si>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</si>
  <si>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</si>
  <si>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</si>
  <si>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</si>
  <si>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</si>
  <si>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</si>
  <si>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</si>
  <si>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</si>
  <si>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</si>
  <si>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</si>
  <si>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</si>
  <si>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</si>
  <si>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</si>
  <si>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</si>
  <si>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</si>
  <si>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</si>
  <si>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</si>
  <si>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</si>
  <si>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</si>
  <si>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</si>
  <si>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</si>
  <si>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</si>
  <si>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</si>
  <si>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</si>
  <si>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</si>
  <si>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</si>
  <si>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</si>
  <si>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</si>
  <si>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</si>
  <si>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</si>
  <si>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Two new patents, but CPs outstanding. No 2010 generic assumption in guidance.</t>
  </si>
  <si>
    <t>Small molecule.</t>
  </si>
  <si>
    <t>Small molecule but attempting combinations.</t>
  </si>
  <si>
    <t>Weak safety.</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</si>
  <si>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</si>
  <si>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</si>
  <si>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</si>
  <si>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</si>
  <si>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</si>
  <si>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</si>
  <si>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</si>
  <si>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</si>
  <si>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</si>
  <si>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</si>
  <si>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</si>
  <si>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</si>
  <si>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</si>
  <si>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</si>
  <si>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</si>
  <si>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</si>
  <si>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</si>
  <si>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</si>
  <si>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</si>
  <si>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</si>
  <si>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</si>
  <si>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</si>
  <si>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</si>
  <si>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</si>
  <si>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</si>
  <si>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</si>
  <si>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</si>
  <si>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</si>
  <si>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</si>
  <si>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</si>
  <si>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</si>
  <si>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</si>
  <si>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</si>
  <si>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</si>
  <si>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</si>
  <si>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</si>
  <si>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</si>
  <si>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</si>
  <si>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</si>
  <si>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</si>
  <si>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</si>
  <si>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</si>
  <si>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</si>
  <si>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</si>
  <si>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</si>
  <si>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</si>
  <si>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</si>
  <si>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</si>
  <si>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</si>
  <si>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</si>
  <si>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</si>
  <si>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</si>
  <si>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</si>
  <si>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</si>
  <si>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</si>
  <si>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</si>
  <si>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</si>
  <si>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</si>
  <si>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</si>
  <si>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</si>
  <si>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</si>
  <si>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</si>
  <si>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</si>
  <si>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</si>
  <si>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</si>
  <si>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</si>
  <si>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</si>
  <si>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</si>
  <si>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</si>
  <si>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</si>
  <si>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</si>
  <si>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</si>
  <si>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</si>
  <si>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</si>
  <si>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</si>
  <si>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</si>
  <si>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</si>
  <si>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</si>
  <si>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High risk, high-margin.</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</si>
  <si>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</si>
  <si>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</si>
  <si>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</si>
  <si>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</si>
  <si>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</si>
  <si>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</si>
  <si>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</si>
  <si>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</si>
  <si>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</si>
  <si>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</si>
  <si>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</si>
  <si>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</si>
  <si>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</si>
  <si>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</si>
  <si>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</si>
  <si>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</si>
  <si>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</si>
  <si>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</si>
  <si>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</si>
  <si>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</si>
  <si>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</si>
  <si>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</si>
  <si>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</si>
  <si>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</si>
  <si>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</si>
  <si>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</si>
  <si>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</si>
  <si>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</si>
  <si>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</si>
  <si>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</si>
  <si>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</si>
  <si>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</si>
  <si>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</si>
  <si>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</si>
  <si>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</si>
  <si>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</si>
  <si>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</si>
  <si>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</si>
  <si>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</si>
  <si>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</si>
  <si>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</si>
  <si>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</si>
  <si>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</si>
  <si>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</si>
  <si>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</si>
  <si>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</si>
  <si>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</si>
  <si>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</si>
  <si>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</si>
  <si>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</si>
  <si>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</si>
  <si>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</si>
  <si>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</si>
  <si>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</si>
  <si>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Sutures</t>
  </si>
  <si>
    <t>Lenses</t>
  </si>
  <si>
    <t>Risky</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</si>
  <si>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</si>
  <si>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</si>
  <si>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</si>
  <si>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</si>
  <si>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</si>
  <si>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</si>
  <si>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</si>
  <si>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</si>
  <si>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</si>
  <si>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</si>
  <si>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</si>
  <si>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</si>
  <si>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</si>
  <si>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</si>
  <si>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</si>
  <si>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</si>
  <si>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</si>
  <si>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</si>
  <si>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</si>
  <si>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</si>
  <si>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Shocks</t>
  </si>
  <si>
    <t>Generic antibodies, reimbursement changes.</t>
  </si>
  <si>
    <t>Generic antibodies, more TNF players.</t>
  </si>
  <si>
    <t>US likely steady due to IV reimbursement advantage (may change over time), although TNF antibody generic is possible and canabilization from Simponi will occur. Cimzia, JAK3 are tough competition. Enbrel shrinking in the US? Ex-US growth is far superior to the US but most economics go to MRK.</t>
  </si>
  <si>
    <t>7% of Enbrel in the US according to IMS 10/29. Current run rate $250m.</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</si>
  <si>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</si>
  <si>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</si>
  <si>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</si>
  <si>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</si>
  <si>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</si>
  <si>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</si>
  <si>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</si>
  <si>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</si>
  <si>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</si>
  <si>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</si>
  <si>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</si>
  <si>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</si>
  <si>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</si>
  <si>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</si>
  <si>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</si>
  <si>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</si>
  <si>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</si>
  <si>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</si>
  <si>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</si>
  <si>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</si>
  <si>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</si>
  <si>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</si>
  <si>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</si>
  <si>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</si>
  <si>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</si>
  <si>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</si>
  <si>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</si>
  <si>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</si>
  <si>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</si>
  <si>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</si>
  <si>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</si>
  <si>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</si>
  <si>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</si>
  <si>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</si>
  <si>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</si>
  <si>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</si>
  <si>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</si>
  <si>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</si>
  <si>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</si>
  <si>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</si>
  <si>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</si>
  <si>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</si>
  <si>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</si>
  <si>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</si>
  <si>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</si>
  <si>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</si>
  <si>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</si>
  <si>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</si>
  <si>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</si>
  <si>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</si>
  <si>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</si>
  <si>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</si>
  <si>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</si>
  <si>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</si>
  <si>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</si>
  <si>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</si>
  <si>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</si>
  <si>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</si>
  <si>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</si>
  <si>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</si>
  <si>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</si>
  <si>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</si>
  <si>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</si>
  <si>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</si>
  <si>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</si>
  <si>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</si>
  <si>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</si>
  <si>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</si>
  <si>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</si>
  <si>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</si>
  <si>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</si>
  <si>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</si>
  <si>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</si>
  <si>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</si>
  <si>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</si>
  <si>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</si>
  <si>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</si>
  <si>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</si>
  <si>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</si>
  <si>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</si>
  <si>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</si>
  <si>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</si>
  <si>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</si>
  <si>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</si>
  <si>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</si>
  <si>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</si>
  <si>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</si>
  <si>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</si>
  <si>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</si>
  <si>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</si>
  <si>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</si>
  <si>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</si>
  <si>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</si>
  <si>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</si>
  <si>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Demographics vs. unnecessary procedures.</t>
  </si>
  <si>
    <t>Selling to Carlyle.</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</si>
  <si>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</si>
  <si>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</si>
  <si>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</si>
  <si>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</si>
  <si>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</si>
  <si>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</si>
  <si>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</si>
  <si>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</si>
  <si>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</si>
  <si>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</si>
  <si>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</si>
  <si>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</si>
  <si>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</si>
  <si>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</si>
  <si>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</si>
  <si>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</si>
  <si>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</si>
  <si>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</si>
  <si>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</si>
  <si>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</si>
  <si>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</si>
  <si>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</si>
  <si>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</si>
  <si>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</si>
  <si>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</si>
  <si>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</si>
  <si>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</si>
  <si>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</si>
  <si>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</si>
  <si>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</si>
  <si>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</si>
  <si>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</si>
  <si>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</si>
  <si>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</si>
  <si>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</si>
  <si>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</si>
  <si>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</si>
  <si>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</si>
  <si>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</si>
  <si>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</si>
  <si>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</si>
  <si>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</si>
  <si>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</si>
  <si>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</si>
  <si>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</si>
  <si>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</si>
  <si>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</si>
  <si>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</si>
  <si>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</si>
  <si>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</si>
  <si>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</si>
  <si>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</si>
  <si>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</si>
  <si>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</si>
  <si>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</si>
  <si>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</si>
  <si>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</si>
  <si>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</si>
  <si>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</si>
  <si>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</si>
  <si>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</si>
  <si>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</si>
  <si>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</si>
  <si>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</si>
  <si>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</si>
  <si>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</si>
  <si>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</si>
  <si>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</si>
  <si>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</si>
  <si>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</si>
  <si>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</si>
  <si>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</si>
  <si>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</si>
  <si>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</si>
  <si>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</si>
  <si>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</si>
  <si>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</si>
  <si>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</si>
  <si>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</si>
  <si>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</si>
  <si>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</si>
  <si>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</si>
  <si>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</si>
  <si>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</si>
  <si>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</si>
  <si>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</si>
  <si>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</si>
  <si>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</si>
  <si>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</si>
  <si>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</si>
  <si>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</si>
  <si>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</si>
  <si>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</si>
  <si>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</si>
  <si>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</si>
  <si>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</si>
  <si>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</si>
  <si>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</si>
  <si>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</si>
  <si>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</si>
  <si>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</si>
  <si>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</si>
  <si>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</si>
  <si>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</si>
  <si>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</si>
  <si>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</si>
  <si>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</si>
  <si>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</si>
  <si>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</si>
  <si>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</si>
  <si>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</si>
  <si>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</si>
  <si>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</si>
  <si>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</si>
  <si>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</si>
  <si>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</si>
  <si>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</si>
  <si>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</si>
  <si>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</si>
  <si>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</si>
  <si>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</si>
  <si>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</si>
  <si>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</si>
  <si>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</si>
  <si>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</si>
  <si>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</si>
  <si>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</si>
  <si>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</si>
  <si>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</si>
  <si>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</si>
  <si>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</si>
  <si>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</si>
  <si>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</si>
  <si>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</si>
  <si>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</si>
  <si>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</si>
  <si>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</si>
  <si>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</si>
  <si>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</si>
  <si>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</si>
  <si>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</si>
  <si>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</si>
  <si>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</si>
  <si>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</si>
  <si>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</si>
  <si>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</si>
  <si>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</si>
  <si>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</si>
  <si>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</si>
  <si>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</si>
  <si>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</si>
  <si>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</si>
  <si>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</si>
  <si>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</si>
  <si>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</si>
  <si>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</si>
  <si>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</si>
  <si>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</si>
  <si>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</si>
  <si>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</si>
  <si>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</si>
  <si>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</si>
  <si>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</si>
  <si>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</si>
  <si>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</si>
  <si>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</si>
  <si>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</si>
  <si>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</si>
  <si>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</si>
  <si>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</si>
  <si>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</si>
  <si>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</si>
  <si>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</si>
  <si>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</si>
  <si>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</si>
  <si>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</si>
  <si>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</si>
  <si>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</si>
  <si>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</si>
  <si>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</si>
  <si>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</si>
  <si>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</si>
  <si>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</si>
  <si>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</si>
  <si>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</si>
  <si>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</si>
  <si>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</si>
  <si>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</si>
  <si>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</si>
  <si>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</si>
  <si>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</si>
  <si>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</si>
  <si>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</si>
  <si>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</si>
  <si>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</si>
  <si>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</si>
  <si>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</si>
  <si>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</si>
  <si>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</si>
  <si>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</si>
  <si>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</si>
  <si>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</si>
  <si>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</si>
  <si>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</si>
  <si>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</si>
  <si>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</si>
  <si>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</si>
  <si>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</si>
  <si>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</si>
  <si>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</si>
  <si>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</si>
  <si>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</si>
  <si>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</si>
  <si>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</si>
  <si>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</si>
  <si>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</si>
  <si>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</si>
  <si>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</si>
  <si>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</si>
  <si>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</si>
  <si>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</si>
  <si>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</si>
  <si>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</si>
  <si>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</si>
  <si>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</si>
  <si>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</si>
  <si>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</si>
  <si>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</si>
  <si>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</si>
  <si>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</si>
  <si>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</si>
  <si>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</si>
  <si>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</si>
  <si>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</si>
  <si>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</si>
  <si>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</si>
  <si>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</si>
  <si>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</si>
  <si>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</si>
  <si>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</si>
  <si>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</si>
  <si>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</si>
  <si>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</si>
  <si>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</si>
  <si>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</si>
  <si>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</si>
  <si>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</si>
  <si>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</si>
  <si>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</si>
  <si>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</si>
  <si>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</si>
  <si>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</si>
  <si>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</si>
  <si>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</si>
  <si>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</si>
  <si>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</si>
  <si>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</si>
  <si>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</si>
  <si>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</si>
  <si>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</si>
  <si>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</si>
  <si>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</si>
  <si>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</si>
  <si>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</si>
  <si>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</si>
  <si>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</si>
  <si>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</si>
  <si>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Darzalex</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</si>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</sst>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1">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43">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8" fillId="0" borderId="0" xfId="0" applyFont="1" applyAlignment="1">
      <alignment horizontal="center"/>
    </xf>
    <xf numFmtId="0" fontId="8" fillId="0" borderId="11" xfId="0" applyFont="1" applyBorder="1"/>
    <xf numFmtId="0" fontId="31" fillId="0" borderId="0" xfId="0" applyFont="1" applyAlignment="1">
      <alignment horizontal="center"/>
    </xf>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0" fontId="8" fillId="0" borderId="14" xfId="0" applyFont="1" applyBorder="1"/>
    <xf numFmtId="9" fontId="8" fillId="0" borderId="11" xfId="0" applyNumberFormat="1" applyFont="1" applyBorder="1" applyAlignment="1">
      <alignment horizontal="center"/>
    </xf>
    <xf numFmtId="0" fontId="31" fillId="0" borderId="14" xfId="0" applyFont="1" applyBorder="1"/>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theme" Target="theme/theme1.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82</xdr:col>
      <xdr:colOff>142874</xdr:colOff>
      <xdr:row>0</xdr:row>
      <xdr:rowOff>0</xdr:rowOff>
    </xdr:from>
    <xdr:to>
      <xdr:col>82</xdr:col>
      <xdr:colOff>146187</xdr:colOff>
      <xdr:row>289</xdr:row>
      <xdr:rowOff>4972</xdr:rowOff>
    </xdr:to>
    <xdr:sp macro="" textlink="">
      <xdr:nvSpPr>
        <xdr:cNvPr id="73525" name="Line 52">
          <a:extLst>
            <a:ext uri="{FF2B5EF4-FFF2-40B4-BE49-F238E27FC236}">
              <a16:creationId xmlns:a16="http://schemas.microsoft.com/office/drawing/2014/main" id="{00000000-0008-0000-0700-0000351F0100}"/>
            </a:ext>
          </a:extLst>
        </xdr:cNvPr>
        <xdr:cNvSpPr>
          <a:spLocks noChangeShapeType="1"/>
        </xdr:cNvSpPr>
      </xdr:nvSpPr>
      <xdr:spPr bwMode="auto">
        <a:xfrm flipH="1">
          <a:off x="40376474" y="0"/>
          <a:ext cx="3313" cy="44858197"/>
        </a:xfrm>
        <a:prstGeom prst="line">
          <a:avLst/>
        </a:prstGeom>
        <a:noFill/>
        <a:ln w="9360">
          <a:solidFill>
            <a:srgbClr val="000000"/>
          </a:solidFill>
          <a:miter lim="800000"/>
          <a:headEnd/>
          <a:tailEnd/>
        </a:ln>
      </xdr:spPr>
    </xdr:sp>
    <xdr:clientData/>
  </xdr:twoCellAnchor>
  <xdr:twoCellAnchor>
    <xdr:from>
      <xdr:col>144</xdr:col>
      <xdr:colOff>17808</xdr:colOff>
      <xdr:row>0</xdr:row>
      <xdr:rowOff>1</xdr:rowOff>
    </xdr:from>
    <xdr:to>
      <xdr:col>144</xdr:col>
      <xdr:colOff>18603</xdr:colOff>
      <xdr:row>237</xdr:row>
      <xdr:rowOff>1</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50095893" y="17892316"/>
          <a:ext cx="35785425"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105</xdr:col>
      <xdr:colOff>43543</xdr:colOff>
      <xdr:row>0</xdr:row>
      <xdr:rowOff>51707</xdr:rowOff>
    </xdr:from>
    <xdr:to>
      <xdr:col>105</xdr:col>
      <xdr:colOff>43543</xdr:colOff>
      <xdr:row>248</xdr:row>
      <xdr:rowOff>32657</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2001057" y="51707"/>
          <a:ext cx="0" cy="38026521"/>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enu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DTC __ Rev"/>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work"/>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_L"/>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4"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DP3" dT="2022-07-30T15:51:29.16" personId="{B1B0F6F1-FCBF-4ADA-B0C2-E6331D9AF452}" id="{87F7743F-B7B2-484F-9ABD-F302B651F898}">
    <text>Filed</text>
  </threadedComment>
  <threadedComment ref="DV11" dT="2022-07-30T15:51:53.21" personId="{B1B0F6F1-FCBF-4ADA-B0C2-E6331D9AF452}" id="{01972993-60CD-4A33-A5E6-796102B7B8F4}">
    <text>Phase 3</text>
  </threadedComment>
  <threadedComment ref="DW11" dT="2022-07-30T15:51:59.79" personId="{B1B0F6F1-FCBF-4ADA-B0C2-E6331D9AF452}" id="{6E621430-D336-4CDD-B049-05C621427378}">
    <text>Phase 3</text>
  </threadedComment>
  <threadedComment ref="DX11" dT="2022-07-30T15:52:05.97" personId="{B1B0F6F1-FCBF-4ADA-B0C2-E6331D9AF452}" id="{F129B24E-0080-493A-983B-7A528450F0B2}">
    <text>Filed</text>
  </threadedComment>
  <threadedComment ref="CU13" dT="2022-06-17T01:13:02.90" personId="{B1B0F6F1-FCBF-4ADA-B0C2-E6331D9AF452}" id="{CDD2B99A-00BA-4EA8-B675-536C08C434B4}">
    <text>Q121: 428m</text>
  </threadedComment>
  <threadedComment ref="CV13" dT="2022-07-22T14:07:41.24" personId="{B1B0F6F1-FCBF-4ADA-B0C2-E6331D9AF452}" id="{499E966A-6B85-4512-A7AB-E65284C32D4B}">
    <text>had 468?</text>
  </threadedComment>
  <threadedComment ref="CU24" dT="2022-06-17T01:11:02.48" personId="{B1B0F6F1-FCBF-4ADA-B0C2-E6331D9AF452}" id="{E7F0D7A6-EE22-43A1-B4A6-C9D75BE5A1EB}">
    <text>Q121: 117m</text>
  </threadedComment>
  <threadedComment ref="DY42" dT="2022-07-30T15:52:21.07" personId="{B1B0F6F1-FCBF-4ADA-B0C2-E6331D9AF452}" id="{A3206388-7B58-4567-90FD-49B826FAE6FB}">
    <text>Phase III</text>
  </threadedComment>
  <threadedComment ref="DZ42" dT="2022-07-30T15:52:25.24" personId="{B1B0F6F1-FCBF-4ADA-B0C2-E6331D9AF452}" id="{C96DF80E-DB02-49F1-A10F-FA660591CCDB}">
    <text>Phase III</text>
  </threadedComment>
  <threadedComment ref="EA42" dT="2022-07-30T15:52:28.51" personId="{B1B0F6F1-FCBF-4ADA-B0C2-E6331D9AF452}" id="{D4E15153-68A6-45BA-A7A9-B7478B48B6DE}">
    <text>Filed</text>
  </threadedComment>
  <threadedComment ref="CV44" dT="2022-07-22T14:56:33.21" personId="{B1B0F6F1-FCBF-4ADA-B0C2-E6331D9AF452}" id="{4DB783BB-D4CA-476A-8111-7E0E945FB149}">
    <text>had 271?</text>
  </threadedComment>
  <threadedComment ref="CJ55" dT="2022-07-30T15:43:25.26" personId="{B1B0F6F1-FCBF-4ADA-B0C2-E6331D9AF452}" id="{8DFE66A4-8ABE-4D82-9EB1-696F5E7D611D}">
    <text>3504 actual</text>
  </threadedComment>
  <threadedComment ref="CN55" dT="2022-07-30T15:37:35.18" personId="{B1B0F6F1-FCBF-4ADA-B0C2-E6331D9AF452}" id="{3494F573-46D4-4E53-A253-04C304315026}">
    <text>actual: 3544</text>
  </threadedComment>
  <threadedComment ref="CU55" dT="2022-06-17T01:08:52.72" personId="{B1B0F6F1-FCBF-4ADA-B0C2-E6331D9AF452}" id="{D4AB6CA5-1D56-4651-98CE-4220E7D81D4C}">
    <text>Q121 report: 3543m</text>
  </threadedComment>
  <threadedComment ref="CV55" dT="2022-07-22T14:43:04.87" personId="{B1B0F6F1-FCBF-4ADA-B0C2-E6331D9AF452}" id="{D8FE38F6-D7D6-460E-9D87-73CEBFFA1B4E}">
    <text>was 3735, now 3854?</text>
  </threadedComment>
  <threadedComment ref="CN56" dT="2022-07-30T15:43:00.35" personId="{B1B0F6F1-FCBF-4ADA-B0C2-E6331D9AF452}" id="{4074C536-E10D-4126-A24D-0AAC46FA4222}">
    <text>20562 actual</text>
  </threadedComment>
  <threadedComment ref="CV56" dT="2022-07-22T14:57:45.74" personId="{B1B0F6F1-FCBF-4ADA-B0C2-E6331D9AF452}" id="{3B857DD8-37A9-4E26-BCDD-046757882E93}">
    <text>23312 offcial in Q222 release</text>
  </threadedComment>
  <threadedComment ref="CI65" dT="2022-07-30T15:47:37.74" personId="{B1B0F6F1-FCBF-4ADA-B0C2-E6331D9AF452}" id="{F70AD04F-B9D4-4CB9-B097-57425D52099B}">
    <text>6858 actual adjusted</text>
  </threadedComment>
  <threadedComment ref="CJ65" dT="2022-07-30T15:45:11.81" personId="{B1B0F6F1-FCBF-4ADA-B0C2-E6331D9AF452}" id="{20726B22-689A-4361-A90E-379BEBA561A2}">
    <text>7014 actual adjusted</text>
  </threadedComment>
  <threadedComment ref="CL65" dT="2022-07-28T04:41:08.94" personId="{B1B0F6F1-FCBF-4ADA-B0C2-E6331D9AF452}" id="{BC3D4B04-C7B0-4F80-80CD-57FBE3F8501B}">
    <text>6046 actual adj</text>
  </threadedComment>
  <threadedComment ref="CM65" dT="2022-07-30T15:46:39.66" personId="{B1B0F6F1-FCBF-4ADA-B0C2-E6331D9AF452}" id="{E6348EFC-440C-4293-AB93-3C9CF0C1D22D}">
    <text>actual adjusted 6867</text>
  </threadedComment>
  <threadedComment ref="CN65" dT="2022-07-30T15:44:23.55" personId="{B1B0F6F1-FCBF-4ADA-B0C2-E6331D9AF452}" id="{E2E41AA0-40DB-4996-B9AC-68C5F5B416A4}">
    <text>8614 actual adjusted</text>
  </threadedComment>
  <threadedComment ref="CP65" dT="2022-07-28T04:41:01.40" personId="{B1B0F6F1-FCBF-4ADA-B0C2-E6331D9AF452}" id="{3914D8D0-C1CC-4713-8C4B-D6B4902A1DB5}">
    <text>5628 actual adj</text>
  </threadedComment>
  <threadedComment ref="CI67" dT="2022-07-30T15:47:43.76" personId="{B1B0F6F1-FCBF-4ADA-B0C2-E6331D9AF452}" id="{D7D0FEAC-BD98-4AF1-AF71-FD17A1AD0FC2}">
    <text>5635 actual adjusted</text>
  </threadedComment>
  <threadedComment ref="CJ67" dT="2022-07-30T15:45:18.54" personId="{B1B0F6F1-FCBF-4ADA-B0C2-E6331D9AF452}" id="{1EB83523-8F14-4259-A556-7AEDAE7F7981}">
    <text>5718 actual adjusted</text>
  </threadedComment>
  <threadedComment ref="CK67" dT="2022-07-28T02:46:40.56" personId="{B1B0F6F1-FCBF-4ADA-B0C2-E6331D9AF452}" id="{D6788F96-B571-4606-A723-15B6B28134D7}">
    <text>5590 actual</text>
  </threadedComment>
  <threadedComment ref="CL67" dT="2022-07-28T04:41:33.24" personId="{B1B0F6F1-FCBF-4ADA-B0C2-E6331D9AF452}" id="{D831ACBC-24BA-48CB-B852-D2FD856C1AA9}">
    <text>5372 actual adj</text>
  </threadedComment>
  <threadedComment ref="CM67" dT="2022-07-30T15:46:59.28" personId="{B1B0F6F1-FCBF-4ADA-B0C2-E6331D9AF452}" id="{FB29B332-ABE4-40F3-9424-4509BB9707B1}">
    <text>5661 actual adjusted</text>
  </threadedComment>
  <threadedComment ref="CN67" dT="2022-07-30T15:44:29.70" personId="{B1B0F6F1-FCBF-4ADA-B0C2-E6331D9AF452}" id="{AB2FD171-4878-4785-9CC6-E5E6981B40E8}">
    <text>6950 actual adjusted</text>
  </threadedComment>
  <threadedComment ref="CO67" dT="2022-07-28T02:46:49.33" personId="{B1B0F6F1-FCBF-4ADA-B0C2-E6331D9AF452}" id="{DF9141A9-C917-4FCC-ACAB-81BC3B8FBDC3}">
    <text>5672 actual adjusted</text>
  </threadedComment>
  <threadedComment ref="CP67" dT="2022-07-28T04:41:25.40" personId="{B1B0F6F1-FCBF-4ADA-B0C2-E6331D9AF452}" id="{38B02D27-96B4-4C61-A1A4-2D8D3DA05C55}">
    <text>5027 actual adj</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21.bin"/><Relationship Id="rId4" Type="http://schemas.openxmlformats.org/officeDocument/2006/relationships/comments" Target="../comments6.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4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RowHeight="12.75" x14ac:dyDescent="0.2"/>
  <cols>
    <col min="1" max="1" width="5" bestFit="1" customWidth="1"/>
    <col min="2" max="2" width="14.5703125" customWidth="1"/>
  </cols>
  <sheetData>
    <row r="1" spans="1:15" x14ac:dyDescent="0.2">
      <c r="A1" s="116" t="s">
        <v>156</v>
      </c>
    </row>
    <row r="2" spans="1:15" x14ac:dyDescent="0.2">
      <c r="A2" s="116"/>
      <c r="B2" t="s">
        <v>1873</v>
      </c>
    </row>
    <row r="3" spans="1:15" x14ac:dyDescent="0.2">
      <c r="A3" s="116"/>
      <c r="B3" t="s">
        <v>1877</v>
      </c>
    </row>
    <row r="4" spans="1:15" x14ac:dyDescent="0.2">
      <c r="A4" s="116"/>
    </row>
    <row r="5" spans="1:15" x14ac:dyDescent="0.2">
      <c r="B5" t="s">
        <v>1870</v>
      </c>
      <c r="O5" s="3"/>
    </row>
    <row r="6" spans="1:15" x14ac:dyDescent="0.2">
      <c r="B6" t="s">
        <v>1876</v>
      </c>
      <c r="O6" s="3"/>
    </row>
    <row r="7" spans="1:15" x14ac:dyDescent="0.2">
      <c r="B7" t="s">
        <v>1871</v>
      </c>
      <c r="O7" s="3"/>
    </row>
    <row r="8" spans="1:15" x14ac:dyDescent="0.2">
      <c r="B8" t="s">
        <v>1824</v>
      </c>
      <c r="O8" s="3"/>
    </row>
    <row r="9" spans="1:15" x14ac:dyDescent="0.2">
      <c r="B9" t="s">
        <v>1825</v>
      </c>
      <c r="O9" s="3"/>
    </row>
    <row r="10" spans="1:15" x14ac:dyDescent="0.2">
      <c r="B10" t="s">
        <v>1869</v>
      </c>
      <c r="O10" s="3"/>
    </row>
    <row r="11" spans="1:15" x14ac:dyDescent="0.2">
      <c r="B11" t="s">
        <v>1888</v>
      </c>
      <c r="O11" s="3"/>
    </row>
    <row r="12" spans="1:15" x14ac:dyDescent="0.2">
      <c r="O12" s="3"/>
    </row>
    <row r="13" spans="1:15" x14ac:dyDescent="0.2">
      <c r="B13" t="s">
        <v>1874</v>
      </c>
      <c r="O13" s="3"/>
    </row>
    <row r="14" spans="1:15" x14ac:dyDescent="0.2">
      <c r="B14" t="s">
        <v>1415</v>
      </c>
      <c r="O14" s="3"/>
    </row>
    <row r="15" spans="1:15" x14ac:dyDescent="0.2">
      <c r="B15" t="s">
        <v>1289</v>
      </c>
    </row>
    <row r="16" spans="1:15" x14ac:dyDescent="0.2">
      <c r="B16" t="s">
        <v>135</v>
      </c>
    </row>
    <row r="17" spans="2:15" x14ac:dyDescent="0.2">
      <c r="B17" t="s">
        <v>1423</v>
      </c>
    </row>
    <row r="18" spans="2:15" x14ac:dyDescent="0.2">
      <c r="B18" t="s">
        <v>1427</v>
      </c>
    </row>
    <row r="19" spans="2:15" x14ac:dyDescent="0.2">
      <c r="B19" t="s">
        <v>1431</v>
      </c>
    </row>
    <row r="20" spans="2:15" x14ac:dyDescent="0.2">
      <c r="B20" t="s">
        <v>1875</v>
      </c>
      <c r="O20" s="3"/>
    </row>
    <row r="21" spans="2:15" x14ac:dyDescent="0.2">
      <c r="B21" t="s">
        <v>1015</v>
      </c>
    </row>
    <row r="22" spans="2:15" x14ac:dyDescent="0.2">
      <c r="B22" t="s">
        <v>1199</v>
      </c>
    </row>
    <row r="24" spans="2:15" x14ac:dyDescent="0.2">
      <c r="B24" t="s">
        <v>1424</v>
      </c>
    </row>
    <row r="25" spans="2:15" x14ac:dyDescent="0.2">
      <c r="B25" t="s">
        <v>1872</v>
      </c>
    </row>
    <row r="27" spans="2:15" x14ac:dyDescent="0.2">
      <c r="B27" t="s">
        <v>1764</v>
      </c>
    </row>
    <row r="28" spans="2:15" x14ac:dyDescent="0.2">
      <c r="B28" s="248" t="s">
        <v>631</v>
      </c>
    </row>
    <row r="29" spans="2:15" x14ac:dyDescent="0.2">
      <c r="B29" s="248" t="s">
        <v>438</v>
      </c>
    </row>
    <row r="30" spans="2:15" x14ac:dyDescent="0.2">
      <c r="B30" t="s">
        <v>1320</v>
      </c>
    </row>
    <row r="31" spans="2:15" x14ac:dyDescent="0.2">
      <c r="B31" t="s">
        <v>1410</v>
      </c>
    </row>
    <row r="32" spans="2:15" x14ac:dyDescent="0.2">
      <c r="B32" t="s">
        <v>1411</v>
      </c>
    </row>
    <row r="33" spans="2:16" x14ac:dyDescent="0.2">
      <c r="B33" t="s">
        <v>1414</v>
      </c>
    </row>
    <row r="34" spans="2:16" x14ac:dyDescent="0.2">
      <c r="B34" t="s">
        <v>1420</v>
      </c>
    </row>
    <row r="36" spans="2:16" x14ac:dyDescent="0.2">
      <c r="B36" s="184" t="s">
        <v>1525</v>
      </c>
      <c r="J36" s="184" t="s">
        <v>1535</v>
      </c>
      <c r="P36" s="184" t="s">
        <v>1536</v>
      </c>
    </row>
    <row r="37" spans="2:16" x14ac:dyDescent="0.2">
      <c r="B37" t="s">
        <v>1526</v>
      </c>
      <c r="J37" t="s">
        <v>1763</v>
      </c>
      <c r="P37" t="s">
        <v>1537</v>
      </c>
    </row>
    <row r="38" spans="2:16" x14ac:dyDescent="0.2">
      <c r="B38" t="s">
        <v>1762</v>
      </c>
      <c r="P38" t="s">
        <v>1538</v>
      </c>
    </row>
    <row r="39" spans="2:16" x14ac:dyDescent="0.2">
      <c r="B39" t="s">
        <v>1530</v>
      </c>
      <c r="P39" t="s">
        <v>1539</v>
      </c>
    </row>
    <row r="40" spans="2:16" x14ac:dyDescent="0.2">
      <c r="B40" t="s">
        <v>1529</v>
      </c>
      <c r="P40" t="s">
        <v>1540</v>
      </c>
    </row>
    <row r="41" spans="2:16" x14ac:dyDescent="0.2">
      <c r="B41" t="s">
        <v>1527</v>
      </c>
      <c r="P41" t="s">
        <v>1541</v>
      </c>
    </row>
    <row r="42" spans="2:16" x14ac:dyDescent="0.2">
      <c r="B42" t="s">
        <v>1528</v>
      </c>
      <c r="P42" t="s">
        <v>1542</v>
      </c>
    </row>
    <row r="43" spans="2:16" x14ac:dyDescent="0.2">
      <c r="B43" t="s">
        <v>1531</v>
      </c>
      <c r="P43" t="s">
        <v>1543</v>
      </c>
    </row>
    <row r="44" spans="2:16" x14ac:dyDescent="0.2">
      <c r="B44" t="s">
        <v>1532</v>
      </c>
      <c r="P44" t="s">
        <v>1544</v>
      </c>
    </row>
    <row r="45" spans="2:16" x14ac:dyDescent="0.2">
      <c r="B45" t="s">
        <v>1533</v>
      </c>
      <c r="P45" t="s">
        <v>1545</v>
      </c>
    </row>
    <row r="46" spans="2:16" x14ac:dyDescent="0.2">
      <c r="B46" t="s">
        <v>1534</v>
      </c>
      <c r="P46" t="s">
        <v>1546</v>
      </c>
    </row>
    <row r="47" spans="2:16" x14ac:dyDescent="0.2">
      <c r="P47" t="s">
        <v>1547</v>
      </c>
    </row>
    <row r="48" spans="2:16" x14ac:dyDescent="0.2">
      <c r="P48" t="s">
        <v>1548</v>
      </c>
    </row>
    <row r="51" spans="2:3" x14ac:dyDescent="0.2">
      <c r="B51" s="184" t="s">
        <v>1818</v>
      </c>
    </row>
    <row r="52" spans="2:3" x14ac:dyDescent="0.2">
      <c r="B52" t="s">
        <v>1819</v>
      </c>
      <c r="C52" t="s">
        <v>1820</v>
      </c>
    </row>
    <row r="53" spans="2:3" x14ac:dyDescent="0.2">
      <c r="B53" t="s">
        <v>1821</v>
      </c>
      <c r="C53" t="s">
        <v>1820</v>
      </c>
    </row>
    <row r="54" spans="2:3" x14ac:dyDescent="0.2">
      <c r="B54" t="s">
        <v>1822</v>
      </c>
      <c r="C54" t="s">
        <v>1823</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5703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156</v>
      </c>
    </row>
    <row r="2" spans="1:6" x14ac:dyDescent="0.2">
      <c r="B2" s="93" t="s">
        <v>487</v>
      </c>
      <c r="C2" s="93" t="s">
        <v>625</v>
      </c>
      <c r="D2" s="93"/>
      <c r="E2" s="93"/>
      <c r="F2" s="93"/>
    </row>
    <row r="3" spans="1:6" x14ac:dyDescent="0.2">
      <c r="B3" s="93" t="s">
        <v>488</v>
      </c>
      <c r="C3" s="93" t="s">
        <v>736</v>
      </c>
      <c r="D3" s="93"/>
      <c r="E3" s="93"/>
      <c r="F3" s="93"/>
    </row>
    <row r="4" spans="1:6" x14ac:dyDescent="0.2">
      <c r="B4" s="93" t="s">
        <v>497</v>
      </c>
      <c r="C4" s="4" t="s">
        <v>1195</v>
      </c>
      <c r="D4" s="93"/>
      <c r="E4" s="93"/>
      <c r="F4" s="93"/>
    </row>
    <row r="5" spans="1:6" x14ac:dyDescent="0.2">
      <c r="B5" s="93" t="s">
        <v>490</v>
      </c>
      <c r="C5" s="93" t="s">
        <v>28</v>
      </c>
      <c r="D5" s="93"/>
      <c r="E5" s="93"/>
      <c r="F5" s="93"/>
    </row>
    <row r="6" spans="1:6" x14ac:dyDescent="0.2">
      <c r="B6" s="93" t="s">
        <v>165</v>
      </c>
      <c r="C6" s="93" t="s">
        <v>11</v>
      </c>
      <c r="D6" s="93"/>
      <c r="E6" s="93"/>
      <c r="F6" s="93"/>
    </row>
    <row r="7" spans="1:6" x14ac:dyDescent="0.2">
      <c r="B7" s="93"/>
      <c r="C7" s="4" t="s">
        <v>19</v>
      </c>
      <c r="D7" s="93"/>
      <c r="E7" s="93"/>
      <c r="F7" s="93"/>
    </row>
    <row r="8" spans="1:6" x14ac:dyDescent="0.2">
      <c r="B8" s="93"/>
      <c r="C8" s="4" t="s">
        <v>1141</v>
      </c>
      <c r="D8" s="93"/>
      <c r="E8" s="93"/>
      <c r="F8" s="93"/>
    </row>
    <row r="9" spans="1:6" x14ac:dyDescent="0.2">
      <c r="B9" s="93" t="s">
        <v>538</v>
      </c>
      <c r="C9" s="93" t="s">
        <v>29</v>
      </c>
      <c r="D9" s="93"/>
      <c r="E9" s="93"/>
      <c r="F9" s="93"/>
    </row>
    <row r="10" spans="1:6" x14ac:dyDescent="0.2">
      <c r="B10" s="93" t="s">
        <v>491</v>
      </c>
      <c r="C10" s="93" t="s">
        <v>738</v>
      </c>
      <c r="D10" s="93"/>
      <c r="E10" s="93"/>
      <c r="F10" s="93"/>
    </row>
    <row r="11" spans="1:6" x14ac:dyDescent="0.2">
      <c r="B11" s="93"/>
      <c r="C11" s="93" t="s">
        <v>643</v>
      </c>
      <c r="D11" s="93"/>
      <c r="E11" s="93"/>
      <c r="F11" s="93"/>
    </row>
    <row r="12" spans="1:6" x14ac:dyDescent="0.2">
      <c r="B12" s="93"/>
      <c r="C12" s="93" t="s">
        <v>644</v>
      </c>
      <c r="D12" s="93"/>
      <c r="E12" s="93"/>
      <c r="F12" s="93"/>
    </row>
    <row r="13" spans="1:6" x14ac:dyDescent="0.2">
      <c r="B13" s="93"/>
      <c r="C13" s="93" t="s">
        <v>461</v>
      </c>
      <c r="D13" s="93"/>
      <c r="E13" s="93"/>
      <c r="F13" s="93"/>
    </row>
    <row r="14" spans="1:6" x14ac:dyDescent="0.2">
      <c r="B14" s="93" t="s">
        <v>737</v>
      </c>
      <c r="C14" s="93" t="s">
        <v>460</v>
      </c>
      <c r="D14" s="93"/>
      <c r="E14" s="93"/>
      <c r="F14" s="93"/>
    </row>
    <row r="15" spans="1:6" x14ac:dyDescent="0.2">
      <c r="B15" s="93" t="s">
        <v>645</v>
      </c>
      <c r="C15" s="93" t="s">
        <v>646</v>
      </c>
      <c r="D15" s="93"/>
      <c r="E15" s="93"/>
      <c r="F15" s="93"/>
    </row>
    <row r="16" spans="1:6" x14ac:dyDescent="0.2">
      <c r="B16" s="93" t="s">
        <v>773</v>
      </c>
      <c r="C16" s="4" t="s">
        <v>1485</v>
      </c>
      <c r="D16" s="93"/>
      <c r="E16" s="93"/>
      <c r="F16" s="93"/>
    </row>
    <row r="17" spans="2:43" x14ac:dyDescent="0.2">
      <c r="B17" s="93"/>
      <c r="C17" s="4" t="s">
        <v>1486</v>
      </c>
      <c r="D17" s="93"/>
      <c r="E17" s="93"/>
      <c r="F17" s="93"/>
    </row>
    <row r="18" spans="2:43" x14ac:dyDescent="0.2">
      <c r="B18" s="93" t="s">
        <v>167</v>
      </c>
      <c r="C18" s="4" t="s">
        <v>1131</v>
      </c>
      <c r="D18" s="93"/>
      <c r="E18" s="93"/>
      <c r="F18" s="93"/>
    </row>
    <row r="19" spans="2:43" x14ac:dyDescent="0.2">
      <c r="B19" s="93" t="s">
        <v>462</v>
      </c>
      <c r="C19" s="93" t="s">
        <v>463</v>
      </c>
      <c r="D19" s="93"/>
      <c r="E19" s="93"/>
      <c r="F19" s="93"/>
    </row>
    <row r="20" spans="2:43" x14ac:dyDescent="0.2">
      <c r="B20" s="93" t="s">
        <v>126</v>
      </c>
      <c r="C20" s="93" t="s">
        <v>127</v>
      </c>
      <c r="D20" s="93"/>
      <c r="E20" s="93"/>
      <c r="F20" s="93"/>
    </row>
    <row r="21" spans="2:43" x14ac:dyDescent="0.2">
      <c r="B21" s="93" t="s">
        <v>708</v>
      </c>
      <c r="C21" s="93" t="s">
        <v>987</v>
      </c>
      <c r="D21" s="93"/>
      <c r="E21" s="93"/>
      <c r="F21" s="93"/>
    </row>
    <row r="22" spans="2:43" x14ac:dyDescent="0.2">
      <c r="B22" s="93" t="s">
        <v>157</v>
      </c>
      <c r="C22" s="93" t="s">
        <v>464</v>
      </c>
      <c r="D22" s="93"/>
      <c r="E22" s="93"/>
      <c r="F22" s="93"/>
    </row>
    <row r="23" spans="2:43" x14ac:dyDescent="0.2">
      <c r="B23" s="93" t="s">
        <v>533</v>
      </c>
      <c r="C23" s="93"/>
      <c r="D23" s="93"/>
      <c r="E23" s="93"/>
      <c r="F23" s="93"/>
    </row>
    <row r="24" spans="2:43" x14ac:dyDescent="0.2">
      <c r="C24" s="30" t="s">
        <v>739</v>
      </c>
      <c r="E24" s="93"/>
      <c r="F24" s="93"/>
    </row>
    <row r="25" spans="2:43" x14ac:dyDescent="0.2">
      <c r="C25" s="93" t="s">
        <v>741</v>
      </c>
      <c r="D25" s="93"/>
      <c r="F25" s="93"/>
    </row>
    <row r="26" spans="2:43" x14ac:dyDescent="0.2">
      <c r="C26" s="93"/>
      <c r="D26" s="93"/>
      <c r="F26" s="93"/>
    </row>
    <row r="27" spans="2:43" x14ac:dyDescent="0.2">
      <c r="C27" s="30" t="s">
        <v>740</v>
      </c>
      <c r="F27" s="93"/>
    </row>
    <row r="28" spans="2:43" x14ac:dyDescent="0.2">
      <c r="C28" s="93" t="s">
        <v>742</v>
      </c>
      <c r="F28" s="93"/>
    </row>
    <row r="29" spans="2:43" x14ac:dyDescent="0.2">
      <c r="E29" s="93"/>
      <c r="J29" s="93"/>
      <c r="K29" s="95"/>
      <c r="AQ29" s="93"/>
    </row>
    <row r="30" spans="2:43" x14ac:dyDescent="0.2">
      <c r="C30" s="93"/>
      <c r="D30" s="93"/>
      <c r="F30" s="341" t="s">
        <v>743</v>
      </c>
      <c r="G30" s="341"/>
      <c r="H30" s="341"/>
      <c r="I30" s="341"/>
      <c r="J30" s="341"/>
      <c r="K30" s="341"/>
      <c r="L30" s="341"/>
      <c r="M30" s="341"/>
      <c r="N30" s="341"/>
      <c r="P30" s="341" t="s">
        <v>647</v>
      </c>
      <c r="Q30" s="341"/>
      <c r="R30" s="341"/>
      <c r="S30" s="341"/>
      <c r="T30" s="341"/>
      <c r="AP30" s="93"/>
      <c r="AQ30" s="93"/>
    </row>
    <row r="31" spans="2:43" x14ac:dyDescent="0.2">
      <c r="C31" s="93"/>
      <c r="D31" s="93"/>
      <c r="F31" s="95" t="s">
        <v>648</v>
      </c>
      <c r="H31" s="95" t="s">
        <v>649</v>
      </c>
      <c r="I31" s="93"/>
      <c r="J31" s="95" t="s">
        <v>649</v>
      </c>
      <c r="K31" s="95"/>
      <c r="L31" s="95" t="s">
        <v>650</v>
      </c>
      <c r="N31" s="95" t="s">
        <v>650</v>
      </c>
      <c r="P31" s="95" t="s">
        <v>648</v>
      </c>
      <c r="R31" s="95" t="s">
        <v>649</v>
      </c>
      <c r="T31" s="95" t="s">
        <v>651</v>
      </c>
      <c r="AP31" s="93"/>
      <c r="AQ31" s="93"/>
    </row>
    <row r="32" spans="2:43" x14ac:dyDescent="0.2">
      <c r="C32" s="93"/>
      <c r="D32" s="93" t="s">
        <v>652</v>
      </c>
      <c r="H32" s="95" t="s">
        <v>653</v>
      </c>
      <c r="I32" s="93"/>
      <c r="J32" s="95" t="s">
        <v>654</v>
      </c>
      <c r="K32" s="95"/>
      <c r="L32" s="95" t="s">
        <v>653</v>
      </c>
      <c r="N32" s="95" t="s">
        <v>654</v>
      </c>
      <c r="R32" s="95" t="s">
        <v>653</v>
      </c>
      <c r="T32" s="95" t="s">
        <v>653</v>
      </c>
      <c r="AP32" s="93"/>
      <c r="AQ32" s="93"/>
    </row>
    <row r="33" spans="3:43" x14ac:dyDescent="0.2">
      <c r="C33" s="93"/>
      <c r="D33" s="93" t="s">
        <v>655</v>
      </c>
      <c r="F33" s="152">
        <v>0.2</v>
      </c>
      <c r="H33" s="152">
        <v>0.5</v>
      </c>
      <c r="I33" s="93"/>
      <c r="J33" s="152">
        <v>0.5</v>
      </c>
      <c r="K33" s="95"/>
      <c r="L33" s="152">
        <v>0.52</v>
      </c>
      <c r="N33" s="152">
        <v>0.57999999999999996</v>
      </c>
      <c r="AP33" s="93"/>
      <c r="AQ33" s="93"/>
    </row>
    <row r="34" spans="3:43" x14ac:dyDescent="0.2">
      <c r="C34" s="93"/>
      <c r="D34" s="93" t="s">
        <v>656</v>
      </c>
      <c r="F34" s="152">
        <v>0.05</v>
      </c>
      <c r="H34" s="152">
        <v>0.27</v>
      </c>
      <c r="I34" s="93"/>
      <c r="J34" s="152">
        <v>0.28999999999999998</v>
      </c>
      <c r="K34" s="95"/>
      <c r="L34" s="152">
        <v>0.31</v>
      </c>
      <c r="N34" s="152">
        <v>0.26</v>
      </c>
      <c r="AP34" s="93"/>
      <c r="AQ34" s="93"/>
    </row>
    <row r="35" spans="3:43" x14ac:dyDescent="0.2">
      <c r="C35" s="93"/>
      <c r="D35" s="93" t="s">
        <v>657</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658</v>
      </c>
      <c r="F37" s="152"/>
      <c r="H37" s="152"/>
      <c r="I37" s="93"/>
      <c r="J37" s="152"/>
      <c r="K37" s="95"/>
      <c r="L37" s="152"/>
      <c r="N37" s="152"/>
      <c r="AP37" s="93"/>
      <c r="AQ37" s="93"/>
    </row>
    <row r="38" spans="3:43" x14ac:dyDescent="0.2">
      <c r="C38" s="93"/>
      <c r="D38" s="93" t="s">
        <v>655</v>
      </c>
      <c r="F38" s="152">
        <v>0.17</v>
      </c>
      <c r="H38" s="152">
        <v>0.42</v>
      </c>
      <c r="I38" s="93"/>
      <c r="J38" s="153">
        <v>0.48</v>
      </c>
      <c r="K38" s="95"/>
      <c r="L38" s="152">
        <v>0.59</v>
      </c>
      <c r="N38" s="152">
        <v>0.59</v>
      </c>
      <c r="P38" s="152">
        <v>0.54</v>
      </c>
      <c r="R38" s="152">
        <v>0.62</v>
      </c>
      <c r="T38" s="152">
        <v>0.66</v>
      </c>
      <c r="AP38" s="93"/>
      <c r="AQ38" s="93"/>
    </row>
    <row r="39" spans="3:43" x14ac:dyDescent="0.2">
      <c r="C39" s="93"/>
      <c r="D39" s="93" t="s">
        <v>656</v>
      </c>
      <c r="F39" s="152">
        <v>0.09</v>
      </c>
      <c r="H39" s="152">
        <v>0.21</v>
      </c>
      <c r="I39" s="93"/>
      <c r="J39" s="152">
        <v>0.34</v>
      </c>
      <c r="K39" s="95"/>
      <c r="L39" s="152">
        <v>0.4</v>
      </c>
      <c r="N39" s="152">
        <v>0.38</v>
      </c>
      <c r="P39" s="152">
        <v>0.32</v>
      </c>
      <c r="R39" s="152">
        <v>0.46</v>
      </c>
      <c r="T39" s="152">
        <v>0.5</v>
      </c>
      <c r="AP39" s="93"/>
      <c r="AQ39" s="93"/>
    </row>
    <row r="40" spans="3:43" x14ac:dyDescent="0.2">
      <c r="C40" s="93"/>
      <c r="D40" s="93" t="s">
        <v>657</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659</v>
      </c>
      <c r="F42" s="152">
        <v>0</v>
      </c>
      <c r="H42" s="152">
        <v>7.0000000000000007E-2</v>
      </c>
      <c r="I42" s="93"/>
      <c r="J42" s="152">
        <v>0.08</v>
      </c>
      <c r="K42" s="95"/>
      <c r="L42" s="152">
        <v>0.15</v>
      </c>
      <c r="N42" s="152">
        <v>0.06</v>
      </c>
      <c r="P42" s="152">
        <v>0.08</v>
      </c>
      <c r="R42" s="152">
        <v>0.12</v>
      </c>
      <c r="T42" s="152">
        <v>0.17</v>
      </c>
      <c r="AP42" s="93"/>
      <c r="AQ42" s="93"/>
    </row>
    <row r="43" spans="3:43" x14ac:dyDescent="0.2">
      <c r="D43" s="93" t="s">
        <v>660</v>
      </c>
      <c r="I43" s="93"/>
      <c r="K43" s="95"/>
      <c r="AP43" s="93"/>
      <c r="AQ43" s="93"/>
    </row>
    <row r="44" spans="3:43" x14ac:dyDescent="0.2">
      <c r="I44" s="93"/>
      <c r="K44" s="95"/>
      <c r="AP44" s="93"/>
      <c r="AQ44" s="93"/>
    </row>
    <row r="45" spans="3:43" x14ac:dyDescent="0.2">
      <c r="C45" s="30" t="s">
        <v>30</v>
      </c>
    </row>
    <row r="47" spans="3:43" x14ac:dyDescent="0.2">
      <c r="C47" s="30" t="s">
        <v>31</v>
      </c>
    </row>
    <row r="49" spans="2:64" x14ac:dyDescent="0.2">
      <c r="C49" s="30" t="s">
        <v>32</v>
      </c>
    </row>
    <row r="51" spans="2:64" x14ac:dyDescent="0.2">
      <c r="C51" s="30" t="s">
        <v>33</v>
      </c>
    </row>
    <row r="53" spans="2:64" x14ac:dyDescent="0.2">
      <c r="C53" s="30" t="s">
        <v>1044</v>
      </c>
    </row>
    <row r="58" spans="2:64" x14ac:dyDescent="0.2">
      <c r="B58" s="93"/>
      <c r="C58" s="154" t="s">
        <v>223</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587</v>
      </c>
      <c r="R58" s="258" t="s">
        <v>588</v>
      </c>
      <c r="S58" s="258" t="s">
        <v>589</v>
      </c>
      <c r="T58" s="258" t="s">
        <v>590</v>
      </c>
      <c r="U58" s="258" t="s">
        <v>591</v>
      </c>
      <c r="V58" s="258" t="s">
        <v>592</v>
      </c>
      <c r="W58" s="258" t="s">
        <v>593</v>
      </c>
      <c r="X58" s="258" t="s">
        <v>594</v>
      </c>
      <c r="Y58" s="258" t="s">
        <v>595</v>
      </c>
      <c r="Z58" s="258" t="s">
        <v>596</v>
      </c>
      <c r="AA58" s="258" t="s">
        <v>597</v>
      </c>
      <c r="AB58" s="258" t="s">
        <v>598</v>
      </c>
      <c r="AC58" s="258" t="s">
        <v>599</v>
      </c>
      <c r="AD58" s="258" t="s">
        <v>600</v>
      </c>
      <c r="AE58" s="258" t="s">
        <v>601</v>
      </c>
      <c r="AF58" s="258" t="s">
        <v>602</v>
      </c>
      <c r="AG58" s="258" t="s">
        <v>603</v>
      </c>
      <c r="AH58" s="258" t="s">
        <v>604</v>
      </c>
      <c r="AI58" s="258" t="s">
        <v>605</v>
      </c>
      <c r="AJ58" s="258" t="s">
        <v>606</v>
      </c>
      <c r="AK58" s="258" t="s">
        <v>607</v>
      </c>
      <c r="AL58" s="258" t="s">
        <v>608</v>
      </c>
      <c r="AM58" s="258" t="s">
        <v>609</v>
      </c>
      <c r="AN58" s="258" t="s">
        <v>610</v>
      </c>
      <c r="AO58" s="258" t="s">
        <v>611</v>
      </c>
      <c r="AP58" s="258" t="s">
        <v>612</v>
      </c>
      <c r="AQ58" s="258" t="s">
        <v>613</v>
      </c>
      <c r="AR58" s="258" t="s">
        <v>614</v>
      </c>
      <c r="AS58" s="258" t="s">
        <v>615</v>
      </c>
      <c r="AT58" s="258" t="s">
        <v>616</v>
      </c>
      <c r="AU58" s="258" t="s">
        <v>617</v>
      </c>
      <c r="AV58" s="258" t="s">
        <v>618</v>
      </c>
      <c r="AW58" s="258" t="s">
        <v>921</v>
      </c>
      <c r="AX58" s="258" t="s">
        <v>922</v>
      </c>
      <c r="AY58" s="258" t="s">
        <v>964</v>
      </c>
      <c r="AZ58" s="258" t="s">
        <v>965</v>
      </c>
      <c r="BA58" s="258" t="s">
        <v>966</v>
      </c>
      <c r="BB58" s="258" t="s">
        <v>967</v>
      </c>
      <c r="BC58" s="258" t="s">
        <v>968</v>
      </c>
      <c r="BD58" s="258" t="s">
        <v>969</v>
      </c>
      <c r="BE58" s="258" t="s">
        <v>104</v>
      </c>
      <c r="BF58" s="258" t="s">
        <v>105</v>
      </c>
      <c r="BG58" s="258" t="s">
        <v>106</v>
      </c>
      <c r="BH58" s="258" t="s">
        <v>107</v>
      </c>
      <c r="BI58" s="258" t="s">
        <v>1480</v>
      </c>
      <c r="BJ58" s="258" t="s">
        <v>1481</v>
      </c>
      <c r="BK58" s="258" t="s">
        <v>1482</v>
      </c>
      <c r="BL58" s="155" t="s">
        <v>1483</v>
      </c>
    </row>
    <row r="59" spans="2:64" s="156" customFormat="1" x14ac:dyDescent="0.2">
      <c r="C59" s="156" t="s">
        <v>619</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620</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541</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621</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623</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624</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182</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223</v>
      </c>
      <c r="D70" s="252"/>
      <c r="E70" s="252"/>
      <c r="F70" s="252"/>
      <c r="G70" s="252"/>
      <c r="H70" s="252"/>
      <c r="I70" s="252"/>
      <c r="J70" s="252"/>
      <c r="K70" s="259">
        <f>K68+K62</f>
        <v>4253</v>
      </c>
      <c r="L70" s="259">
        <f>L68+L62</f>
        <v>4975</v>
      </c>
      <c r="M70" s="259">
        <f>M68+M62</f>
        <v>5866</v>
      </c>
      <c r="N70" s="259">
        <f>N68+N62</f>
        <v>6506.72</v>
      </c>
      <c r="O70" s="252"/>
    </row>
    <row r="71" spans="2:64" x14ac:dyDescent="0.2">
      <c r="C71" s="93" t="s">
        <v>457</v>
      </c>
      <c r="D71" s="252"/>
      <c r="E71" s="252"/>
      <c r="F71" s="252"/>
      <c r="G71" s="252"/>
      <c r="H71" s="252"/>
      <c r="I71" s="252"/>
      <c r="J71" s="252"/>
      <c r="K71" s="259">
        <v>4331</v>
      </c>
      <c r="L71" s="259">
        <v>5275</v>
      </c>
      <c r="M71" s="259">
        <v>6276</v>
      </c>
      <c r="N71" s="259">
        <f>M71*1.05</f>
        <v>6589.8</v>
      </c>
      <c r="O71" s="252"/>
    </row>
    <row r="72" spans="2:64" x14ac:dyDescent="0.2">
      <c r="C72" s="93" t="s">
        <v>458</v>
      </c>
      <c r="D72" s="252"/>
      <c r="E72" s="252"/>
      <c r="F72" s="252"/>
      <c r="G72" s="252"/>
      <c r="H72" s="252"/>
      <c r="I72" s="252"/>
      <c r="J72" s="252"/>
      <c r="K72" s="259">
        <v>2044</v>
      </c>
      <c r="L72" s="259">
        <v>3063</v>
      </c>
      <c r="M72" s="259">
        <v>4345</v>
      </c>
      <c r="N72" s="259">
        <f>M72*1.05</f>
        <v>4562.25</v>
      </c>
      <c r="O72" s="252"/>
    </row>
    <row r="73" spans="2:64" x14ac:dyDescent="0.2">
      <c r="C73" s="9" t="s">
        <v>365</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1484</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5"/>
  <sheetViews>
    <sheetView zoomScale="160" zoomScaleNormal="160" workbookViewId="0"/>
  </sheetViews>
  <sheetFormatPr defaultRowHeight="12.75" x14ac:dyDescent="0.2"/>
  <cols>
    <col min="1" max="1" width="5" bestFit="1" customWidth="1"/>
    <col min="2" max="2" width="12" bestFit="1" customWidth="1"/>
  </cols>
  <sheetData>
    <row r="1" spans="1:3" x14ac:dyDescent="0.2">
      <c r="A1" s="116" t="s">
        <v>156</v>
      </c>
    </row>
    <row r="2" spans="1:3" x14ac:dyDescent="0.2">
      <c r="B2" t="s">
        <v>1717</v>
      </c>
      <c r="C2" t="s">
        <v>1863</v>
      </c>
    </row>
    <row r="3" spans="1:3" x14ac:dyDescent="0.2">
      <c r="B3" t="s">
        <v>1283</v>
      </c>
      <c r="C3" t="s">
        <v>1609</v>
      </c>
    </row>
    <row r="4" spans="1:3" x14ac:dyDescent="0.2">
      <c r="B4" t="s">
        <v>161</v>
      </c>
      <c r="C4" t="s">
        <v>1864</v>
      </c>
    </row>
    <row r="5" spans="1:3" x14ac:dyDescent="0.2">
      <c r="B5" t="s">
        <v>1718</v>
      </c>
      <c r="C5" t="s">
        <v>1865</v>
      </c>
    </row>
    <row r="6" spans="1:3" x14ac:dyDescent="0.2">
      <c r="B6" t="s">
        <v>778</v>
      </c>
    </row>
    <row r="7" spans="1:3" x14ac:dyDescent="0.2">
      <c r="C7" s="184" t="s">
        <v>1866</v>
      </c>
    </row>
    <row r="8" spans="1:3" x14ac:dyDescent="0.2">
      <c r="C8" t="s">
        <v>1867</v>
      </c>
    </row>
    <row r="11" spans="1:3" x14ac:dyDescent="0.2">
      <c r="C11" s="184" t="s">
        <v>1898</v>
      </c>
    </row>
    <row r="12" spans="1:3" x14ac:dyDescent="0.2">
      <c r="C12" t="s">
        <v>1899</v>
      </c>
    </row>
    <row r="14" spans="1:3" x14ac:dyDescent="0.2">
      <c r="C14" s="184" t="s">
        <v>1901</v>
      </c>
    </row>
    <row r="15" spans="1:3" x14ac:dyDescent="0.2">
      <c r="C15" t="s">
        <v>1900</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11"/>
  <sheetViews>
    <sheetView workbookViewId="0">
      <selection activeCell="C5" sqref="C5"/>
    </sheetView>
  </sheetViews>
  <sheetFormatPr defaultRowHeight="12.75" x14ac:dyDescent="0.2"/>
  <cols>
    <col min="1" max="1" width="5" bestFit="1" customWidth="1"/>
    <col min="2" max="2" width="10.28515625" bestFit="1" customWidth="1"/>
  </cols>
  <sheetData>
    <row r="1" spans="1:3" x14ac:dyDescent="0.2">
      <c r="A1" s="116" t="s">
        <v>156</v>
      </c>
    </row>
    <row r="2" spans="1:3" x14ac:dyDescent="0.2">
      <c r="B2" t="s">
        <v>1717</v>
      </c>
      <c r="C2" t="s">
        <v>1855</v>
      </c>
    </row>
    <row r="3" spans="1:3" x14ac:dyDescent="0.2">
      <c r="B3" t="s">
        <v>1283</v>
      </c>
      <c r="C3" t="s">
        <v>1559</v>
      </c>
    </row>
    <row r="4" spans="1:3" x14ac:dyDescent="0.2">
      <c r="B4" t="s">
        <v>161</v>
      </c>
      <c r="C4" t="s">
        <v>1861</v>
      </c>
    </row>
    <row r="5" spans="1:3" x14ac:dyDescent="0.2">
      <c r="B5" t="s">
        <v>1718</v>
      </c>
      <c r="C5" t="s">
        <v>1812</v>
      </c>
    </row>
    <row r="6" spans="1:3" x14ac:dyDescent="0.2">
      <c r="B6" t="s">
        <v>773</v>
      </c>
      <c r="C6" t="s">
        <v>1860</v>
      </c>
    </row>
    <row r="7" spans="1:3" x14ac:dyDescent="0.2">
      <c r="B7" t="s">
        <v>778</v>
      </c>
    </row>
    <row r="8" spans="1:3" x14ac:dyDescent="0.2">
      <c r="C8" s="184" t="s">
        <v>1859</v>
      </c>
    </row>
    <row r="9" spans="1:3" x14ac:dyDescent="0.2">
      <c r="C9" t="s">
        <v>1856</v>
      </c>
    </row>
    <row r="10" spans="1:3" x14ac:dyDescent="0.2">
      <c r="C10" t="s">
        <v>1858</v>
      </c>
    </row>
    <row r="11" spans="1:3" x14ac:dyDescent="0.2">
      <c r="C11" t="s">
        <v>1857</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RowHeight="12.75" x14ac:dyDescent="0.2"/>
  <cols>
    <col min="1" max="1" width="5" bestFit="1" customWidth="1"/>
    <col min="2" max="2" width="12" bestFit="1" customWidth="1"/>
  </cols>
  <sheetData>
    <row r="1" spans="1:3" x14ac:dyDescent="0.2">
      <c r="A1" s="116" t="s">
        <v>156</v>
      </c>
    </row>
    <row r="2" spans="1:3" x14ac:dyDescent="0.2">
      <c r="B2" t="s">
        <v>1717</v>
      </c>
      <c r="C2" t="s">
        <v>1839</v>
      </c>
    </row>
    <row r="3" spans="1:3" x14ac:dyDescent="0.2">
      <c r="B3" t="s">
        <v>1283</v>
      </c>
      <c r="C3" t="s">
        <v>1840</v>
      </c>
    </row>
    <row r="4" spans="1:3" x14ac:dyDescent="0.2">
      <c r="B4" t="s">
        <v>161</v>
      </c>
      <c r="C4" t="s">
        <v>1843</v>
      </c>
    </row>
    <row r="5" spans="1:3" x14ac:dyDescent="0.2">
      <c r="B5" t="s">
        <v>773</v>
      </c>
      <c r="C5" t="s">
        <v>1846</v>
      </c>
    </row>
    <row r="6" spans="1:3" x14ac:dyDescent="0.2">
      <c r="B6" t="s">
        <v>778</v>
      </c>
    </row>
    <row r="7" spans="1:3" x14ac:dyDescent="0.2">
      <c r="C7" s="184" t="s">
        <v>1844</v>
      </c>
    </row>
    <row r="8" spans="1:3" x14ac:dyDescent="0.2">
      <c r="C8" t="s">
        <v>1845</v>
      </c>
    </row>
    <row r="9" spans="1:3" x14ac:dyDescent="0.2">
      <c r="C9" t="s">
        <v>1842</v>
      </c>
    </row>
    <row r="10" spans="1:3" x14ac:dyDescent="0.2">
      <c r="C10" t="s">
        <v>1841</v>
      </c>
    </row>
  </sheetData>
  <hyperlinks>
    <hyperlink ref="A1" location="Main!A1" display="Main" xr:uid="{0B26453D-FD6B-4ED9-AF1F-C8B623278A9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5703125" style="4" customWidth="1"/>
    <col min="3" max="16384" width="9.140625" style="4"/>
  </cols>
  <sheetData>
    <row r="1" spans="1:3" x14ac:dyDescent="0.2">
      <c r="A1" s="5" t="s">
        <v>156</v>
      </c>
    </row>
    <row r="2" spans="1:3" x14ac:dyDescent="0.2">
      <c r="B2" s="4" t="s">
        <v>487</v>
      </c>
      <c r="C2" s="4" t="s">
        <v>1252</v>
      </c>
    </row>
    <row r="3" spans="1:3" x14ac:dyDescent="0.2">
      <c r="B3" s="4" t="s">
        <v>488</v>
      </c>
      <c r="C3" s="4" t="s">
        <v>1273</v>
      </c>
    </row>
    <row r="4" spans="1:3" x14ac:dyDescent="0.2">
      <c r="B4" s="4" t="s">
        <v>491</v>
      </c>
      <c r="C4" s="4" t="s">
        <v>1256</v>
      </c>
    </row>
    <row r="5" spans="1:3" x14ac:dyDescent="0.2">
      <c r="B5" s="4" t="s">
        <v>529</v>
      </c>
      <c r="C5" s="4" t="s">
        <v>1257</v>
      </c>
    </row>
    <row r="6" spans="1:3" x14ac:dyDescent="0.2">
      <c r="B6" s="4" t="s">
        <v>497</v>
      </c>
      <c r="C6" s="4" t="s">
        <v>172</v>
      </c>
    </row>
    <row r="7" spans="1:3" x14ac:dyDescent="0.2">
      <c r="B7" s="4" t="s">
        <v>773</v>
      </c>
      <c r="C7" s="4" t="s">
        <v>1421</v>
      </c>
    </row>
    <row r="8" spans="1:3" x14ac:dyDescent="0.2">
      <c r="B8" s="4" t="s">
        <v>161</v>
      </c>
      <c r="C8" s="4" t="s">
        <v>1083</v>
      </c>
    </row>
    <row r="9" spans="1:3" x14ac:dyDescent="0.2">
      <c r="C9" s="4" t="s">
        <v>1084</v>
      </c>
    </row>
    <row r="10" spans="1:3" x14ac:dyDescent="0.2">
      <c r="B10" s="4" t="s">
        <v>165</v>
      </c>
      <c r="C10" s="4" t="s">
        <v>904</v>
      </c>
    </row>
    <row r="11" spans="1:3" x14ac:dyDescent="0.2">
      <c r="B11" s="4" t="s">
        <v>167</v>
      </c>
      <c r="C11" s="4" t="s">
        <v>1277</v>
      </c>
    </row>
    <row r="12" spans="1:3" x14ac:dyDescent="0.2">
      <c r="C12" s="4" t="s">
        <v>1253</v>
      </c>
    </row>
    <row r="13" spans="1:3" x14ac:dyDescent="0.2">
      <c r="B13" s="4" t="s">
        <v>906</v>
      </c>
      <c r="C13" s="4" t="s">
        <v>1422</v>
      </c>
    </row>
    <row r="14" spans="1:3" x14ac:dyDescent="0.2">
      <c r="C14" s="4" t="s">
        <v>1518</v>
      </c>
    </row>
    <row r="15" spans="1:3" x14ac:dyDescent="0.2">
      <c r="C15" s="4" t="s">
        <v>1520</v>
      </c>
    </row>
    <row r="16" spans="1:3" x14ac:dyDescent="0.2">
      <c r="C16" s="4" t="s">
        <v>1519</v>
      </c>
    </row>
    <row r="17" spans="2:3" x14ac:dyDescent="0.2">
      <c r="B17" s="4" t="s">
        <v>108</v>
      </c>
      <c r="C17" s="4" t="s">
        <v>1251</v>
      </c>
    </row>
    <row r="18" spans="2:3" x14ac:dyDescent="0.2">
      <c r="C18" s="4" t="s">
        <v>1254</v>
      </c>
    </row>
    <row r="19" spans="2:3" x14ac:dyDescent="0.2">
      <c r="B19" s="4" t="s">
        <v>495</v>
      </c>
      <c r="C19" s="4" t="s">
        <v>1265</v>
      </c>
    </row>
    <row r="20" spans="2:3" x14ac:dyDescent="0.2">
      <c r="B20" s="4" t="s">
        <v>1266</v>
      </c>
      <c r="C20" s="4" t="s">
        <v>1267</v>
      </c>
    </row>
    <row r="21" spans="2:3" x14ac:dyDescent="0.2">
      <c r="B21" s="4" t="s">
        <v>778</v>
      </c>
    </row>
    <row r="22" spans="2:3" x14ac:dyDescent="0.2">
      <c r="C22" s="30" t="s">
        <v>1511</v>
      </c>
    </row>
    <row r="23" spans="2:3" x14ac:dyDescent="0.2">
      <c r="C23" s="4" t="s">
        <v>1512</v>
      </c>
    </row>
    <row r="25" spans="2:3" x14ac:dyDescent="0.2">
      <c r="C25" s="30" t="s">
        <v>1425</v>
      </c>
    </row>
    <row r="26" spans="2:3" x14ac:dyDescent="0.2">
      <c r="C26" s="4" t="s">
        <v>1426</v>
      </c>
    </row>
    <row r="27" spans="2:3" x14ac:dyDescent="0.2">
      <c r="C27" s="4" t="s">
        <v>1496</v>
      </c>
    </row>
    <row r="28" spans="2:3" x14ac:dyDescent="0.2">
      <c r="C28" s="4" t="s">
        <v>1497</v>
      </c>
    </row>
    <row r="29" spans="2:3" x14ac:dyDescent="0.2">
      <c r="C29" s="4" t="s">
        <v>1498</v>
      </c>
    </row>
    <row r="31" spans="2:3" x14ac:dyDescent="0.2">
      <c r="C31" s="30" t="s">
        <v>1428</v>
      </c>
    </row>
    <row r="32" spans="2:3" x14ac:dyDescent="0.2">
      <c r="C32" s="4" t="s">
        <v>1430</v>
      </c>
    </row>
    <row r="33" spans="1:3" x14ac:dyDescent="0.2">
      <c r="C33" s="4" t="s">
        <v>1429</v>
      </c>
    </row>
    <row r="35" spans="1:3" x14ac:dyDescent="0.2">
      <c r="C35" s="30" t="s">
        <v>1264</v>
      </c>
    </row>
    <row r="36" spans="1:3" x14ac:dyDescent="0.2">
      <c r="C36" s="4" t="s">
        <v>1085</v>
      </c>
    </row>
    <row r="37" spans="1:3" x14ac:dyDescent="0.2">
      <c r="C37" s="9" t="s">
        <v>1086</v>
      </c>
    </row>
    <row r="38" spans="1:3" x14ac:dyDescent="0.2">
      <c r="A38" s="15"/>
      <c r="C38" s="4" t="s">
        <v>1258</v>
      </c>
    </row>
    <row r="40" spans="1:3" x14ac:dyDescent="0.2">
      <c r="C40" s="30" t="s">
        <v>1260</v>
      </c>
    </row>
    <row r="41" spans="1:3" x14ac:dyDescent="0.2">
      <c r="C41" s="4" t="s">
        <v>1259</v>
      </c>
    </row>
    <row r="43" spans="1:3" x14ac:dyDescent="0.2">
      <c r="C43" s="30" t="s">
        <v>1261</v>
      </c>
    </row>
    <row r="44" spans="1:3" x14ac:dyDescent="0.2">
      <c r="C44" s="4" t="s">
        <v>1262</v>
      </c>
    </row>
    <row r="46" spans="1:3" x14ac:dyDescent="0.2">
      <c r="C46" s="30" t="s">
        <v>1263</v>
      </c>
    </row>
    <row r="47" spans="1:3" x14ac:dyDescent="0.2">
      <c r="C47" s="4" t="s">
        <v>902</v>
      </c>
    </row>
    <row r="48" spans="1:3" x14ac:dyDescent="0.2">
      <c r="C48" s="4" t="s">
        <v>903</v>
      </c>
    </row>
    <row r="50" spans="3:3" x14ac:dyDescent="0.2">
      <c r="C50" s="30" t="s">
        <v>1255</v>
      </c>
    </row>
    <row r="52" spans="3:3" x14ac:dyDescent="0.2">
      <c r="C52" s="30" t="s">
        <v>1268</v>
      </c>
    </row>
    <row r="54" spans="3:3" x14ac:dyDescent="0.2">
      <c r="C54" s="30" t="s">
        <v>1269</v>
      </c>
    </row>
    <row r="56" spans="3:3" x14ac:dyDescent="0.2">
      <c r="C56" s="30" t="s">
        <v>1270</v>
      </c>
    </row>
    <row r="58" spans="3:3" x14ac:dyDescent="0.2">
      <c r="C58" s="30" t="s">
        <v>1274</v>
      </c>
    </row>
    <row r="60" spans="3:3" x14ac:dyDescent="0.2">
      <c r="C60" s="30" t="s">
        <v>1272</v>
      </c>
    </row>
    <row r="61" spans="3:3" x14ac:dyDescent="0.2">
      <c r="C61" s="4" t="s">
        <v>1271</v>
      </c>
    </row>
    <row r="64" spans="3:3" x14ac:dyDescent="0.2">
      <c r="C64" s="30" t="s">
        <v>1275</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6"/>
  <sheetViews>
    <sheetView workbookViewId="0">
      <selection activeCell="E7" sqref="E7"/>
    </sheetView>
  </sheetViews>
  <sheetFormatPr defaultRowHeight="12.75" x14ac:dyDescent="0.2"/>
  <cols>
    <col min="1" max="1" width="5" bestFit="1" customWidth="1"/>
    <col min="2" max="2" width="10.28515625" bestFit="1" customWidth="1"/>
  </cols>
  <sheetData>
    <row r="1" spans="1:3" x14ac:dyDescent="0.2">
      <c r="A1" s="116" t="s">
        <v>156</v>
      </c>
    </row>
    <row r="2" spans="1:3" x14ac:dyDescent="0.2">
      <c r="B2" t="s">
        <v>1717</v>
      </c>
      <c r="C2" t="s">
        <v>1886</v>
      </c>
    </row>
    <row r="3" spans="1:3" x14ac:dyDescent="0.2">
      <c r="B3" t="s">
        <v>1283</v>
      </c>
      <c r="C3" t="s">
        <v>1880</v>
      </c>
    </row>
    <row r="4" spans="1:3" x14ac:dyDescent="0.2">
      <c r="B4" t="s">
        <v>161</v>
      </c>
      <c r="C4" t="s">
        <v>196</v>
      </c>
    </row>
    <row r="5" spans="1:3" x14ac:dyDescent="0.2">
      <c r="B5" t="s">
        <v>1718</v>
      </c>
      <c r="C5" t="s">
        <v>1885</v>
      </c>
    </row>
    <row r="6" spans="1:3" x14ac:dyDescent="0.2">
      <c r="B6" t="s">
        <v>773</v>
      </c>
      <c r="C6" t="s">
        <v>1887</v>
      </c>
    </row>
  </sheetData>
  <hyperlinks>
    <hyperlink ref="A1" location="Main!A1" display="Main" xr:uid="{75455C62-9583-4144-A970-5516C99644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156</v>
      </c>
    </row>
    <row r="2" spans="1:3" x14ac:dyDescent="0.2">
      <c r="B2" s="134" t="s">
        <v>487</v>
      </c>
      <c r="C2" s="134" t="s">
        <v>186</v>
      </c>
    </row>
    <row r="3" spans="1:3" x14ac:dyDescent="0.2">
      <c r="B3" s="134" t="s">
        <v>488</v>
      </c>
      <c r="C3" s="134" t="s">
        <v>958</v>
      </c>
    </row>
    <row r="4" spans="1:3" x14ac:dyDescent="0.2">
      <c r="B4" s="134" t="s">
        <v>491</v>
      </c>
      <c r="C4" s="134" t="s">
        <v>1146</v>
      </c>
    </row>
    <row r="5" spans="1:3" x14ac:dyDescent="0.2">
      <c r="C5" s="134" t="s">
        <v>1147</v>
      </c>
    </row>
    <row r="6" spans="1:3" x14ac:dyDescent="0.2">
      <c r="B6" s="134" t="s">
        <v>775</v>
      </c>
      <c r="C6" s="160">
        <v>39070</v>
      </c>
    </row>
    <row r="7" spans="1:3" x14ac:dyDescent="0.2">
      <c r="B7" s="134" t="s">
        <v>497</v>
      </c>
      <c r="C7" s="134" t="s">
        <v>172</v>
      </c>
    </row>
    <row r="8" spans="1:3" x14ac:dyDescent="0.2">
      <c r="B8" s="134" t="s">
        <v>161</v>
      </c>
      <c r="C8" s="134" t="s">
        <v>959</v>
      </c>
    </row>
    <row r="9" spans="1:3" x14ac:dyDescent="0.2">
      <c r="B9" s="134" t="s">
        <v>165</v>
      </c>
      <c r="C9" s="134" t="s">
        <v>88</v>
      </c>
    </row>
    <row r="10" spans="1:3" x14ac:dyDescent="0.2">
      <c r="B10" s="134" t="s">
        <v>538</v>
      </c>
      <c r="C10" s="134" t="s">
        <v>905</v>
      </c>
    </row>
    <row r="11" spans="1:3" x14ac:dyDescent="0.2">
      <c r="B11" s="134" t="s">
        <v>906</v>
      </c>
      <c r="C11" s="134" t="s">
        <v>1238</v>
      </c>
    </row>
    <row r="12" spans="1:3" x14ac:dyDescent="0.2">
      <c r="B12" s="134" t="s">
        <v>907</v>
      </c>
      <c r="C12" s="134" t="s">
        <v>908</v>
      </c>
    </row>
    <row r="13" spans="1:3" x14ac:dyDescent="0.2">
      <c r="B13" s="134" t="s">
        <v>157</v>
      </c>
      <c r="C13" s="134" t="s">
        <v>909</v>
      </c>
    </row>
    <row r="14" spans="1:3" x14ac:dyDescent="0.2">
      <c r="B14" s="134" t="s">
        <v>533</v>
      </c>
      <c r="C14" s="134" t="s">
        <v>910</v>
      </c>
    </row>
    <row r="16" spans="1:3" x14ac:dyDescent="0.2">
      <c r="C16" s="134" t="s">
        <v>911</v>
      </c>
    </row>
    <row r="18" spans="2:4" x14ac:dyDescent="0.2">
      <c r="C18" s="134" t="s">
        <v>912</v>
      </c>
    </row>
    <row r="20" spans="2:4" x14ac:dyDescent="0.2">
      <c r="C20" s="134" t="s">
        <v>913</v>
      </c>
    </row>
    <row r="21" spans="2:4" x14ac:dyDescent="0.2">
      <c r="D21" s="134" t="s">
        <v>914</v>
      </c>
    </row>
    <row r="22" spans="2:4" x14ac:dyDescent="0.2">
      <c r="D22" s="134" t="s">
        <v>915</v>
      </c>
    </row>
    <row r="23" spans="2:4" x14ac:dyDescent="0.2">
      <c r="D23" s="134" t="s">
        <v>916</v>
      </c>
    </row>
    <row r="24" spans="2:4" x14ac:dyDescent="0.2">
      <c r="D24" s="134" t="s">
        <v>917</v>
      </c>
    </row>
    <row r="26" spans="2:4" x14ac:dyDescent="0.2">
      <c r="C26" s="134" t="s">
        <v>918</v>
      </c>
    </row>
    <row r="27" spans="2:4" x14ac:dyDescent="0.2">
      <c r="B27" s="134" t="s">
        <v>544</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156</v>
      </c>
    </row>
    <row r="2" spans="1:3" x14ac:dyDescent="0.2">
      <c r="B2" s="4" t="s">
        <v>487</v>
      </c>
      <c r="C2" s="4" t="s">
        <v>865</v>
      </c>
    </row>
    <row r="3" spans="1:3" x14ac:dyDescent="0.2">
      <c r="B3" s="4" t="s">
        <v>488</v>
      </c>
      <c r="C3" s="4" t="s">
        <v>173</v>
      </c>
    </row>
    <row r="4" spans="1:3" x14ac:dyDescent="0.2">
      <c r="B4" s="4" t="s">
        <v>497</v>
      </c>
      <c r="C4" s="4" t="s">
        <v>1185</v>
      </c>
    </row>
    <row r="5" spans="1:3" x14ac:dyDescent="0.2">
      <c r="B5" s="4" t="s">
        <v>906</v>
      </c>
      <c r="C5" s="4" t="s">
        <v>866</v>
      </c>
    </row>
    <row r="6" spans="1:3" x14ac:dyDescent="0.2">
      <c r="B6" s="4" t="s">
        <v>773</v>
      </c>
      <c r="C6" s="4" t="s">
        <v>1713</v>
      </c>
    </row>
    <row r="7" spans="1:3" x14ac:dyDescent="0.2">
      <c r="B7" s="4" t="s">
        <v>165</v>
      </c>
    </row>
    <row r="8" spans="1:3" x14ac:dyDescent="0.2">
      <c r="C8" s="4" t="s">
        <v>1714</v>
      </c>
    </row>
    <row r="9" spans="1:3" x14ac:dyDescent="0.2">
      <c r="C9" s="4" t="s">
        <v>1715</v>
      </c>
    </row>
    <row r="10" spans="1:3" x14ac:dyDescent="0.2">
      <c r="C10" s="4" t="s">
        <v>1716</v>
      </c>
    </row>
    <row r="11" spans="1:3" x14ac:dyDescent="0.2">
      <c r="B11" s="4" t="s">
        <v>778</v>
      </c>
    </row>
    <row r="12" spans="1:3" x14ac:dyDescent="0.2">
      <c r="C12" s="4" t="s">
        <v>1186</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156</v>
      </c>
    </row>
    <row r="2" spans="1:3" x14ac:dyDescent="0.2">
      <c r="B2" s="4" t="s">
        <v>487</v>
      </c>
      <c r="C2" s="4" t="s">
        <v>961</v>
      </c>
    </row>
    <row r="3" spans="1:3" x14ac:dyDescent="0.2">
      <c r="B3" s="4" t="s">
        <v>488</v>
      </c>
      <c r="C3" s="4" t="s">
        <v>955</v>
      </c>
    </row>
    <row r="4" spans="1:3" x14ac:dyDescent="0.2">
      <c r="B4" s="4" t="s">
        <v>161</v>
      </c>
      <c r="C4" s="4" t="s">
        <v>398</v>
      </c>
    </row>
    <row r="5" spans="1:3" x14ac:dyDescent="0.2">
      <c r="B5" s="4" t="s">
        <v>399</v>
      </c>
      <c r="C5" s="4" t="s">
        <v>1184</v>
      </c>
    </row>
    <row r="6" spans="1:3" x14ac:dyDescent="0.2">
      <c r="B6" s="4" t="s">
        <v>165</v>
      </c>
      <c r="C6" s="4" t="s">
        <v>1142</v>
      </c>
    </row>
    <row r="7" spans="1:3" x14ac:dyDescent="0.2">
      <c r="B7" s="4" t="s">
        <v>491</v>
      </c>
      <c r="C7" s="4" t="s">
        <v>402</v>
      </c>
    </row>
    <row r="8" spans="1:3" x14ac:dyDescent="0.2">
      <c r="B8" s="4" t="s">
        <v>529</v>
      </c>
      <c r="C8" s="4" t="s">
        <v>403</v>
      </c>
    </row>
    <row r="9" spans="1:3" x14ac:dyDescent="0.2">
      <c r="B9" s="4" t="s">
        <v>538</v>
      </c>
      <c r="C9" s="4" t="s">
        <v>401</v>
      </c>
    </row>
    <row r="10" spans="1:3" x14ac:dyDescent="0.2">
      <c r="B10" s="4" t="s">
        <v>906</v>
      </c>
      <c r="C10" s="4" t="s">
        <v>1140</v>
      </c>
    </row>
    <row r="11" spans="1:3" x14ac:dyDescent="0.2">
      <c r="B11" s="4" t="s">
        <v>108</v>
      </c>
      <c r="C11" s="4" t="s">
        <v>627</v>
      </c>
    </row>
    <row r="12" spans="1:3" x14ac:dyDescent="0.2">
      <c r="B12" s="4" t="s">
        <v>773</v>
      </c>
      <c r="C12" s="4" t="s">
        <v>962</v>
      </c>
    </row>
    <row r="13" spans="1:3" x14ac:dyDescent="0.2">
      <c r="B13" s="4" t="s">
        <v>533</v>
      </c>
    </row>
    <row r="14" spans="1:3" x14ac:dyDescent="0.2">
      <c r="C14" s="30" t="s">
        <v>405</v>
      </c>
    </row>
    <row r="15" spans="1:3" x14ac:dyDescent="0.2">
      <c r="C15" s="93" t="s">
        <v>441</v>
      </c>
    </row>
    <row r="16" spans="1:3" x14ac:dyDescent="0.2">
      <c r="C16" s="4" t="s">
        <v>575</v>
      </c>
    </row>
    <row r="17" spans="3:3" x14ac:dyDescent="0.2">
      <c r="C17" s="4" t="s">
        <v>442</v>
      </c>
    </row>
    <row r="18" spans="3:3" x14ac:dyDescent="0.2">
      <c r="C18" s="4" t="s">
        <v>443</v>
      </c>
    </row>
    <row r="19" spans="3:3" x14ac:dyDescent="0.2">
      <c r="C19" s="4" t="s">
        <v>444</v>
      </c>
    </row>
    <row r="21" spans="3:3" x14ac:dyDescent="0.2">
      <c r="C21" s="30" t="s">
        <v>628</v>
      </c>
    </row>
    <row r="22" spans="3:3" x14ac:dyDescent="0.2">
      <c r="C22" s="4" t="s">
        <v>439</v>
      </c>
    </row>
    <row r="23" spans="3:3" x14ac:dyDescent="0.2">
      <c r="C23" s="4" t="s">
        <v>445</v>
      </c>
    </row>
    <row r="24" spans="3:3" x14ac:dyDescent="0.2">
      <c r="C24" s="4" t="s">
        <v>446</v>
      </c>
    </row>
    <row r="25" spans="3:3" x14ac:dyDescent="0.2">
      <c r="C25" s="4" t="s">
        <v>447</v>
      </c>
    </row>
    <row r="27" spans="3:3" x14ac:dyDescent="0.2">
      <c r="C27" s="30" t="s">
        <v>404</v>
      </c>
    </row>
    <row r="28" spans="3:3" x14ac:dyDescent="0.2">
      <c r="C28" s="4" t="s">
        <v>440</v>
      </c>
    </row>
    <row r="29" spans="3:3" x14ac:dyDescent="0.2">
      <c r="C29" s="4" t="s">
        <v>448</v>
      </c>
    </row>
    <row r="30" spans="3:3" x14ac:dyDescent="0.2">
      <c r="C30" s="4" t="s">
        <v>449</v>
      </c>
    </row>
    <row r="31" spans="3:3" x14ac:dyDescent="0.2">
      <c r="C31" s="4" t="s">
        <v>450</v>
      </c>
    </row>
    <row r="33" spans="3:3" x14ac:dyDescent="0.2">
      <c r="C33" s="30" t="s">
        <v>451</v>
      </c>
    </row>
    <row r="34" spans="3:3" x14ac:dyDescent="0.2">
      <c r="C34" s="167" t="s">
        <v>452</v>
      </c>
    </row>
    <row r="35" spans="3:3" x14ac:dyDescent="0.2">
      <c r="C35" s="167" t="s">
        <v>453</v>
      </c>
    </row>
    <row r="36" spans="3:3" x14ac:dyDescent="0.2">
      <c r="C36" s="167" t="s">
        <v>454</v>
      </c>
    </row>
    <row r="38" spans="3:3" x14ac:dyDescent="0.2">
      <c r="C38" s="30" t="s">
        <v>455</v>
      </c>
    </row>
    <row r="39" spans="3:3" x14ac:dyDescent="0.2">
      <c r="C39" s="4" t="s">
        <v>456</v>
      </c>
    </row>
    <row r="41" spans="3:3" x14ac:dyDescent="0.2">
      <c r="C41" s="30" t="s">
        <v>1059</v>
      </c>
    </row>
    <row r="42" spans="3:3" x14ac:dyDescent="0.2">
      <c r="C42" s="4" t="s">
        <v>1051</v>
      </c>
    </row>
    <row r="44" spans="3:3" x14ac:dyDescent="0.2">
      <c r="C44" s="30" t="s">
        <v>629</v>
      </c>
    </row>
    <row r="45" spans="3:3" x14ac:dyDescent="0.2">
      <c r="C45" s="4" t="s">
        <v>630</v>
      </c>
    </row>
    <row r="47" spans="3:3" x14ac:dyDescent="0.2">
      <c r="C47" s="30" t="s">
        <v>220</v>
      </c>
    </row>
    <row r="48" spans="3:3" x14ac:dyDescent="0.2">
      <c r="C48" s="4" t="s">
        <v>221</v>
      </c>
    </row>
    <row r="51" spans="2:19" x14ac:dyDescent="0.2">
      <c r="B51" s="4" t="s">
        <v>544</v>
      </c>
      <c r="L51" s="342" t="s">
        <v>1295</v>
      </c>
      <c r="M51" s="342"/>
      <c r="N51" s="342" t="s">
        <v>1296</v>
      </c>
      <c r="O51" s="342"/>
      <c r="P51" s="342" t="s">
        <v>457</v>
      </c>
      <c r="Q51" s="342"/>
      <c r="R51" s="342" t="s">
        <v>458</v>
      </c>
      <c r="S51" s="342"/>
    </row>
    <row r="52" spans="2:19" x14ac:dyDescent="0.2">
      <c r="D52" s="20" t="s">
        <v>1295</v>
      </c>
      <c r="E52" s="20" t="s">
        <v>457</v>
      </c>
      <c r="F52" s="20" t="s">
        <v>458</v>
      </c>
      <c r="G52" s="20" t="s">
        <v>1296</v>
      </c>
      <c r="H52" s="20" t="s">
        <v>1297</v>
      </c>
      <c r="I52" s="20" t="s">
        <v>1298</v>
      </c>
      <c r="L52" s="20" t="s">
        <v>1297</v>
      </c>
      <c r="M52" s="20" t="s">
        <v>1298</v>
      </c>
      <c r="N52" s="20" t="s">
        <v>1297</v>
      </c>
      <c r="O52" s="20" t="s">
        <v>1298</v>
      </c>
      <c r="P52" s="20" t="s">
        <v>1297</v>
      </c>
      <c r="Q52" s="20" t="s">
        <v>1298</v>
      </c>
      <c r="R52" s="20" t="s">
        <v>1297</v>
      </c>
      <c r="S52" s="20" t="s">
        <v>1298</v>
      </c>
    </row>
    <row r="53" spans="2:19" x14ac:dyDescent="0.2">
      <c r="C53" s="37">
        <v>40060</v>
      </c>
      <c r="D53" s="20"/>
      <c r="E53" s="20"/>
      <c r="F53" s="20"/>
      <c r="G53" s="20"/>
      <c r="H53" s="14">
        <v>485</v>
      </c>
      <c r="I53" s="14">
        <v>972</v>
      </c>
      <c r="K53" s="4" t="s">
        <v>1299</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1300</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1301</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156</v>
      </c>
    </row>
    <row r="2" spans="1:26" x14ac:dyDescent="0.2">
      <c r="B2" s="4" t="s">
        <v>487</v>
      </c>
      <c r="C2" s="4" t="s">
        <v>178</v>
      </c>
    </row>
    <row r="3" spans="1:26" x14ac:dyDescent="0.2">
      <c r="B3" s="4" t="s">
        <v>488</v>
      </c>
      <c r="C3" s="4" t="s">
        <v>527</v>
      </c>
    </row>
    <row r="4" spans="1:26" x14ac:dyDescent="0.2">
      <c r="B4" s="4" t="s">
        <v>497</v>
      </c>
      <c r="C4" s="4" t="s">
        <v>1148</v>
      </c>
    </row>
    <row r="5" spans="1:26" x14ac:dyDescent="0.2">
      <c r="B5" s="4" t="s">
        <v>491</v>
      </c>
      <c r="C5" s="4" t="s">
        <v>1149</v>
      </c>
    </row>
    <row r="6" spans="1:26" x14ac:dyDescent="0.2">
      <c r="B6" s="4" t="s">
        <v>773</v>
      </c>
      <c r="C6" s="4" t="s">
        <v>919</v>
      </c>
    </row>
    <row r="7" spans="1:26" x14ac:dyDescent="0.2">
      <c r="B7" s="4" t="s">
        <v>775</v>
      </c>
      <c r="C7" s="4" t="s">
        <v>128</v>
      </c>
    </row>
    <row r="8" spans="1:26" x14ac:dyDescent="0.2">
      <c r="B8" s="4" t="s">
        <v>165</v>
      </c>
      <c r="C8" s="4" t="s">
        <v>920</v>
      </c>
    </row>
    <row r="9" spans="1:26" x14ac:dyDescent="0.2">
      <c r="C9" s="4" t="s">
        <v>129</v>
      </c>
    </row>
    <row r="10" spans="1:26" x14ac:dyDescent="0.2">
      <c r="C10" s="157" t="s">
        <v>130</v>
      </c>
    </row>
    <row r="12" spans="1:26" x14ac:dyDescent="0.2">
      <c r="C12" s="11" t="s">
        <v>603</v>
      </c>
      <c r="D12" s="11" t="s">
        <v>604</v>
      </c>
      <c r="E12" s="11" t="s">
        <v>605</v>
      </c>
      <c r="F12" s="11" t="s">
        <v>606</v>
      </c>
      <c r="G12" s="11" t="s">
        <v>607</v>
      </c>
      <c r="H12" s="11" t="s">
        <v>608</v>
      </c>
      <c r="I12" s="11" t="s">
        <v>609</v>
      </c>
      <c r="J12" s="11" t="s">
        <v>610</v>
      </c>
      <c r="K12" s="11" t="s">
        <v>611</v>
      </c>
      <c r="L12" s="11" t="s">
        <v>612</v>
      </c>
      <c r="M12" s="11" t="s">
        <v>613</v>
      </c>
      <c r="N12" s="11" t="s">
        <v>614</v>
      </c>
      <c r="O12" s="11" t="s">
        <v>615</v>
      </c>
      <c r="P12" s="11" t="s">
        <v>616</v>
      </c>
      <c r="Q12" s="11" t="s">
        <v>617</v>
      </c>
      <c r="R12" s="11" t="s">
        <v>618</v>
      </c>
      <c r="S12" s="11" t="s">
        <v>921</v>
      </c>
      <c r="T12" s="11" t="s">
        <v>922</v>
      </c>
      <c r="U12" s="11" t="s">
        <v>964</v>
      </c>
      <c r="V12" s="11" t="s">
        <v>965</v>
      </c>
      <c r="W12" s="11" t="s">
        <v>966</v>
      </c>
      <c r="X12" s="11" t="s">
        <v>967</v>
      </c>
      <c r="Y12" s="11" t="s">
        <v>968</v>
      </c>
      <c r="Z12" s="11" t="s">
        <v>969</v>
      </c>
    </row>
    <row r="13" spans="1:26" x14ac:dyDescent="0.2">
      <c r="B13" s="4" t="s">
        <v>366</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367</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541</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366</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367</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970</v>
      </c>
      <c r="V19" s="44">
        <f t="shared" si="1"/>
        <v>0.30530973451327426</v>
      </c>
      <c r="W19" s="44">
        <f t="shared" si="1"/>
        <v>0.18390804597701149</v>
      </c>
    </row>
    <row r="21" spans="2:26" x14ac:dyDescent="0.2">
      <c r="C21" s="6">
        <v>2003</v>
      </c>
      <c r="D21" s="6">
        <v>2004</v>
      </c>
    </row>
    <row r="22" spans="2:26" x14ac:dyDescent="0.2">
      <c r="B22" s="4" t="s">
        <v>366</v>
      </c>
      <c r="C22" s="7">
        <v>61</v>
      </c>
      <c r="D22" s="7">
        <v>230</v>
      </c>
    </row>
    <row r="23" spans="2:26" x14ac:dyDescent="0.2">
      <c r="B23" s="4" t="s">
        <v>367</v>
      </c>
      <c r="C23" s="7">
        <v>249.8</v>
      </c>
      <c r="D23" s="7">
        <v>372</v>
      </c>
    </row>
    <row r="24" spans="2:26" x14ac:dyDescent="0.2">
      <c r="B24" s="4" t="s">
        <v>541</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156</v>
      </c>
    </row>
    <row r="2" spans="1:2" x14ac:dyDescent="0.2">
      <c r="B2" t="s">
        <v>1288</v>
      </c>
    </row>
    <row r="3" spans="1:2" x14ac:dyDescent="0.2">
      <c r="B3" t="s">
        <v>1292</v>
      </c>
    </row>
    <row r="4" spans="1:2" x14ac:dyDescent="0.2">
      <c r="B4" t="s">
        <v>1312</v>
      </c>
    </row>
    <row r="5" spans="1:2" x14ac:dyDescent="0.2">
      <c r="B5" t="s">
        <v>1291</v>
      </c>
    </row>
    <row r="7" spans="1:2" x14ac:dyDescent="0.2">
      <c r="B7" s="184" t="s">
        <v>138</v>
      </c>
    </row>
    <row r="8" spans="1:2" x14ac:dyDescent="0.2">
      <c r="B8" t="s">
        <v>1313</v>
      </c>
    </row>
    <row r="9" spans="1:2" x14ac:dyDescent="0.2">
      <c r="B9" t="s">
        <v>136</v>
      </c>
    </row>
    <row r="10" spans="1:2" x14ac:dyDescent="0.2">
      <c r="B10" t="s">
        <v>137</v>
      </c>
    </row>
    <row r="11" spans="1:2" x14ac:dyDescent="0.2">
      <c r="B11" t="s">
        <v>1315</v>
      </c>
    </row>
    <row r="12" spans="1:2" x14ac:dyDescent="0.2">
      <c r="B12" t="s">
        <v>1314</v>
      </c>
    </row>
    <row r="13" spans="1:2" x14ac:dyDescent="0.2">
      <c r="B13" t="s">
        <v>139</v>
      </c>
    </row>
    <row r="14" spans="1:2" x14ac:dyDescent="0.2">
      <c r="B14" t="s">
        <v>140</v>
      </c>
    </row>
    <row r="15" spans="1:2" x14ac:dyDescent="0.2">
      <c r="B15" t="s">
        <v>141</v>
      </c>
    </row>
    <row r="16" spans="1:2" x14ac:dyDescent="0.2">
      <c r="B16" t="s">
        <v>142</v>
      </c>
    </row>
    <row r="17" spans="2:2" x14ac:dyDescent="0.2">
      <c r="B17" t="s">
        <v>143</v>
      </c>
    </row>
    <row r="19" spans="2:2" x14ac:dyDescent="0.2">
      <c r="B19" t="s">
        <v>144</v>
      </c>
    </row>
    <row r="22" spans="2:2" x14ac:dyDescent="0.2">
      <c r="B22" s="184" t="s">
        <v>1134</v>
      </c>
    </row>
    <row r="23" spans="2:2" x14ac:dyDescent="0.2">
      <c r="B23" t="s">
        <v>1293</v>
      </c>
    </row>
    <row r="24" spans="2:2" x14ac:dyDescent="0.2">
      <c r="B24" t="s">
        <v>1294</v>
      </c>
    </row>
    <row r="25" spans="2:2" x14ac:dyDescent="0.2">
      <c r="B25" t="s">
        <v>1353</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5703125" style="6" customWidth="1"/>
    <col min="6" max="6" width="6.5703125" style="6" customWidth="1"/>
    <col min="7"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156</v>
      </c>
    </row>
    <row r="2" spans="1:35" x14ac:dyDescent="0.2">
      <c r="A2" s="5"/>
      <c r="B2" s="4" t="s">
        <v>487</v>
      </c>
      <c r="C2" s="4" t="s">
        <v>168</v>
      </c>
      <c r="E2" s="4" t="s">
        <v>488</v>
      </c>
      <c r="H2" s="4" t="s">
        <v>489</v>
      </c>
    </row>
    <row r="3" spans="1:35" x14ac:dyDescent="0.2">
      <c r="A3" s="5"/>
      <c r="B3" s="4" t="s">
        <v>491</v>
      </c>
      <c r="C3" s="4" t="s">
        <v>492</v>
      </c>
    </row>
    <row r="4" spans="1:35" x14ac:dyDescent="0.2">
      <c r="A4" s="5"/>
      <c r="B4" s="4" t="s">
        <v>165</v>
      </c>
      <c r="C4" s="4" t="s">
        <v>1188</v>
      </c>
    </row>
    <row r="5" spans="1:35" x14ac:dyDescent="0.2">
      <c r="A5" s="5"/>
      <c r="B5" s="4" t="s">
        <v>775</v>
      </c>
      <c r="C5" s="4" t="s">
        <v>954</v>
      </c>
    </row>
    <row r="6" spans="1:35" x14ac:dyDescent="0.2">
      <c r="A6" s="5"/>
      <c r="B6" s="4" t="s">
        <v>493</v>
      </c>
      <c r="C6" s="4" t="s">
        <v>494</v>
      </c>
    </row>
    <row r="7" spans="1:35" x14ac:dyDescent="0.2">
      <c r="A7" s="5"/>
      <c r="B7" s="4" t="s">
        <v>495</v>
      </c>
      <c r="C7" s="4" t="s">
        <v>496</v>
      </c>
    </row>
    <row r="8" spans="1:35" x14ac:dyDescent="0.2">
      <c r="A8" s="5"/>
      <c r="B8" s="4" t="s">
        <v>497</v>
      </c>
      <c r="C8" s="4" t="s">
        <v>498</v>
      </c>
    </row>
    <row r="9" spans="1:35" x14ac:dyDescent="0.2">
      <c r="A9" s="5"/>
      <c r="B9" s="4" t="s">
        <v>167</v>
      </c>
      <c r="C9" s="4" t="s">
        <v>1196</v>
      </c>
    </row>
    <row r="10" spans="1:35" x14ac:dyDescent="0.2">
      <c r="A10" s="5"/>
      <c r="C10" s="4" t="s">
        <v>499</v>
      </c>
    </row>
    <row r="11" spans="1:35" x14ac:dyDescent="0.2">
      <c r="A11" s="5"/>
      <c r="B11" s="4" t="s">
        <v>500</v>
      </c>
      <c r="C11" s="4" t="s">
        <v>501</v>
      </c>
    </row>
    <row r="12" spans="1:35" x14ac:dyDescent="0.2">
      <c r="A12" s="5"/>
      <c r="B12" s="4" t="s">
        <v>502</v>
      </c>
      <c r="C12" s="4" t="s">
        <v>503</v>
      </c>
    </row>
    <row r="13" spans="1:35" x14ac:dyDescent="0.2">
      <c r="A13" s="5"/>
      <c r="B13" s="4" t="s">
        <v>708</v>
      </c>
      <c r="C13" s="4" t="s">
        <v>709</v>
      </c>
    </row>
    <row r="14" spans="1:35" x14ac:dyDescent="0.2">
      <c r="A14" s="5"/>
      <c r="B14" s="4" t="s">
        <v>504</v>
      </c>
    </row>
    <row r="15" spans="1:35" x14ac:dyDescent="0.2">
      <c r="A15" s="5"/>
    </row>
    <row r="16" spans="1:35" x14ac:dyDescent="0.2">
      <c r="B16" s="16" t="s">
        <v>325</v>
      </c>
      <c r="C16" s="17" t="s">
        <v>279</v>
      </c>
      <c r="D16" s="17" t="s">
        <v>280</v>
      </c>
      <c r="E16" s="17" t="s">
        <v>281</v>
      </c>
      <c r="F16" s="17" t="s">
        <v>282</v>
      </c>
      <c r="G16" s="17" t="s">
        <v>283</v>
      </c>
      <c r="H16" s="17" t="s">
        <v>284</v>
      </c>
      <c r="I16" s="17" t="s">
        <v>285</v>
      </c>
      <c r="J16" s="17" t="s">
        <v>286</v>
      </c>
      <c r="K16" s="17" t="s">
        <v>287</v>
      </c>
      <c r="L16" s="17" t="s">
        <v>288</v>
      </c>
      <c r="M16" s="17" t="s">
        <v>289</v>
      </c>
      <c r="N16" s="17" t="s">
        <v>290</v>
      </c>
      <c r="O16" s="17" t="s">
        <v>291</v>
      </c>
      <c r="P16" s="17" t="s">
        <v>292</v>
      </c>
      <c r="Q16" s="17" t="s">
        <v>293</v>
      </c>
      <c r="R16" s="17" t="s">
        <v>294</v>
      </c>
      <c r="S16" s="17" t="s">
        <v>295</v>
      </c>
      <c r="T16" s="17" t="s">
        <v>296</v>
      </c>
      <c r="U16" s="17" t="s">
        <v>297</v>
      </c>
      <c r="V16" s="17" t="s">
        <v>298</v>
      </c>
      <c r="W16" s="17" t="s">
        <v>299</v>
      </c>
      <c r="X16" s="17" t="s">
        <v>300</v>
      </c>
      <c r="Y16" s="17" t="s">
        <v>301</v>
      </c>
      <c r="Z16" s="17" t="s">
        <v>302</v>
      </c>
      <c r="AA16" s="17" t="s">
        <v>303</v>
      </c>
      <c r="AB16" s="17" t="s">
        <v>304</v>
      </c>
      <c r="AC16" s="17" t="s">
        <v>305</v>
      </c>
      <c r="AD16" s="17" t="s">
        <v>306</v>
      </c>
      <c r="AE16" s="17" t="s">
        <v>307</v>
      </c>
      <c r="AF16" s="17" t="s">
        <v>308</v>
      </c>
      <c r="AG16" s="17" t="s">
        <v>309</v>
      </c>
      <c r="AH16" s="17" t="s">
        <v>310</v>
      </c>
      <c r="AI16" s="18"/>
    </row>
    <row r="17" spans="2:52" x14ac:dyDescent="0.2">
      <c r="B17" s="16" t="s">
        <v>505</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506</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507</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508</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509</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508</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510</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508</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511</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508</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325</v>
      </c>
      <c r="C28" s="17">
        <v>1997</v>
      </c>
      <c r="D28" s="17">
        <v>1998</v>
      </c>
      <c r="E28" s="17">
        <v>1999</v>
      </c>
      <c r="F28" s="17">
        <v>2000</v>
      </c>
      <c r="G28" s="17">
        <v>2001</v>
      </c>
      <c r="H28" s="17">
        <v>2002</v>
      </c>
      <c r="I28" s="17">
        <v>2003</v>
      </c>
      <c r="J28" s="17">
        <v>2004</v>
      </c>
      <c r="K28" s="17">
        <v>2005</v>
      </c>
      <c r="L28" s="17">
        <v>2006</v>
      </c>
      <c r="M28" s="17">
        <v>2007</v>
      </c>
      <c r="N28" s="17" t="s">
        <v>512</v>
      </c>
      <c r="O28" s="17" t="s">
        <v>513</v>
      </c>
      <c r="P28" s="17" t="s">
        <v>514</v>
      </c>
      <c r="Q28" s="17" t="s">
        <v>515</v>
      </c>
      <c r="R28" s="17" t="s">
        <v>516</v>
      </c>
      <c r="S28" s="17" t="s">
        <v>517</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505</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506</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507</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508</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509</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510</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511</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518</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519</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352</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339</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520</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521</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522</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523</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342</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353</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524</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525</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671</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1114</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672</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673</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674</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675</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676</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239</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677</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506</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678</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679</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239</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680</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156</v>
      </c>
    </row>
    <row r="2" spans="1:12" x14ac:dyDescent="0.2">
      <c r="B2" s="93" t="s">
        <v>487</v>
      </c>
      <c r="C2" s="108" t="s">
        <v>195</v>
      </c>
    </row>
    <row r="3" spans="1:12" x14ac:dyDescent="0.2">
      <c r="B3" s="93" t="s">
        <v>488</v>
      </c>
      <c r="C3" s="108" t="s">
        <v>1153</v>
      </c>
    </row>
    <row r="4" spans="1:12" x14ac:dyDescent="0.2">
      <c r="B4" s="93" t="s">
        <v>491</v>
      </c>
      <c r="C4" s="108" t="s">
        <v>1154</v>
      </c>
    </row>
    <row r="5" spans="1:12" x14ac:dyDescent="0.2">
      <c r="B5" s="93" t="s">
        <v>645</v>
      </c>
      <c r="C5" s="108" t="s">
        <v>1155</v>
      </c>
    </row>
    <row r="6" spans="1:12" x14ac:dyDescent="0.2">
      <c r="B6" s="93" t="s">
        <v>497</v>
      </c>
      <c r="C6" s="108" t="s">
        <v>682</v>
      </c>
    </row>
    <row r="7" spans="1:12" x14ac:dyDescent="0.2">
      <c r="B7" s="93" t="s">
        <v>490</v>
      </c>
      <c r="C7" s="109" t="s">
        <v>683</v>
      </c>
    </row>
    <row r="8" spans="1:12" x14ac:dyDescent="0.2">
      <c r="B8" s="93" t="s">
        <v>161</v>
      </c>
      <c r="C8" s="108" t="s">
        <v>684</v>
      </c>
      <c r="L8" s="108" t="s">
        <v>685</v>
      </c>
    </row>
    <row r="9" spans="1:12" x14ac:dyDescent="0.2">
      <c r="B9" s="93"/>
      <c r="C9" s="108" t="s">
        <v>686</v>
      </c>
    </row>
    <row r="10" spans="1:12" x14ac:dyDescent="0.2">
      <c r="B10" s="93" t="s">
        <v>165</v>
      </c>
      <c r="C10" s="110" t="s">
        <v>687</v>
      </c>
    </row>
    <row r="11" spans="1:12" x14ac:dyDescent="0.2">
      <c r="B11" s="93" t="s">
        <v>538</v>
      </c>
      <c r="C11" s="108" t="s">
        <v>688</v>
      </c>
    </row>
    <row r="12" spans="1:12" x14ac:dyDescent="0.2">
      <c r="B12" s="93" t="s">
        <v>167</v>
      </c>
      <c r="C12" s="108" t="s">
        <v>689</v>
      </c>
    </row>
    <row r="13" spans="1:12" x14ac:dyDescent="0.2">
      <c r="B13" s="93" t="s">
        <v>773</v>
      </c>
      <c r="C13" s="108" t="s">
        <v>690</v>
      </c>
    </row>
    <row r="14" spans="1:12" x14ac:dyDescent="0.2">
      <c r="B14" s="93" t="s">
        <v>533</v>
      </c>
    </row>
    <row r="15" spans="1:12" x14ac:dyDescent="0.2">
      <c r="B15" s="93"/>
      <c r="C15" s="111" t="s">
        <v>691</v>
      </c>
    </row>
    <row r="16" spans="1:12" x14ac:dyDescent="0.2">
      <c r="B16" s="93"/>
      <c r="C16" s="108" t="s">
        <v>692</v>
      </c>
    </row>
    <row r="17" spans="2:3" x14ac:dyDescent="0.2">
      <c r="B17" s="93"/>
      <c r="C17" s="108" t="s">
        <v>693</v>
      </c>
    </row>
    <row r="18" spans="2:3" x14ac:dyDescent="0.2">
      <c r="B18" s="93"/>
      <c r="C18" s="108" t="s">
        <v>694</v>
      </c>
    </row>
    <row r="19" spans="2:3" x14ac:dyDescent="0.2">
      <c r="B19" s="93"/>
    </row>
    <row r="20" spans="2:3" x14ac:dyDescent="0.2">
      <c r="B20" s="93" t="s">
        <v>695</v>
      </c>
      <c r="C20" s="108" t="s">
        <v>696</v>
      </c>
    </row>
    <row r="21" spans="2:3" x14ac:dyDescent="0.2">
      <c r="B21" s="93"/>
    </row>
    <row r="22" spans="2:3" x14ac:dyDescent="0.2">
      <c r="B22" s="93"/>
      <c r="C22" s="111" t="s">
        <v>697</v>
      </c>
    </row>
    <row r="23" spans="2:3" x14ac:dyDescent="0.2">
      <c r="B23" s="93"/>
      <c r="C23" s="108" t="s">
        <v>698</v>
      </c>
    </row>
    <row r="24" spans="2:3" x14ac:dyDescent="0.2">
      <c r="B24" s="93"/>
      <c r="C24" s="108" t="s">
        <v>699</v>
      </c>
    </row>
    <row r="25" spans="2:3" x14ac:dyDescent="0.2">
      <c r="B25" s="93"/>
    </row>
    <row r="26" spans="2:3" x14ac:dyDescent="0.2">
      <c r="B26" s="93"/>
      <c r="C26" s="111" t="s">
        <v>700</v>
      </c>
    </row>
    <row r="27" spans="2:3" x14ac:dyDescent="0.2">
      <c r="B27" s="93"/>
      <c r="C27" s="108" t="s">
        <v>701</v>
      </c>
    </row>
    <row r="28" spans="2:3" x14ac:dyDescent="0.2">
      <c r="B28" s="93"/>
      <c r="C28" s="112" t="s">
        <v>702</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703</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381</v>
      </c>
      <c r="C40" s="108" t="s">
        <v>704</v>
      </c>
    </row>
    <row r="45" spans="2:7" x14ac:dyDescent="0.2">
      <c r="C45" s="108">
        <v>2004</v>
      </c>
      <c r="D45" s="108">
        <v>2005</v>
      </c>
      <c r="E45" s="108">
        <v>2006</v>
      </c>
      <c r="F45" s="108">
        <v>2007</v>
      </c>
      <c r="G45" s="108">
        <v>2008</v>
      </c>
    </row>
    <row r="46" spans="2:7" x14ac:dyDescent="0.2">
      <c r="B46" s="108" t="s">
        <v>827</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183</v>
      </c>
    </row>
    <row r="3" spans="1:3" x14ac:dyDescent="0.2">
      <c r="B3" s="4" t="s">
        <v>488</v>
      </c>
      <c r="C3" s="4" t="s">
        <v>1159</v>
      </c>
    </row>
    <row r="4" spans="1:3" x14ac:dyDescent="0.2">
      <c r="B4" s="4" t="s">
        <v>491</v>
      </c>
      <c r="C4" s="4" t="s">
        <v>1160</v>
      </c>
    </row>
    <row r="5" spans="1:3" x14ac:dyDescent="0.2">
      <c r="B5" s="4" t="s">
        <v>645</v>
      </c>
      <c r="C5" s="4" t="s">
        <v>1161</v>
      </c>
    </row>
    <row r="6" spans="1:3" x14ac:dyDescent="0.2">
      <c r="B6" s="4" t="s">
        <v>497</v>
      </c>
      <c r="C6" s="4" t="s">
        <v>172</v>
      </c>
    </row>
    <row r="7" spans="1:3" x14ac:dyDescent="0.2">
      <c r="B7" s="4" t="s">
        <v>490</v>
      </c>
      <c r="C7" s="4" t="s">
        <v>211</v>
      </c>
    </row>
    <row r="8" spans="1:3" x14ac:dyDescent="0.2">
      <c r="B8" s="4" t="s">
        <v>533</v>
      </c>
      <c r="C8" s="4" t="s">
        <v>763</v>
      </c>
    </row>
    <row r="9" spans="1:3" x14ac:dyDescent="0.2">
      <c r="C9" s="4" t="s">
        <v>764</v>
      </c>
    </row>
    <row r="10" spans="1:3" x14ac:dyDescent="0.2">
      <c r="B10" s="4" t="s">
        <v>165</v>
      </c>
      <c r="C10" s="4" t="s">
        <v>765</v>
      </c>
    </row>
    <row r="11" spans="1:3" x14ac:dyDescent="0.2">
      <c r="B11" s="4" t="s">
        <v>538</v>
      </c>
      <c r="C11" s="4" t="s">
        <v>766</v>
      </c>
    </row>
    <row r="12" spans="1:3" x14ac:dyDescent="0.2">
      <c r="B12" s="4" t="s">
        <v>767</v>
      </c>
      <c r="C12" s="4" t="s">
        <v>768</v>
      </c>
    </row>
    <row r="18" spans="2:37" x14ac:dyDescent="0.2">
      <c r="B18" s="136"/>
      <c r="C18" s="137" t="s">
        <v>599</v>
      </c>
      <c r="D18" s="137" t="s">
        <v>581</v>
      </c>
      <c r="E18" s="137" t="s">
        <v>582</v>
      </c>
      <c r="F18" s="137" t="s">
        <v>583</v>
      </c>
      <c r="G18" s="137" t="s">
        <v>603</v>
      </c>
      <c r="H18" s="137" t="s">
        <v>581</v>
      </c>
      <c r="I18" s="137" t="s">
        <v>582</v>
      </c>
      <c r="J18" s="137" t="s">
        <v>583</v>
      </c>
      <c r="K18" s="137" t="s">
        <v>607</v>
      </c>
      <c r="L18" s="137" t="s">
        <v>581</v>
      </c>
      <c r="M18" s="137" t="s">
        <v>582</v>
      </c>
      <c r="N18" s="137" t="s">
        <v>583</v>
      </c>
      <c r="O18" s="137" t="s">
        <v>611</v>
      </c>
      <c r="P18" s="137" t="s">
        <v>581</v>
      </c>
      <c r="Q18" s="137" t="s">
        <v>582</v>
      </c>
      <c r="R18" s="137" t="s">
        <v>583</v>
      </c>
      <c r="S18" s="137" t="s">
        <v>615</v>
      </c>
      <c r="T18" s="137" t="s">
        <v>581</v>
      </c>
      <c r="U18" s="137" t="s">
        <v>582</v>
      </c>
      <c r="V18" s="137" t="s">
        <v>583</v>
      </c>
      <c r="W18" s="137" t="s">
        <v>921</v>
      </c>
      <c r="X18" s="137" t="s">
        <v>581</v>
      </c>
      <c r="Y18" s="137" t="s">
        <v>582</v>
      </c>
      <c r="Z18" s="137" t="s">
        <v>583</v>
      </c>
      <c r="AA18" s="137" t="s">
        <v>966</v>
      </c>
      <c r="AB18" s="137"/>
      <c r="AC18" s="137"/>
      <c r="AD18" s="137"/>
      <c r="AE18" s="138"/>
      <c r="AF18" s="138"/>
      <c r="AG18" s="138"/>
      <c r="AH18" s="138"/>
      <c r="AI18" s="138"/>
      <c r="AJ18" s="138"/>
      <c r="AK18" s="138"/>
    </row>
    <row r="19" spans="2:37" s="26" customFormat="1" ht="12.6" customHeight="1" x14ac:dyDescent="0.2">
      <c r="B19" s="139" t="s">
        <v>761</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584</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585</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761</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584</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585</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762</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506</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541</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1232</v>
      </c>
    </row>
    <row r="3" spans="1:3" x14ac:dyDescent="0.2">
      <c r="B3" s="4" t="s">
        <v>488</v>
      </c>
      <c r="C3" s="4" t="s">
        <v>1233</v>
      </c>
    </row>
    <row r="4" spans="1:3" x14ac:dyDescent="0.2">
      <c r="B4" s="4" t="s">
        <v>491</v>
      </c>
      <c r="C4" s="4" t="s">
        <v>1173</v>
      </c>
    </row>
    <row r="5" spans="1:3" x14ac:dyDescent="0.2">
      <c r="C5" s="4" t="s">
        <v>1174</v>
      </c>
    </row>
    <row r="6" spans="1:3" x14ac:dyDescent="0.2">
      <c r="B6" s="4" t="s">
        <v>497</v>
      </c>
      <c r="C6" s="4" t="s">
        <v>172</v>
      </c>
    </row>
    <row r="7" spans="1:3" x14ac:dyDescent="0.2">
      <c r="B7" s="4" t="s">
        <v>161</v>
      </c>
      <c r="C7" s="4" t="s">
        <v>216</v>
      </c>
    </row>
    <row r="8" spans="1:3" x14ac:dyDescent="0.2">
      <c r="B8" s="4" t="s">
        <v>165</v>
      </c>
      <c r="C8" s="4" t="s">
        <v>1236</v>
      </c>
    </row>
    <row r="9" spans="1:3" x14ac:dyDescent="0.2">
      <c r="B9" s="4" t="s">
        <v>767</v>
      </c>
      <c r="C9" s="4" t="s">
        <v>1037</v>
      </c>
    </row>
    <row r="10" spans="1:3" x14ac:dyDescent="0.2">
      <c r="B10" s="4" t="s">
        <v>538</v>
      </c>
      <c r="C10" s="4" t="s">
        <v>1038</v>
      </c>
    </row>
    <row r="11" spans="1:3" x14ac:dyDescent="0.2">
      <c r="B11" s="4" t="s">
        <v>906</v>
      </c>
      <c r="C11" s="4" t="s">
        <v>1235</v>
      </c>
    </row>
    <row r="12" spans="1:3" x14ac:dyDescent="0.2">
      <c r="B12" s="4" t="s">
        <v>318</v>
      </c>
      <c r="C12" s="4" t="s">
        <v>1039</v>
      </c>
    </row>
    <row r="13" spans="1:3" x14ac:dyDescent="0.2">
      <c r="B13" s="4" t="s">
        <v>533</v>
      </c>
    </row>
    <row r="14" spans="1:3" x14ac:dyDescent="0.2">
      <c r="C14" s="4" t="s">
        <v>1040</v>
      </c>
    </row>
    <row r="15" spans="1:3" x14ac:dyDescent="0.2">
      <c r="C15" s="4" t="s">
        <v>1041</v>
      </c>
    </row>
    <row r="16" spans="1:3" x14ac:dyDescent="0.2">
      <c r="C16" s="4" t="s">
        <v>1042</v>
      </c>
    </row>
    <row r="17" spans="2:11" x14ac:dyDescent="0.2">
      <c r="C17" s="4" t="s">
        <v>1043</v>
      </c>
    </row>
    <row r="18" spans="2:11" x14ac:dyDescent="0.2">
      <c r="C18" s="4" t="s">
        <v>1045</v>
      </c>
    </row>
    <row r="19" spans="2:11" x14ac:dyDescent="0.2">
      <c r="D19" s="4" t="s">
        <v>1046</v>
      </c>
    </row>
    <row r="20" spans="2:11" x14ac:dyDescent="0.2">
      <c r="C20" s="4" t="s">
        <v>1047</v>
      </c>
    </row>
    <row r="21" spans="2:11" x14ac:dyDescent="0.2">
      <c r="D21" s="4" t="s">
        <v>1048</v>
      </c>
      <c r="F21" s="12">
        <v>1</v>
      </c>
      <c r="G21" s="12">
        <v>2</v>
      </c>
      <c r="H21" s="12">
        <v>3</v>
      </c>
    </row>
    <row r="22" spans="2:11" x14ac:dyDescent="0.2">
      <c r="C22" s="4" t="s">
        <v>1049</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1050</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1234</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217</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1143</v>
      </c>
    </row>
    <row r="3" spans="1:3" x14ac:dyDescent="0.2">
      <c r="B3" s="4" t="s">
        <v>488</v>
      </c>
      <c r="C3" s="4" t="s">
        <v>1170</v>
      </c>
    </row>
    <row r="4" spans="1:3" x14ac:dyDescent="0.2">
      <c r="B4" s="4" t="s">
        <v>491</v>
      </c>
      <c r="C4" s="4" t="s">
        <v>1171</v>
      </c>
    </row>
    <row r="5" spans="1:3" x14ac:dyDescent="0.2">
      <c r="B5" s="4" t="s">
        <v>497</v>
      </c>
      <c r="C5" s="4" t="s">
        <v>1172</v>
      </c>
    </row>
    <row r="6" spans="1:3" x14ac:dyDescent="0.2">
      <c r="B6" s="4" t="s">
        <v>161</v>
      </c>
      <c r="C6" s="4" t="s">
        <v>216</v>
      </c>
    </row>
    <row r="7" spans="1:3" x14ac:dyDescent="0.2">
      <c r="B7" s="4" t="s">
        <v>165</v>
      </c>
      <c r="C7" s="4" t="s">
        <v>1067</v>
      </c>
    </row>
    <row r="8" spans="1:3" x14ac:dyDescent="0.2">
      <c r="B8" s="4" t="s">
        <v>529</v>
      </c>
      <c r="C8" s="4" t="s">
        <v>1068</v>
      </c>
    </row>
    <row r="9" spans="1:3" x14ac:dyDescent="0.2">
      <c r="B9" s="4" t="s">
        <v>538</v>
      </c>
      <c r="C9" s="4" t="s">
        <v>1069</v>
      </c>
    </row>
    <row r="10" spans="1:3" x14ac:dyDescent="0.2">
      <c r="B10" s="4" t="s">
        <v>906</v>
      </c>
      <c r="C10" s="4" t="s">
        <v>1070</v>
      </c>
    </row>
    <row r="11" spans="1:3" x14ac:dyDescent="0.2">
      <c r="B11" s="4" t="s">
        <v>1071</v>
      </c>
      <c r="C11" s="4" t="s">
        <v>1072</v>
      </c>
    </row>
    <row r="12" spans="1:3" x14ac:dyDescent="0.2">
      <c r="B12" s="4" t="s">
        <v>533</v>
      </c>
    </row>
    <row r="13" spans="1:3" x14ac:dyDescent="0.2">
      <c r="C13" s="30" t="s">
        <v>1073</v>
      </c>
    </row>
    <row r="14" spans="1:3" x14ac:dyDescent="0.2">
      <c r="C14" s="4" t="s">
        <v>1074</v>
      </c>
    </row>
    <row r="15" spans="1:3" x14ac:dyDescent="0.2">
      <c r="C15" s="4" t="s">
        <v>1076</v>
      </c>
    </row>
    <row r="16" spans="1:3" x14ac:dyDescent="0.2">
      <c r="C16" s="4" t="s">
        <v>1077</v>
      </c>
    </row>
    <row r="17" spans="3:8" x14ac:dyDescent="0.2">
      <c r="C17" s="4" t="s">
        <v>1078</v>
      </c>
    </row>
    <row r="19" spans="3:8" x14ac:dyDescent="0.2">
      <c r="C19" s="30" t="s">
        <v>1079</v>
      </c>
    </row>
    <row r="20" spans="3:8" x14ac:dyDescent="0.2">
      <c r="C20" s="4" t="s">
        <v>1080</v>
      </c>
    </row>
    <row r="21" spans="3:8" x14ac:dyDescent="0.2">
      <c r="C21" s="4" t="s">
        <v>1081</v>
      </c>
    </row>
    <row r="24" spans="3:8" x14ac:dyDescent="0.2">
      <c r="C24" s="30" t="s">
        <v>1082</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156</v>
      </c>
    </row>
    <row r="2" spans="1:3" x14ac:dyDescent="0.2">
      <c r="B2" s="4" t="s">
        <v>487</v>
      </c>
      <c r="C2" s="4" t="s">
        <v>816</v>
      </c>
    </row>
    <row r="3" spans="1:3" x14ac:dyDescent="0.2">
      <c r="B3" s="4" t="s">
        <v>488</v>
      </c>
      <c r="C3" s="4" t="s">
        <v>1164</v>
      </c>
    </row>
    <row r="4" spans="1:3" x14ac:dyDescent="0.2">
      <c r="B4" s="4" t="s">
        <v>490</v>
      </c>
      <c r="C4" s="4" t="s">
        <v>1165</v>
      </c>
    </row>
    <row r="5" spans="1:3" x14ac:dyDescent="0.2">
      <c r="B5" s="4" t="s">
        <v>161</v>
      </c>
      <c r="C5" s="4" t="s">
        <v>190</v>
      </c>
    </row>
    <row r="6" spans="1:3" x14ac:dyDescent="0.2">
      <c r="B6" s="4" t="s">
        <v>491</v>
      </c>
      <c r="C6" s="4" t="s">
        <v>817</v>
      </c>
    </row>
    <row r="7" spans="1:3" x14ac:dyDescent="0.2">
      <c r="B7" s="4" t="s">
        <v>775</v>
      </c>
      <c r="C7" s="35" t="s">
        <v>818</v>
      </c>
    </row>
    <row r="8" spans="1:3" x14ac:dyDescent="0.2">
      <c r="B8" s="4" t="s">
        <v>167</v>
      </c>
      <c r="C8" s="4" t="s">
        <v>819</v>
      </c>
    </row>
    <row r="9" spans="1:3" x14ac:dyDescent="0.2">
      <c r="B9" s="4" t="s">
        <v>165</v>
      </c>
      <c r="C9" s="4" t="s">
        <v>820</v>
      </c>
    </row>
    <row r="10" spans="1:3" x14ac:dyDescent="0.2">
      <c r="B10" s="4"/>
      <c r="C10" s="4" t="s">
        <v>821</v>
      </c>
    </row>
    <row r="11" spans="1:3" x14ac:dyDescent="0.2">
      <c r="B11" s="4"/>
      <c r="C11" s="5" t="s">
        <v>822</v>
      </c>
    </row>
    <row r="12" spans="1:3" x14ac:dyDescent="0.2">
      <c r="B12" s="4" t="s">
        <v>773</v>
      </c>
      <c r="C12" s="36">
        <v>1</v>
      </c>
    </row>
    <row r="13" spans="1:3" x14ac:dyDescent="0.2">
      <c r="B13" s="4" t="s">
        <v>533</v>
      </c>
      <c r="C13" s="4"/>
    </row>
    <row r="14" spans="1:3" x14ac:dyDescent="0.2">
      <c r="B14" s="4"/>
      <c r="C14" s="30" t="s">
        <v>823</v>
      </c>
    </row>
    <row r="15" spans="1:3" x14ac:dyDescent="0.2">
      <c r="B15" s="4"/>
      <c r="C15" s="4" t="s">
        <v>824</v>
      </c>
    </row>
    <row r="16" spans="1:3" x14ac:dyDescent="0.2">
      <c r="B16" s="4"/>
      <c r="C16" s="4" t="s">
        <v>825</v>
      </c>
    </row>
    <row r="17" spans="2:13" x14ac:dyDescent="0.2">
      <c r="B17" s="4"/>
      <c r="C17" s="4" t="s">
        <v>826</v>
      </c>
    </row>
    <row r="18" spans="2:13" x14ac:dyDescent="0.2">
      <c r="B18" s="4"/>
      <c r="C18" s="4"/>
    </row>
    <row r="19" spans="2:13" x14ac:dyDescent="0.2">
      <c r="B19" s="4"/>
      <c r="C19" s="4"/>
    </row>
    <row r="20" spans="2:13" x14ac:dyDescent="0.2">
      <c r="B20" s="4" t="s">
        <v>544</v>
      </c>
      <c r="D20" s="6" t="s">
        <v>545</v>
      </c>
      <c r="E20" s="6" t="s">
        <v>546</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366</v>
      </c>
      <c r="F27" s="7" t="e">
        <f>+#REF!</f>
        <v>#REF!</v>
      </c>
      <c r="G27" s="7" t="e">
        <f>+#REF!</f>
        <v>#REF!</v>
      </c>
      <c r="H27" s="7" t="e">
        <f>+#REF!</f>
        <v>#REF!</v>
      </c>
      <c r="I27" s="7"/>
      <c r="J27" s="7"/>
      <c r="K27" s="7"/>
    </row>
    <row r="28" spans="2:13" x14ac:dyDescent="0.2">
      <c r="B28" s="6" t="s">
        <v>367</v>
      </c>
      <c r="E28" s="33"/>
      <c r="F28" s="29" t="e">
        <f>+#REF!</f>
        <v>#REF!</v>
      </c>
      <c r="G28" s="29" t="e">
        <f>+#REF!</f>
        <v>#REF!</v>
      </c>
      <c r="H28" s="29" t="e">
        <f>+#REF!</f>
        <v>#REF!</v>
      </c>
      <c r="I28" s="29"/>
      <c r="J28" s="29"/>
      <c r="K28" s="29"/>
      <c r="L28" s="33"/>
    </row>
    <row r="29" spans="2:13" x14ac:dyDescent="0.2">
      <c r="B29" s="6" t="s">
        <v>541</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5703125" style="119" customWidth="1"/>
    <col min="5" max="8" width="5.5703125" style="119" bestFit="1" customWidth="1"/>
    <col min="9" max="9" width="6.140625" style="119" customWidth="1"/>
    <col min="10" max="16384" width="9.140625" style="119"/>
  </cols>
  <sheetData>
    <row r="1" spans="1:5" x14ac:dyDescent="0.2">
      <c r="A1" s="118" t="s">
        <v>156</v>
      </c>
    </row>
    <row r="2" spans="1:5" x14ac:dyDescent="0.2">
      <c r="A2" s="118"/>
      <c r="B2" s="119" t="s">
        <v>714</v>
      </c>
      <c r="C2" s="120" t="s">
        <v>715</v>
      </c>
    </row>
    <row r="3" spans="1:5" x14ac:dyDescent="0.2">
      <c r="A3" s="118"/>
      <c r="B3" s="119" t="s">
        <v>497</v>
      </c>
      <c r="C3" s="119" t="s">
        <v>716</v>
      </c>
    </row>
    <row r="4" spans="1:5" x14ac:dyDescent="0.2">
      <c r="A4" s="118"/>
      <c r="C4" s="120" t="s">
        <v>1175</v>
      </c>
    </row>
    <row r="5" spans="1:5" x14ac:dyDescent="0.2">
      <c r="A5" s="118"/>
      <c r="B5" s="119" t="s">
        <v>165</v>
      </c>
      <c r="C5" s="120" t="s">
        <v>1176</v>
      </c>
    </row>
    <row r="6" spans="1:5" x14ac:dyDescent="0.2">
      <c r="A6" s="118"/>
      <c r="C6" s="120"/>
      <c r="E6" s="120"/>
    </row>
    <row r="7" spans="1:5" x14ac:dyDescent="0.2">
      <c r="A7" s="118"/>
      <c r="B7" s="119" t="s">
        <v>717</v>
      </c>
      <c r="C7" s="120" t="s">
        <v>715</v>
      </c>
    </row>
    <row r="8" spans="1:5" x14ac:dyDescent="0.2">
      <c r="A8" s="118"/>
      <c r="B8" s="119" t="s">
        <v>497</v>
      </c>
      <c r="C8" s="119" t="s">
        <v>716</v>
      </c>
      <c r="E8" s="120"/>
    </row>
    <row r="9" spans="1:5" x14ac:dyDescent="0.2">
      <c r="A9" s="118"/>
      <c r="C9" s="120" t="s">
        <v>718</v>
      </c>
      <c r="E9" s="120"/>
    </row>
    <row r="10" spans="1:5" x14ac:dyDescent="0.2">
      <c r="A10" s="118"/>
      <c r="B10" s="119" t="s">
        <v>165</v>
      </c>
      <c r="C10" s="119" t="s">
        <v>719</v>
      </c>
      <c r="E10" s="120"/>
    </row>
    <row r="11" spans="1:5" x14ac:dyDescent="0.2">
      <c r="A11" s="118"/>
      <c r="C11" s="120"/>
      <c r="E11" s="120"/>
    </row>
    <row r="12" spans="1:5" x14ac:dyDescent="0.2">
      <c r="A12" s="118"/>
      <c r="B12" s="119" t="s">
        <v>720</v>
      </c>
      <c r="C12" s="120" t="s">
        <v>715</v>
      </c>
    </row>
    <row r="13" spans="1:5" x14ac:dyDescent="0.2">
      <c r="A13" s="118"/>
      <c r="B13" s="119" t="s">
        <v>497</v>
      </c>
      <c r="C13" s="119" t="s">
        <v>716</v>
      </c>
      <c r="E13" s="120"/>
    </row>
    <row r="14" spans="1:5" x14ac:dyDescent="0.2">
      <c r="A14" s="118"/>
      <c r="C14" s="120" t="s">
        <v>721</v>
      </c>
      <c r="E14" s="120"/>
    </row>
    <row r="15" spans="1:5" x14ac:dyDescent="0.2">
      <c r="A15" s="118"/>
      <c r="B15" s="119" t="s">
        <v>165</v>
      </c>
      <c r="C15" s="120" t="s">
        <v>722</v>
      </c>
      <c r="E15" s="120"/>
    </row>
    <row r="16" spans="1:5" x14ac:dyDescent="0.2">
      <c r="A16" s="118"/>
      <c r="C16" s="120"/>
      <c r="E16" s="120"/>
    </row>
    <row r="17" spans="1:10" x14ac:dyDescent="0.2">
      <c r="A17" s="118"/>
      <c r="B17" s="119" t="s">
        <v>723</v>
      </c>
      <c r="C17" s="120" t="s">
        <v>724</v>
      </c>
    </row>
    <row r="18" spans="1:10" x14ac:dyDescent="0.2">
      <c r="B18" s="119" t="s">
        <v>497</v>
      </c>
      <c r="C18" s="121" t="s">
        <v>716</v>
      </c>
    </row>
    <row r="19" spans="1:10" x14ac:dyDescent="0.2">
      <c r="C19" s="121" t="s">
        <v>725</v>
      </c>
    </row>
    <row r="20" spans="1:10" x14ac:dyDescent="0.2">
      <c r="B20" s="119" t="s">
        <v>165</v>
      </c>
      <c r="C20" s="121" t="s">
        <v>726</v>
      </c>
    </row>
    <row r="22" spans="1:10" x14ac:dyDescent="0.2">
      <c r="B22" s="119" t="s">
        <v>727</v>
      </c>
      <c r="C22" s="120" t="s">
        <v>744</v>
      </c>
    </row>
    <row r="23" spans="1:10" x14ac:dyDescent="0.2">
      <c r="B23" s="119" t="s">
        <v>497</v>
      </c>
      <c r="C23" s="119" t="s">
        <v>745</v>
      </c>
      <c r="E23" s="120"/>
    </row>
    <row r="24" spans="1:10" x14ac:dyDescent="0.2">
      <c r="C24" s="120" t="s">
        <v>746</v>
      </c>
      <c r="E24" s="120"/>
    </row>
    <row r="25" spans="1:10" x14ac:dyDescent="0.2">
      <c r="B25" s="119" t="s">
        <v>165</v>
      </c>
      <c r="C25" s="120" t="s">
        <v>747</v>
      </c>
    </row>
    <row r="27" spans="1:10" x14ac:dyDescent="0.2">
      <c r="B27" s="122" t="s">
        <v>332</v>
      </c>
      <c r="C27" s="123">
        <v>2001</v>
      </c>
      <c r="D27" s="123">
        <v>2002</v>
      </c>
      <c r="E27" s="123">
        <v>2003</v>
      </c>
      <c r="F27" s="123">
        <v>2004</v>
      </c>
      <c r="G27" s="123">
        <v>2005</v>
      </c>
      <c r="H27" s="124">
        <v>2006</v>
      </c>
      <c r="I27" s="124">
        <v>2007</v>
      </c>
      <c r="J27" s="125"/>
    </row>
    <row r="28" spans="1:10" s="122" customFormat="1" ht="12.6" customHeight="1" x14ac:dyDescent="0.2">
      <c r="B28" s="122" t="s">
        <v>366</v>
      </c>
      <c r="C28" s="126"/>
      <c r="D28" s="126" t="e">
        <f>#REF!</f>
        <v>#REF!</v>
      </c>
      <c r="E28" s="126" t="e">
        <f>#REF!</f>
        <v>#REF!</v>
      </c>
      <c r="F28" s="126" t="e">
        <f>#REF!</f>
        <v>#REF!</v>
      </c>
      <c r="G28" s="127">
        <v>920</v>
      </c>
      <c r="H28" s="127">
        <v>781</v>
      </c>
      <c r="I28" s="127">
        <v>662</v>
      </c>
      <c r="J28" s="128"/>
    </row>
    <row r="29" spans="1:10" x14ac:dyDescent="0.2">
      <c r="B29" s="119" t="s">
        <v>367</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1026</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156</v>
      </c>
    </row>
    <row r="2" spans="1:3" x14ac:dyDescent="0.2">
      <c r="B2" s="134" t="s">
        <v>487</v>
      </c>
      <c r="C2" s="134" t="s">
        <v>226</v>
      </c>
    </row>
    <row r="3" spans="1:3" x14ac:dyDescent="0.2">
      <c r="B3" s="134" t="s">
        <v>488</v>
      </c>
      <c r="C3" s="134" t="s">
        <v>1438</v>
      </c>
    </row>
    <row r="4" spans="1:3" x14ac:dyDescent="0.2">
      <c r="B4" s="134" t="s">
        <v>161</v>
      </c>
      <c r="C4" s="134" t="s">
        <v>216</v>
      </c>
    </row>
    <row r="5" spans="1:3" x14ac:dyDescent="0.2">
      <c r="B5" s="134" t="s">
        <v>491</v>
      </c>
      <c r="C5" s="134" t="s">
        <v>219</v>
      </c>
    </row>
    <row r="6" spans="1:3" x14ac:dyDescent="0.2">
      <c r="B6" s="134" t="s">
        <v>495</v>
      </c>
      <c r="C6" s="134" t="s">
        <v>1180</v>
      </c>
    </row>
    <row r="7" spans="1:3" x14ac:dyDescent="0.2">
      <c r="B7" s="134" t="s">
        <v>778</v>
      </c>
    </row>
    <row r="8" spans="1:3" x14ac:dyDescent="0.2">
      <c r="C8" s="111" t="s">
        <v>892</v>
      </c>
    </row>
    <row r="9" spans="1:3" x14ac:dyDescent="0.2">
      <c r="C9" s="134" t="s">
        <v>893</v>
      </c>
    </row>
    <row r="10" spans="1:3" x14ac:dyDescent="0.2">
      <c r="C10" s="134" t="s">
        <v>896</v>
      </c>
    </row>
    <row r="12" spans="1:3" x14ac:dyDescent="0.2">
      <c r="C12" s="111" t="s">
        <v>894</v>
      </c>
    </row>
    <row r="13" spans="1:3" x14ac:dyDescent="0.2">
      <c r="C13" s="134" t="s">
        <v>895</v>
      </c>
    </row>
    <row r="14" spans="1:3" x14ac:dyDescent="0.2">
      <c r="C14" s="134" t="s">
        <v>896</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RowHeight="12.75" x14ac:dyDescent="0.2"/>
  <cols>
    <col min="1" max="1" width="5" bestFit="1" customWidth="1"/>
    <col min="2" max="2" width="12.85546875" bestFit="1" customWidth="1"/>
  </cols>
  <sheetData>
    <row r="1" spans="1:3" x14ac:dyDescent="0.2">
      <c r="A1" s="116" t="s">
        <v>156</v>
      </c>
    </row>
    <row r="2" spans="1:3" x14ac:dyDescent="0.2">
      <c r="B2" t="s">
        <v>487</v>
      </c>
      <c r="C2" t="s">
        <v>1572</v>
      </c>
    </row>
    <row r="3" spans="1:3" x14ac:dyDescent="0.2">
      <c r="B3" t="s">
        <v>488</v>
      </c>
      <c r="C3" t="s">
        <v>841</v>
      </c>
    </row>
    <row r="4" spans="1:3" x14ac:dyDescent="0.2">
      <c r="B4" t="s">
        <v>161</v>
      </c>
      <c r="C4" t="s">
        <v>1570</v>
      </c>
    </row>
    <row r="5" spans="1:3" x14ac:dyDescent="0.2">
      <c r="B5" t="s">
        <v>773</v>
      </c>
      <c r="C5" t="s">
        <v>1571</v>
      </c>
    </row>
    <row r="6" spans="1:3" x14ac:dyDescent="0.2">
      <c r="B6" t="s">
        <v>491</v>
      </c>
      <c r="C6" t="s">
        <v>842</v>
      </c>
    </row>
    <row r="7" spans="1:3" x14ac:dyDescent="0.2">
      <c r="B7" t="s">
        <v>778</v>
      </c>
    </row>
    <row r="8" spans="1:3" x14ac:dyDescent="0.2">
      <c r="C8" s="184" t="s">
        <v>1339</v>
      </c>
    </row>
    <row r="10" spans="1:3" x14ac:dyDescent="0.2">
      <c r="C10" s="184" t="s">
        <v>1345</v>
      </c>
    </row>
  </sheetData>
  <hyperlinks>
    <hyperlink ref="A1" location="Main!A1" display="Main"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RowHeight="12.75" x14ac:dyDescent="0.2"/>
  <cols>
    <col min="1" max="1" width="5" bestFit="1" customWidth="1"/>
    <col min="2" max="2" width="12.85546875" bestFit="1" customWidth="1"/>
  </cols>
  <sheetData>
    <row r="1" spans="1:3" x14ac:dyDescent="0.2">
      <c r="A1" s="116" t="s">
        <v>156</v>
      </c>
    </row>
    <row r="2" spans="1:3" x14ac:dyDescent="0.2">
      <c r="B2" t="s">
        <v>488</v>
      </c>
      <c r="C2" t="s">
        <v>1334</v>
      </c>
    </row>
    <row r="3" spans="1:3" x14ac:dyDescent="0.2">
      <c r="B3" t="s">
        <v>491</v>
      </c>
    </row>
    <row r="4" spans="1:3" x14ac:dyDescent="0.2">
      <c r="B4" t="s">
        <v>778</v>
      </c>
    </row>
    <row r="5" spans="1:3" x14ac:dyDescent="0.2">
      <c r="C5" s="184" t="s">
        <v>1336</v>
      </c>
    </row>
    <row r="6" spans="1:3" x14ac:dyDescent="0.2">
      <c r="C6" t="s">
        <v>1335</v>
      </c>
    </row>
    <row r="8" spans="1:3" x14ac:dyDescent="0.2">
      <c r="C8" s="184" t="s">
        <v>1337</v>
      </c>
    </row>
    <row r="9" spans="1:3" x14ac:dyDescent="0.2">
      <c r="C9" t="s">
        <v>1338</v>
      </c>
    </row>
  </sheetData>
  <hyperlinks>
    <hyperlink ref="A1" location="Main!A1" display="Main" xr:uid="{00000000-0004-0000-2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156</v>
      </c>
    </row>
    <row r="2" spans="1:19" x14ac:dyDescent="0.2">
      <c r="B2" s="257" t="s">
        <v>265</v>
      </c>
    </row>
    <row r="4" spans="1:19" x14ac:dyDescent="0.2">
      <c r="B4" s="256" t="s">
        <v>160</v>
      </c>
      <c r="C4" s="76" t="s">
        <v>1244</v>
      </c>
      <c r="D4" s="76" t="s">
        <v>1369</v>
      </c>
      <c r="E4" s="76" t="s">
        <v>1370</v>
      </c>
      <c r="F4" s="76" t="s">
        <v>1355</v>
      </c>
      <c r="G4" s="76" t="s">
        <v>1356</v>
      </c>
      <c r="H4" s="76" t="s">
        <v>1357</v>
      </c>
      <c r="I4" s="76" t="s">
        <v>157</v>
      </c>
      <c r="J4" s="76" t="s">
        <v>1359</v>
      </c>
      <c r="K4" s="76" t="s">
        <v>364</v>
      </c>
      <c r="L4" s="76" t="s">
        <v>1360</v>
      </c>
      <c r="M4" s="76" t="s">
        <v>1363</v>
      </c>
      <c r="N4" s="76" t="s">
        <v>1365</v>
      </c>
      <c r="O4" s="76" t="s">
        <v>1366</v>
      </c>
      <c r="P4" s="76" t="s">
        <v>1367</v>
      </c>
      <c r="Q4" s="76" t="s">
        <v>1368</v>
      </c>
      <c r="R4" s="76" t="s">
        <v>1372</v>
      </c>
    </row>
    <row r="5" spans="1:19" x14ac:dyDescent="0.2">
      <c r="B5" s="256" t="s">
        <v>1378</v>
      </c>
      <c r="C5" s="163">
        <v>41136</v>
      </c>
      <c r="D5" s="163">
        <v>39310</v>
      </c>
      <c r="E5" s="76" t="s">
        <v>1380</v>
      </c>
      <c r="F5" s="76">
        <v>600</v>
      </c>
      <c r="G5" s="255">
        <v>5.1499999999999997E-2</v>
      </c>
      <c r="H5" s="76" t="s">
        <v>1358</v>
      </c>
      <c r="I5" s="76">
        <v>108.89400000000001</v>
      </c>
      <c r="J5" s="255">
        <v>1.12E-2</v>
      </c>
      <c r="K5" s="255" t="s">
        <v>1387</v>
      </c>
      <c r="L5" s="76" t="s">
        <v>1379</v>
      </c>
      <c r="M5" s="76" t="s">
        <v>1364</v>
      </c>
      <c r="N5" s="255">
        <v>5.1999999999999998E-2</v>
      </c>
      <c r="O5" s="163">
        <v>39370</v>
      </c>
      <c r="P5" s="255">
        <v>7.7099999999999998E-3</v>
      </c>
      <c r="Q5" s="163">
        <v>40260</v>
      </c>
      <c r="R5" s="255">
        <v>7.7999999999999996E-3</v>
      </c>
      <c r="S5" s="255">
        <f t="shared" ref="S5:S14" si="0">+J5-R5</f>
        <v>3.4000000000000002E-3</v>
      </c>
    </row>
    <row r="6" spans="1:19" x14ac:dyDescent="0.2">
      <c r="B6" s="256" t="s">
        <v>1383</v>
      </c>
      <c r="C6" s="163">
        <v>41409</v>
      </c>
      <c r="D6" s="163">
        <v>37760</v>
      </c>
      <c r="E6" s="76" t="s">
        <v>1382</v>
      </c>
      <c r="F6" s="76">
        <v>500</v>
      </c>
      <c r="G6" s="255">
        <v>3.7999999999999999E-2</v>
      </c>
      <c r="H6" s="76" t="s">
        <v>1381</v>
      </c>
      <c r="I6" s="76">
        <v>105.56</v>
      </c>
      <c r="J6" s="255">
        <v>1.8800000000000001E-2</v>
      </c>
      <c r="K6" s="255" t="s">
        <v>1387</v>
      </c>
      <c r="L6" s="76" t="s">
        <v>1379</v>
      </c>
      <c r="M6" s="76" t="s">
        <v>1364</v>
      </c>
      <c r="N6" s="255">
        <v>5.8259999999999999E-2</v>
      </c>
      <c r="O6" s="163">
        <v>39251</v>
      </c>
      <c r="P6" s="255">
        <v>1.073E-2</v>
      </c>
      <c r="Q6" s="163">
        <v>40298</v>
      </c>
      <c r="R6" s="255">
        <v>1.29E-2</v>
      </c>
      <c r="S6" s="255">
        <f t="shared" si="0"/>
        <v>5.9000000000000007E-3</v>
      </c>
    </row>
    <row r="7" spans="1:19" x14ac:dyDescent="0.2">
      <c r="B7" s="256" t="s">
        <v>1384</v>
      </c>
      <c r="C7" s="163">
        <v>42962</v>
      </c>
      <c r="D7" s="163">
        <v>39307</v>
      </c>
      <c r="E7" s="76" t="s">
        <v>1385</v>
      </c>
      <c r="F7" s="76">
        <v>1000</v>
      </c>
      <c r="G7" s="255">
        <v>5.5500000000000001E-2</v>
      </c>
      <c r="H7" s="76" t="s">
        <v>1358</v>
      </c>
      <c r="I7" s="76">
        <v>113.53700000000001</v>
      </c>
      <c r="J7" s="255">
        <v>3.4200000000000001E-2</v>
      </c>
      <c r="K7" s="255" t="s">
        <v>1387</v>
      </c>
      <c r="L7" s="76" t="s">
        <v>1379</v>
      </c>
      <c r="M7" s="76" t="s">
        <v>1364</v>
      </c>
      <c r="N7" s="255">
        <v>5.9049999999999998E-2</v>
      </c>
      <c r="O7" s="163">
        <v>39735</v>
      </c>
      <c r="P7" s="255">
        <v>3.0290000000000001E-2</v>
      </c>
      <c r="Q7" s="163">
        <v>39867</v>
      </c>
      <c r="R7" s="255">
        <v>2.87E-2</v>
      </c>
      <c r="S7" s="255">
        <f t="shared" si="0"/>
        <v>5.5000000000000014E-3</v>
      </c>
    </row>
    <row r="8" spans="1:19" x14ac:dyDescent="0.2">
      <c r="B8" s="256" t="s">
        <v>1388</v>
      </c>
      <c r="C8" s="163">
        <v>43296</v>
      </c>
      <c r="D8" s="163">
        <v>39617</v>
      </c>
      <c r="E8" s="76" t="s">
        <v>1386</v>
      </c>
      <c r="F8" s="76">
        <v>900</v>
      </c>
      <c r="G8" s="255">
        <v>5.1499999999999997E-2</v>
      </c>
      <c r="H8" s="76" t="s">
        <v>1358</v>
      </c>
      <c r="I8" s="76">
        <v>110.286</v>
      </c>
      <c r="J8" s="255">
        <v>3.6799999999999999E-2</v>
      </c>
      <c r="K8" s="255" t="s">
        <v>1387</v>
      </c>
      <c r="L8" s="76" t="s">
        <v>1361</v>
      </c>
      <c r="M8" s="76" t="s">
        <v>1364</v>
      </c>
      <c r="N8" s="255">
        <v>5.7639999999999997E-2</v>
      </c>
      <c r="O8" s="163">
        <v>39735</v>
      </c>
      <c r="P8" s="255">
        <v>3.2250000000000001E-2</v>
      </c>
      <c r="Q8" s="163">
        <v>39868</v>
      </c>
      <c r="R8" s="255">
        <v>2.9700000000000001E-2</v>
      </c>
      <c r="S8" s="255">
        <f t="shared" si="0"/>
        <v>7.0999999999999987E-3</v>
      </c>
    </row>
    <row r="9" spans="1:19" x14ac:dyDescent="0.2">
      <c r="B9" s="256" t="s">
        <v>1389</v>
      </c>
      <c r="C9" s="163">
        <v>43775</v>
      </c>
      <c r="D9" s="163">
        <v>39385</v>
      </c>
      <c r="E9" s="76" t="s">
        <v>1390</v>
      </c>
      <c r="F9" s="76">
        <v>1000</v>
      </c>
      <c r="G9" s="255">
        <v>4.7500000000000001E-2</v>
      </c>
      <c r="H9" s="76" t="s">
        <v>1358</v>
      </c>
      <c r="I9" s="76">
        <v>112.91370000000001</v>
      </c>
      <c r="J9" s="255">
        <v>3.15E-2</v>
      </c>
      <c r="K9" s="255" t="s">
        <v>1391</v>
      </c>
      <c r="L9" s="76" t="s">
        <v>1379</v>
      </c>
      <c r="M9" s="76" t="s">
        <v>1364</v>
      </c>
      <c r="N9" s="255">
        <v>5.6779999999999997E-2</v>
      </c>
      <c r="O9" s="163">
        <v>39735</v>
      </c>
      <c r="P9" s="255">
        <v>3.125E-2</v>
      </c>
      <c r="Q9" s="163">
        <v>40304</v>
      </c>
      <c r="R9" s="255">
        <v>3.3500000000000002E-2</v>
      </c>
      <c r="S9" s="255">
        <f t="shared" si="0"/>
        <v>-2.0000000000000018E-3</v>
      </c>
    </row>
    <row r="10" spans="1:19" x14ac:dyDescent="0.2">
      <c r="B10" s="256" t="s">
        <v>1392</v>
      </c>
      <c r="C10" s="163">
        <v>45245</v>
      </c>
      <c r="D10" s="163">
        <v>34289</v>
      </c>
      <c r="E10" s="76" t="s">
        <v>1393</v>
      </c>
      <c r="F10" s="76">
        <v>250</v>
      </c>
      <c r="G10" s="255">
        <v>6.7299999999999999E-2</v>
      </c>
      <c r="H10" s="76" t="s">
        <v>1381</v>
      </c>
      <c r="I10" s="76">
        <v>125.001</v>
      </c>
      <c r="J10" s="255">
        <v>4.2700000000000002E-2</v>
      </c>
      <c r="K10" s="255" t="s">
        <v>1387</v>
      </c>
      <c r="L10" s="76" t="s">
        <v>1379</v>
      </c>
      <c r="M10" s="76" t="s">
        <v>1364</v>
      </c>
      <c r="N10" s="255">
        <v>7.6319999999999999E-2</v>
      </c>
      <c r="O10" s="163">
        <v>39741</v>
      </c>
      <c r="P10" s="255">
        <v>4.0099999999999997E-2</v>
      </c>
      <c r="Q10" s="163">
        <v>39828</v>
      </c>
      <c r="R10" s="255">
        <v>3.5499999999999997E-2</v>
      </c>
      <c r="S10" s="255">
        <f t="shared" si="0"/>
        <v>7.200000000000005E-3</v>
      </c>
    </row>
    <row r="11" spans="1:19" x14ac:dyDescent="0.2">
      <c r="B11" s="256" t="s">
        <v>1394</v>
      </c>
      <c r="C11" s="163">
        <v>45602</v>
      </c>
      <c r="D11" s="163">
        <v>39385</v>
      </c>
      <c r="E11" s="76" t="s">
        <v>1395</v>
      </c>
      <c r="F11" s="76">
        <v>500</v>
      </c>
      <c r="G11" s="255">
        <v>5.5E-2</v>
      </c>
      <c r="H11" s="76" t="s">
        <v>1358</v>
      </c>
      <c r="I11" s="76">
        <v>106.005</v>
      </c>
      <c r="J11" s="255">
        <v>4.8800000000000003E-2</v>
      </c>
      <c r="K11" s="255" t="s">
        <v>1396</v>
      </c>
      <c r="L11" s="76" t="s">
        <v>1379</v>
      </c>
      <c r="M11" s="76" t="s">
        <v>1364</v>
      </c>
      <c r="N11" s="255">
        <v>6.0879999999999997E-2</v>
      </c>
      <c r="O11" s="163">
        <v>39735</v>
      </c>
      <c r="P11" s="255">
        <v>4.4979999999999999E-2</v>
      </c>
      <c r="Q11" s="163">
        <v>40056</v>
      </c>
      <c r="R11" s="255">
        <v>3.6499999999999998E-2</v>
      </c>
      <c r="S11" s="255">
        <f t="shared" si="0"/>
        <v>1.2300000000000005E-2</v>
      </c>
    </row>
    <row r="12" spans="1:19" x14ac:dyDescent="0.2">
      <c r="B12" s="256" t="s">
        <v>1397</v>
      </c>
      <c r="C12" s="163">
        <v>47362</v>
      </c>
      <c r="D12" s="163">
        <v>36402</v>
      </c>
      <c r="E12" s="76" t="s">
        <v>1398</v>
      </c>
      <c r="F12" s="76">
        <v>293</v>
      </c>
      <c r="G12" s="255">
        <v>6.9500000000000006E-2</v>
      </c>
      <c r="H12" s="76" t="s">
        <v>1381</v>
      </c>
      <c r="I12" s="76">
        <v>131.88200000000001</v>
      </c>
      <c r="J12" s="255">
        <v>4.446E-2</v>
      </c>
      <c r="K12" s="255" t="s">
        <v>1387</v>
      </c>
      <c r="L12" s="76" t="s">
        <v>1379</v>
      </c>
      <c r="M12" s="76" t="s">
        <v>1364</v>
      </c>
      <c r="N12" s="255">
        <v>6.9029999999999994E-2</v>
      </c>
      <c r="O12" s="163">
        <v>40039</v>
      </c>
      <c r="P12" s="255">
        <v>4.1110000000000001E-2</v>
      </c>
      <c r="Q12" s="163">
        <v>37785</v>
      </c>
      <c r="R12" s="255">
        <v>3.6499999999999998E-2</v>
      </c>
      <c r="S12" s="255">
        <f t="shared" si="0"/>
        <v>7.9600000000000018E-3</v>
      </c>
    </row>
    <row r="13" spans="1:19" x14ac:dyDescent="0.2">
      <c r="B13" s="256" t="s">
        <v>1399</v>
      </c>
      <c r="C13" s="163">
        <v>48714</v>
      </c>
      <c r="D13" s="163">
        <v>37760</v>
      </c>
      <c r="E13" s="76" t="s">
        <v>1400</v>
      </c>
      <c r="F13" s="76">
        <v>500</v>
      </c>
      <c r="G13" s="255">
        <v>4.9500000000000002E-2</v>
      </c>
      <c r="H13" s="76" t="s">
        <v>1381</v>
      </c>
      <c r="I13" s="76">
        <v>109.919</v>
      </c>
      <c r="J13" s="255">
        <v>4.2630000000000001E-2</v>
      </c>
      <c r="K13" s="255" t="s">
        <v>1387</v>
      </c>
      <c r="L13" s="76" t="s">
        <v>1379</v>
      </c>
      <c r="M13" s="76" t="s">
        <v>1364</v>
      </c>
      <c r="N13" s="255">
        <v>7.7630000000000005E-2</v>
      </c>
      <c r="O13" s="163">
        <v>39735</v>
      </c>
      <c r="P13" s="255">
        <v>4.0050000000000002E-2</v>
      </c>
      <c r="Q13" s="163">
        <v>40414</v>
      </c>
      <c r="R13" s="255">
        <v>3.6999999999999998E-2</v>
      </c>
      <c r="S13" s="255">
        <f t="shared" si="0"/>
        <v>5.6300000000000031E-3</v>
      </c>
    </row>
    <row r="14" spans="1:19" x14ac:dyDescent="0.2">
      <c r="B14" s="256" t="s">
        <v>1401</v>
      </c>
      <c r="C14" s="163">
        <v>50267</v>
      </c>
      <c r="D14" s="163">
        <v>39307</v>
      </c>
      <c r="E14" s="76" t="s">
        <v>1402</v>
      </c>
      <c r="F14" s="76">
        <v>995</v>
      </c>
      <c r="G14" s="255">
        <v>5.9499999999999997E-2</v>
      </c>
      <c r="H14" s="76" t="s">
        <v>1358</v>
      </c>
      <c r="I14" s="76">
        <v>123.142</v>
      </c>
      <c r="J14" s="255">
        <v>4.4639999999999999E-2</v>
      </c>
      <c r="K14" s="255" t="s">
        <v>1387</v>
      </c>
      <c r="L14" s="76" t="s">
        <v>1361</v>
      </c>
      <c r="M14" s="76" t="s">
        <v>1364</v>
      </c>
      <c r="N14" s="255">
        <v>6.318E-2</v>
      </c>
      <c r="O14" s="163">
        <v>39738</v>
      </c>
      <c r="P14" s="255">
        <v>4.1369999999999997E-2</v>
      </c>
      <c r="Q14" s="163">
        <v>40421</v>
      </c>
      <c r="R14" s="255">
        <v>3.78E-2</v>
      </c>
      <c r="S14" s="255">
        <f t="shared" si="0"/>
        <v>6.8399999999999989E-3</v>
      </c>
    </row>
    <row r="15" spans="1:19" x14ac:dyDescent="0.2">
      <c r="B15" s="256" t="s">
        <v>1362</v>
      </c>
      <c r="C15" s="163">
        <v>50601</v>
      </c>
      <c r="D15" s="163">
        <v>39617</v>
      </c>
      <c r="E15" s="163" t="s">
        <v>1449</v>
      </c>
      <c r="F15" s="76">
        <v>700</v>
      </c>
      <c r="G15" s="255">
        <v>5.8500000000000003E-2</v>
      </c>
      <c r="H15" s="76" t="s">
        <v>1358</v>
      </c>
      <c r="I15" s="76">
        <v>122.22</v>
      </c>
      <c r="J15" s="255">
        <v>4.4499999999999998E-2</v>
      </c>
      <c r="K15" s="255" t="s">
        <v>1387</v>
      </c>
      <c r="L15" s="76" t="s">
        <v>1361</v>
      </c>
      <c r="M15" s="76" t="s">
        <v>1364</v>
      </c>
      <c r="N15" s="255">
        <v>7.0529999999999995E-2</v>
      </c>
      <c r="O15" s="163">
        <v>39738</v>
      </c>
      <c r="P15" s="255">
        <v>4.165E-2</v>
      </c>
      <c r="Q15" s="163">
        <v>40415</v>
      </c>
      <c r="R15" s="255">
        <v>3.7900000000000003E-2</v>
      </c>
      <c r="S15" s="255">
        <f>J15-R15</f>
        <v>6.5999999999999948E-3</v>
      </c>
    </row>
    <row r="16" spans="1:19" x14ac:dyDescent="0.2">
      <c r="B16" s="256" t="s">
        <v>1447</v>
      </c>
      <c r="C16" s="163">
        <v>51380</v>
      </c>
      <c r="D16" s="163">
        <v>40407</v>
      </c>
      <c r="E16" s="76" t="s">
        <v>1371</v>
      </c>
      <c r="F16" s="76">
        <v>550</v>
      </c>
      <c r="G16" s="255">
        <v>4.4999999999999998E-2</v>
      </c>
      <c r="H16" s="76" t="s">
        <v>1448</v>
      </c>
      <c r="I16" s="76">
        <v>101.13200000000001</v>
      </c>
      <c r="J16" s="255">
        <v>4.4299999999999999E-2</v>
      </c>
      <c r="K16" s="255" t="s">
        <v>1387</v>
      </c>
      <c r="L16" s="76" t="s">
        <v>1361</v>
      </c>
      <c r="M16" s="76" t="s">
        <v>1364</v>
      </c>
      <c r="N16" s="255">
        <v>4.6179999999999999E-2</v>
      </c>
      <c r="O16" s="163">
        <v>40402</v>
      </c>
      <c r="P16" s="255">
        <v>4.1230000000000003E-2</v>
      </c>
      <c r="Q16" s="163">
        <v>40415</v>
      </c>
      <c r="R16" s="255">
        <v>3.8100000000000002E-2</v>
      </c>
      <c r="S16" s="255">
        <f>J16-R16</f>
        <v>6.1999999999999972E-3</v>
      </c>
    </row>
    <row r="20" spans="2:2" x14ac:dyDescent="0.2">
      <c r="B20" t="s">
        <v>1591</v>
      </c>
    </row>
    <row r="21" spans="2:2" x14ac:dyDescent="0.2">
      <c r="B21" t="s">
        <v>1592</v>
      </c>
    </row>
    <row r="22" spans="2:2" x14ac:dyDescent="0.2">
      <c r="B22" t="s">
        <v>1593</v>
      </c>
    </row>
    <row r="23" spans="2:2" x14ac:dyDescent="0.2">
      <c r="B23" t="s">
        <v>1731</v>
      </c>
    </row>
    <row r="24" spans="2:2" x14ac:dyDescent="0.2">
      <c r="B24" t="s">
        <v>1739</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156</v>
      </c>
    </row>
    <row r="2" spans="1:2" x14ac:dyDescent="0.2">
      <c r="A2" s="172"/>
      <c r="B2" t="s">
        <v>1468</v>
      </c>
    </row>
    <row r="3" spans="1:2" x14ac:dyDescent="0.2">
      <c r="A3" s="172"/>
    </row>
    <row r="4" spans="1:2" x14ac:dyDescent="0.2">
      <c r="B4" s="1" t="s">
        <v>1479</v>
      </c>
    </row>
    <row r="5" spans="1:2" x14ac:dyDescent="0.2">
      <c r="B5" s="1" t="s">
        <v>1198</v>
      </c>
    </row>
    <row r="6" spans="1:2" x14ac:dyDescent="0.2">
      <c r="B6" t="s">
        <v>1230</v>
      </c>
    </row>
    <row r="7" spans="1:2" x14ac:dyDescent="0.2">
      <c r="B7" t="s">
        <v>1209</v>
      </c>
    </row>
    <row r="8" spans="1:2" x14ac:dyDescent="0.2">
      <c r="B8" t="s">
        <v>1218</v>
      </c>
    </row>
    <row r="9" spans="1:2" x14ac:dyDescent="0.2">
      <c r="B9" t="s">
        <v>1219</v>
      </c>
    </row>
    <row r="10" spans="1:2" x14ac:dyDescent="0.2">
      <c r="B10" t="s">
        <v>1200</v>
      </c>
    </row>
    <row r="11" spans="1:2" x14ac:dyDescent="0.2">
      <c r="B11" t="s">
        <v>1201</v>
      </c>
    </row>
    <row r="12" spans="1:2" x14ac:dyDescent="0.2">
      <c r="B12" t="s">
        <v>1207</v>
      </c>
    </row>
    <row r="13" spans="1:2" x14ac:dyDescent="0.2">
      <c r="B13" t="s">
        <v>1210</v>
      </c>
    </row>
    <row r="14" spans="1:2" x14ac:dyDescent="0.2">
      <c r="B14" t="s">
        <v>1208</v>
      </c>
    </row>
    <row r="15" spans="1:2" x14ac:dyDescent="0.2">
      <c r="B15" t="s">
        <v>1009</v>
      </c>
    </row>
    <row r="16" spans="1:2" x14ac:dyDescent="0.2">
      <c r="B16" t="s">
        <v>1206</v>
      </c>
    </row>
    <row r="17" spans="2:2" x14ac:dyDescent="0.2">
      <c r="B17" t="s">
        <v>1211</v>
      </c>
    </row>
    <row r="18" spans="2:2" x14ac:dyDescent="0.2">
      <c r="B18" t="s">
        <v>1225</v>
      </c>
    </row>
    <row r="19" spans="2:2" x14ac:dyDescent="0.2">
      <c r="B19" t="s">
        <v>1007</v>
      </c>
    </row>
    <row r="20" spans="2:2" x14ac:dyDescent="0.2">
      <c r="B20" t="s">
        <v>1213</v>
      </c>
    </row>
    <row r="21" spans="2:2" x14ac:dyDescent="0.2">
      <c r="B21" t="s">
        <v>1226</v>
      </c>
    </row>
    <row r="22" spans="2:2" x14ac:dyDescent="0.2">
      <c r="B22" t="s">
        <v>1008</v>
      </c>
    </row>
    <row r="23" spans="2:2" x14ac:dyDescent="0.2">
      <c r="B23" t="s">
        <v>1214</v>
      </c>
    </row>
    <row r="24" spans="2:2" x14ac:dyDescent="0.2">
      <c r="B24" t="s">
        <v>1215</v>
      </c>
    </row>
    <row r="25" spans="2:2" x14ac:dyDescent="0.2">
      <c r="B25" t="s">
        <v>1216</v>
      </c>
    </row>
    <row r="26" spans="2:2" x14ac:dyDescent="0.2">
      <c r="B26" t="s">
        <v>1217</v>
      </c>
    </row>
    <row r="27" spans="2:2" x14ac:dyDescent="0.2">
      <c r="B27" t="s">
        <v>1227</v>
      </c>
    </row>
    <row r="28" spans="2:2" x14ac:dyDescent="0.2">
      <c r="B28" t="s">
        <v>1228</v>
      </c>
    </row>
    <row r="29" spans="2:2" x14ac:dyDescent="0.2">
      <c r="B29" t="s">
        <v>1476</v>
      </c>
    </row>
    <row r="30" spans="2:2" x14ac:dyDescent="0.2">
      <c r="B30" t="s">
        <v>1477</v>
      </c>
    </row>
    <row r="31" spans="2:2" x14ac:dyDescent="0.2">
      <c r="B31" t="s">
        <v>1478</v>
      </c>
    </row>
    <row r="32" spans="2:2" x14ac:dyDescent="0.2">
      <c r="B32" t="s">
        <v>1212</v>
      </c>
    </row>
    <row r="33" spans="2:10" x14ac:dyDescent="0.2">
      <c r="B33" s="56" t="s">
        <v>1467</v>
      </c>
      <c r="J33" s="3"/>
    </row>
    <row r="35" spans="2:10" x14ac:dyDescent="0.2">
      <c r="B35" t="s">
        <v>146</v>
      </c>
    </row>
    <row r="37" spans="2:10" x14ac:dyDescent="0.2">
      <c r="B37" t="s">
        <v>147</v>
      </c>
    </row>
    <row r="38" spans="2:10" x14ac:dyDescent="0.2">
      <c r="B38" t="s">
        <v>148</v>
      </c>
    </row>
    <row r="39" spans="2:10" x14ac:dyDescent="0.2">
      <c r="B39" t="s">
        <v>149</v>
      </c>
    </row>
    <row r="40" spans="2:10" x14ac:dyDescent="0.2">
      <c r="B40" t="s">
        <v>150</v>
      </c>
    </row>
    <row r="44" spans="2:10" x14ac:dyDescent="0.2">
      <c r="B44" s="184" t="s">
        <v>249</v>
      </c>
    </row>
    <row r="45" spans="2:10" x14ac:dyDescent="0.2">
      <c r="B45" t="s">
        <v>1224</v>
      </c>
    </row>
    <row r="46" spans="2:10" x14ac:dyDescent="0.2">
      <c r="B46" t="s">
        <v>1223</v>
      </c>
    </row>
    <row r="47" spans="2:10" x14ac:dyDescent="0.2">
      <c r="B47" t="s">
        <v>1475</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RowHeight="12.75" x14ac:dyDescent="0.2"/>
  <cols>
    <col min="1" max="1" width="5" bestFit="1" customWidth="1"/>
    <col min="2" max="2" width="12.85546875" bestFit="1" customWidth="1"/>
  </cols>
  <sheetData>
    <row r="1" spans="1:3" x14ac:dyDescent="0.2">
      <c r="A1" s="116" t="s">
        <v>156</v>
      </c>
    </row>
    <row r="2" spans="1:3" x14ac:dyDescent="0.2">
      <c r="B2" t="s">
        <v>487</v>
      </c>
      <c r="C2" t="s">
        <v>1513</v>
      </c>
    </row>
    <row r="3" spans="1:3" x14ac:dyDescent="0.2">
      <c r="B3" t="s">
        <v>488</v>
      </c>
      <c r="C3" t="s">
        <v>735</v>
      </c>
    </row>
    <row r="4" spans="1:3" x14ac:dyDescent="0.2">
      <c r="B4" t="s">
        <v>491</v>
      </c>
      <c r="C4" t="s">
        <v>1434</v>
      </c>
    </row>
    <row r="5" spans="1:3" x14ac:dyDescent="0.2">
      <c r="B5" t="s">
        <v>773</v>
      </c>
      <c r="C5" t="s">
        <v>1435</v>
      </c>
    </row>
    <row r="6" spans="1:3" x14ac:dyDescent="0.2">
      <c r="B6" t="s">
        <v>778</v>
      </c>
    </row>
    <row r="7" spans="1:3" x14ac:dyDescent="0.2">
      <c r="C7" s="184" t="s">
        <v>1436</v>
      </c>
    </row>
    <row r="8" spans="1:3" x14ac:dyDescent="0.2">
      <c r="C8" t="s">
        <v>1437</v>
      </c>
    </row>
  </sheetData>
  <hyperlinks>
    <hyperlink ref="A1" location="Main!A1" display="Main" xr:uid="{00000000-0004-0000-12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156</v>
      </c>
      <c r="C1" s="185"/>
      <c r="D1" s="185"/>
      <c r="E1" s="185"/>
      <c r="F1" s="185"/>
      <c r="G1" s="185"/>
      <c r="H1" s="185"/>
      <c r="I1" s="185"/>
      <c r="J1" s="185"/>
      <c r="K1" s="185"/>
      <c r="L1" s="186"/>
      <c r="N1" s="187"/>
      <c r="Q1" s="185"/>
      <c r="R1" s="185"/>
      <c r="S1" s="185"/>
      <c r="T1" s="186"/>
      <c r="U1" s="186"/>
      <c r="V1" s="185"/>
      <c r="AZ1" s="185"/>
      <c r="BA1" s="185"/>
    </row>
    <row r="2" spans="1:62" x14ac:dyDescent="0.2">
      <c r="B2" s="50"/>
      <c r="C2" s="174" t="s">
        <v>275</v>
      </c>
      <c r="D2" s="174" t="s">
        <v>276</v>
      </c>
      <c r="E2" s="174" t="s">
        <v>277</v>
      </c>
      <c r="F2" s="174" t="s">
        <v>278</v>
      </c>
      <c r="G2" s="174" t="s">
        <v>279</v>
      </c>
      <c r="H2" s="174" t="s">
        <v>280</v>
      </c>
      <c r="I2" s="174" t="s">
        <v>281</v>
      </c>
      <c r="J2" s="174" t="s">
        <v>282</v>
      </c>
      <c r="K2" s="174" t="s">
        <v>283</v>
      </c>
      <c r="L2" s="174" t="s">
        <v>284</v>
      </c>
      <c r="M2" s="174" t="s">
        <v>285</v>
      </c>
      <c r="N2" s="174" t="s">
        <v>286</v>
      </c>
      <c r="O2" s="174" t="s">
        <v>287</v>
      </c>
      <c r="P2" s="174" t="s">
        <v>288</v>
      </c>
      <c r="Q2" s="174" t="s">
        <v>289</v>
      </c>
      <c r="R2" s="174" t="s">
        <v>290</v>
      </c>
      <c r="S2" s="174" t="s">
        <v>291</v>
      </c>
      <c r="T2" s="174" t="s">
        <v>292</v>
      </c>
      <c r="U2" s="174" t="s">
        <v>293</v>
      </c>
      <c r="V2" s="174" t="s">
        <v>294</v>
      </c>
      <c r="W2" s="174" t="s">
        <v>295</v>
      </c>
      <c r="X2" s="174" t="s">
        <v>296</v>
      </c>
      <c r="Y2" s="174" t="s">
        <v>297</v>
      </c>
      <c r="Z2" s="174" t="s">
        <v>298</v>
      </c>
      <c r="AA2" s="174" t="s">
        <v>299</v>
      </c>
      <c r="AB2" s="174" t="s">
        <v>300</v>
      </c>
      <c r="AC2" s="174" t="s">
        <v>301</v>
      </c>
      <c r="AD2" s="174" t="s">
        <v>302</v>
      </c>
      <c r="AE2" s="174" t="s">
        <v>303</v>
      </c>
      <c r="AF2" s="174" t="s">
        <v>304</v>
      </c>
      <c r="AG2" s="174" t="s">
        <v>305</v>
      </c>
      <c r="AH2" s="174" t="s">
        <v>306</v>
      </c>
      <c r="AI2" s="174" t="s">
        <v>307</v>
      </c>
      <c r="AJ2" s="174" t="s">
        <v>308</v>
      </c>
      <c r="AK2" s="174" t="s">
        <v>309</v>
      </c>
      <c r="AL2" s="174" t="s">
        <v>310</v>
      </c>
      <c r="AM2" s="174" t="s">
        <v>263</v>
      </c>
      <c r="AN2" s="174" t="s">
        <v>311</v>
      </c>
      <c r="AO2" s="174" t="s">
        <v>312</v>
      </c>
      <c r="AP2" s="174" t="s">
        <v>313</v>
      </c>
      <c r="AQ2" s="174" t="s">
        <v>314</v>
      </c>
      <c r="AR2" s="174" t="s">
        <v>315</v>
      </c>
      <c r="AS2" s="174" t="s">
        <v>316</v>
      </c>
      <c r="AT2" s="174" t="s">
        <v>317</v>
      </c>
      <c r="AU2" s="174" t="s">
        <v>1307</v>
      </c>
      <c r="AV2" s="174" t="s">
        <v>1308</v>
      </c>
      <c r="AW2" s="174" t="s">
        <v>1309</v>
      </c>
      <c r="AX2" s="174" t="s">
        <v>1310</v>
      </c>
      <c r="AY2" s="174"/>
      <c r="AZ2" s="186">
        <v>1999</v>
      </c>
      <c r="BA2" s="186">
        <v>2000</v>
      </c>
      <c r="BB2" s="186">
        <v>2001</v>
      </c>
      <c r="BC2" s="186">
        <v>2002</v>
      </c>
      <c r="BD2" s="186">
        <v>2003</v>
      </c>
      <c r="BE2" s="186">
        <v>2004</v>
      </c>
      <c r="BF2" s="186">
        <v>2005</v>
      </c>
      <c r="BG2" s="186">
        <v>2006</v>
      </c>
      <c r="BH2" s="186">
        <v>2007</v>
      </c>
      <c r="BI2" s="186">
        <v>2008</v>
      </c>
      <c r="BJ2" s="186" t="s">
        <v>513</v>
      </c>
    </row>
    <row r="3" spans="1:62" s="50" customFormat="1" x14ac:dyDescent="0.2">
      <c r="B3" s="51" t="s">
        <v>145</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586</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584</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1004</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586</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584</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1017</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586</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584</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1016</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586</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584</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1005</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586</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584</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1018</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1006</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584</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1021</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1006</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584</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1022</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1023</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1024</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1019</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1023</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1024</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1020</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1023</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1024</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1005</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1023</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1024</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1025</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1023</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1024</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1203</v>
      </c>
      <c r="AR41" s="183">
        <v>3.1E-2</v>
      </c>
    </row>
    <row r="42" spans="2:62" x14ac:dyDescent="0.2">
      <c r="B42" s="48" t="s">
        <v>1204</v>
      </c>
      <c r="AR42" s="183">
        <f>AR38-AR41</f>
        <v>-7.6094152626362738E-2</v>
      </c>
    </row>
    <row r="43" spans="2:62" x14ac:dyDescent="0.2">
      <c r="B43" s="48" t="s">
        <v>1202</v>
      </c>
      <c r="AR43" s="183">
        <v>4.7E-2</v>
      </c>
    </row>
    <row r="44" spans="2:62" x14ac:dyDescent="0.2">
      <c r="B44" s="48" t="s">
        <v>1205</v>
      </c>
      <c r="AR44" s="183">
        <f>AR40-AR43</f>
        <v>-0.13068915456874469</v>
      </c>
    </row>
    <row r="45" spans="2:62" x14ac:dyDescent="0.2">
      <c r="B45" s="48" t="s">
        <v>1469</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1470</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1471</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1472</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1473</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1474</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1229</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156</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279</v>
      </c>
      <c r="D2" s="62" t="s">
        <v>280</v>
      </c>
      <c r="E2" s="62" t="s">
        <v>281</v>
      </c>
      <c r="F2" s="62" t="s">
        <v>282</v>
      </c>
      <c r="G2" s="62" t="s">
        <v>283</v>
      </c>
      <c r="H2" s="62" t="s">
        <v>284</v>
      </c>
      <c r="I2" s="62" t="s">
        <v>285</v>
      </c>
      <c r="J2" s="62" t="s">
        <v>286</v>
      </c>
      <c r="K2" s="62" t="s">
        <v>287</v>
      </c>
      <c r="L2" s="62" t="s">
        <v>288</v>
      </c>
      <c r="M2" s="62" t="s">
        <v>289</v>
      </c>
      <c r="N2" s="62" t="s">
        <v>290</v>
      </c>
      <c r="O2" s="62" t="s">
        <v>291</v>
      </c>
      <c r="P2" s="62" t="s">
        <v>292</v>
      </c>
      <c r="Q2" s="62" t="s">
        <v>293</v>
      </c>
      <c r="R2" s="62" t="s">
        <v>294</v>
      </c>
      <c r="S2" s="62" t="s">
        <v>295</v>
      </c>
      <c r="T2" s="62" t="s">
        <v>296</v>
      </c>
      <c r="U2" s="62" t="s">
        <v>297</v>
      </c>
      <c r="V2" s="62" t="s">
        <v>298</v>
      </c>
      <c r="W2" s="62" t="s">
        <v>299</v>
      </c>
      <c r="X2" s="62" t="s">
        <v>300</v>
      </c>
      <c r="Y2" s="62" t="s">
        <v>301</v>
      </c>
      <c r="Z2" s="224"/>
      <c r="AA2" s="63">
        <v>2000</v>
      </c>
      <c r="AB2" s="225">
        <v>2001</v>
      </c>
      <c r="AC2" s="225">
        <v>2002</v>
      </c>
      <c r="AD2" s="225">
        <v>2003</v>
      </c>
      <c r="AE2" s="63">
        <v>2004</v>
      </c>
      <c r="AF2" s="63">
        <v>2005</v>
      </c>
      <c r="AG2" s="226">
        <v>2006</v>
      </c>
      <c r="AH2" s="226">
        <v>2007</v>
      </c>
      <c r="AI2" s="224"/>
      <c r="AJ2" s="224"/>
      <c r="AK2" s="224"/>
    </row>
    <row r="3" spans="1:37" x14ac:dyDescent="0.2">
      <c r="B3" s="58" t="s">
        <v>1281</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584</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1100</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584</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585</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1101</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584</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585</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236</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584</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585</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231</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584</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585</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335</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584</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585</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1089</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584</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585</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1087</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584</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585</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1093</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584</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585</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1102</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584</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585</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1103</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584</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585</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1193</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101</v>
      </c>
      <c r="C71" s="79">
        <f>+C72+C73</f>
        <v>950</v>
      </c>
      <c r="D71" s="79">
        <f>+D72+D73</f>
        <v>965</v>
      </c>
      <c r="E71" s="79"/>
      <c r="F71" s="79"/>
      <c r="G71" s="79"/>
      <c r="H71" s="79">
        <v>494</v>
      </c>
      <c r="I71" s="79"/>
      <c r="J71" s="79"/>
      <c r="K71" s="79"/>
      <c r="L71" s="79"/>
      <c r="M71" s="79"/>
      <c r="N71" s="79"/>
      <c r="O71" s="79"/>
      <c r="P71" s="79"/>
      <c r="Q71" s="79"/>
    </row>
    <row r="72" spans="2:17" x14ac:dyDescent="0.2">
      <c r="B72" s="77" t="s">
        <v>79</v>
      </c>
      <c r="C72" s="79">
        <v>550</v>
      </c>
      <c r="D72" s="79">
        <f>635-75</f>
        <v>560</v>
      </c>
      <c r="E72" s="92"/>
      <c r="F72" s="92"/>
      <c r="G72" s="92"/>
      <c r="H72" s="92">
        <v>261</v>
      </c>
      <c r="I72" s="92"/>
      <c r="J72" s="92"/>
      <c r="K72" s="92"/>
      <c r="L72" s="92"/>
      <c r="M72" s="92"/>
      <c r="N72" s="92"/>
      <c r="O72" s="92"/>
      <c r="P72" s="92"/>
      <c r="Q72" s="92"/>
    </row>
    <row r="73" spans="2:17" x14ac:dyDescent="0.2">
      <c r="B73" s="77" t="s">
        <v>80</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102</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79</v>
      </c>
      <c r="C76" s="79"/>
      <c r="D76" s="79"/>
      <c r="E76" s="92"/>
      <c r="F76" s="92"/>
      <c r="G76"/>
      <c r="H76" s="92"/>
      <c r="I76" s="92"/>
      <c r="J76" s="92"/>
      <c r="K76" s="92">
        <f>2+3</f>
        <v>5</v>
      </c>
      <c r="L76" s="92">
        <v>10</v>
      </c>
      <c r="M76" s="92">
        <v>16</v>
      </c>
      <c r="N76" s="92">
        <v>20</v>
      </c>
      <c r="O76" s="92">
        <v>25</v>
      </c>
      <c r="P76" s="92">
        <v>30</v>
      </c>
      <c r="Q76" s="92">
        <v>35</v>
      </c>
    </row>
    <row r="77" spans="2:17" x14ac:dyDescent="0.2">
      <c r="B77" s="77" t="s">
        <v>80</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1105</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79</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80</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103</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79</v>
      </c>
      <c r="C84" s="88">
        <f>Ethicon!C26+EndoSurgery!C29+LifeScan!B10+Vision!C10+Diagnostics!C9+DePuy!C16+Interventional!B69+C72+C76+C80</f>
        <v>3635</v>
      </c>
      <c r="D84" s="88">
        <f>Ethicon!D26+EndoSurgery!D29+LifeScan!C10+Vision!D10+Diagnostics!D9+DePuy!D16+Interventional!C69+D72+D76+D80</f>
        <v>4378.217391304348</v>
      </c>
      <c r="E84" s="88">
        <f>Ethicon!E26+EndoSurgery!E29+LifeScan!D10+Vision!E10+Diagnostics!E9+DePuy!E16+Interventional!D69+E72+E76+E80</f>
        <v>4041.4009999999998</v>
      </c>
      <c r="F84" s="88">
        <f>Ethicon!F26+EndoSurgery!F29+LifeScan!E10+Vision!F10+Diagnostics!F9+DePuy!F16+Interventional!E69+F72+F76+F80</f>
        <v>3933.4908300000002</v>
      </c>
      <c r="G84" s="88"/>
      <c r="H84" s="88"/>
      <c r="I84" s="88"/>
      <c r="J84" s="88"/>
      <c r="K84" s="88"/>
      <c r="L84" s="88"/>
      <c r="M84" s="88"/>
      <c r="N84" s="88"/>
      <c r="O84" s="88"/>
      <c r="P84" s="88"/>
      <c r="Q84" s="88"/>
    </row>
    <row r="85" spans="2:17" x14ac:dyDescent="0.2">
      <c r="B85" s="89" t="s">
        <v>80</v>
      </c>
      <c r="C85" s="90">
        <f>Ethicon!C27+EndoSurgery!C30+LifeScan!B11+Vision!C11+Diagnostics!C10+DePuy!C17+Interventional!B70+C73+C77+C81</f>
        <v>3102</v>
      </c>
      <c r="D85" s="90">
        <f>Ethicon!D27+EndoSurgery!D30+LifeScan!C11+Vision!D11+Diagnostics!D10+DePuy!D17+Interventional!C70+D73+D77+D81</f>
        <v>3689.9734513274334</v>
      </c>
      <c r="E85" s="90">
        <f>Ethicon!E27+EndoSurgery!E30+LifeScan!D11+Vision!E11+Diagnostics!E10+DePuy!E17+Interventional!D70+E73+E77+E81</f>
        <v>3318.0199999999995</v>
      </c>
      <c r="F85" s="90">
        <f>Ethicon!F27+EndoSurgery!F30+LifeScan!E11+Vision!F11+Diagnostics!F10+DePuy!F17+Interventional!E70+F73+F77+F81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156</v>
      </c>
    </row>
    <row r="2" spans="1:32" ht="12.75" customHeight="1" x14ac:dyDescent="0.2">
      <c r="B2" s="110" t="s">
        <v>1010</v>
      </c>
    </row>
    <row r="3" spans="1:32" ht="12.75" customHeight="1" x14ac:dyDescent="0.2">
      <c r="B3" s="110" t="s">
        <v>1012</v>
      </c>
    </row>
    <row r="4" spans="1:32" ht="12.75" customHeight="1" x14ac:dyDescent="0.2">
      <c r="B4" s="110" t="s">
        <v>1013</v>
      </c>
    </row>
    <row r="6" spans="1:32" ht="12.75" customHeight="1" x14ac:dyDescent="0.2">
      <c r="B6" s="110" t="s">
        <v>1011</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93</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79</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80</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94</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79</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80</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95</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96</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584</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5703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156</v>
      </c>
    </row>
    <row r="2" spans="1:45" ht="13.5" customHeight="1" x14ac:dyDescent="0.2">
      <c r="C2" s="83">
        <v>1999</v>
      </c>
      <c r="D2" s="83">
        <v>2000</v>
      </c>
      <c r="E2" s="83">
        <v>2001</v>
      </c>
      <c r="F2" s="83">
        <v>2002</v>
      </c>
      <c r="G2" s="83">
        <v>2003</v>
      </c>
      <c r="H2" s="83">
        <v>2004</v>
      </c>
      <c r="I2" s="29" t="s">
        <v>769</v>
      </c>
      <c r="J2" s="29" t="s">
        <v>770</v>
      </c>
      <c r="K2" s="29" t="s">
        <v>771</v>
      </c>
      <c r="L2" s="29" t="s">
        <v>512</v>
      </c>
      <c r="N2" s="29" t="s">
        <v>976</v>
      </c>
      <c r="O2" s="29" t="s">
        <v>977</v>
      </c>
      <c r="P2" s="29" t="s">
        <v>978</v>
      </c>
      <c r="Q2" s="29" t="s">
        <v>979</v>
      </c>
      <c r="R2" s="29" t="s">
        <v>980</v>
      </c>
      <c r="S2" s="29" t="s">
        <v>981</v>
      </c>
      <c r="T2" s="29" t="s">
        <v>982</v>
      </c>
      <c r="U2" s="29" t="s">
        <v>983</v>
      </c>
      <c r="V2" s="29" t="s">
        <v>984</v>
      </c>
      <c r="W2" s="29" t="s">
        <v>985</v>
      </c>
      <c r="X2" s="29" t="s">
        <v>986</v>
      </c>
      <c r="Y2" s="29" t="s">
        <v>995</v>
      </c>
      <c r="Z2" s="29" t="s">
        <v>996</v>
      </c>
      <c r="AA2" s="29" t="s">
        <v>997</v>
      </c>
      <c r="AB2" s="29" t="s">
        <v>998</v>
      </c>
      <c r="AC2" s="29" t="s">
        <v>999</v>
      </c>
      <c r="AD2" s="29" t="s">
        <v>1000</v>
      </c>
      <c r="AE2" s="29" t="s">
        <v>1001</v>
      </c>
      <c r="AF2" s="29" t="s">
        <v>1002</v>
      </c>
      <c r="AG2" s="29" t="s">
        <v>1003</v>
      </c>
      <c r="AH2" s="29" t="s">
        <v>828</v>
      </c>
      <c r="AI2" s="29" t="s">
        <v>829</v>
      </c>
      <c r="AJ2" s="29" t="s">
        <v>830</v>
      </c>
      <c r="AK2" s="29" t="s">
        <v>831</v>
      </c>
      <c r="AL2" s="29" t="s">
        <v>832</v>
      </c>
      <c r="AM2" s="29" t="s">
        <v>833</v>
      </c>
      <c r="AN2" s="29" t="s">
        <v>42</v>
      </c>
      <c r="AO2" s="29" t="s">
        <v>834</v>
      </c>
      <c r="AP2" s="29" t="s">
        <v>881</v>
      </c>
      <c r="AQ2" s="29" t="s">
        <v>882</v>
      </c>
      <c r="AR2" s="29" t="s">
        <v>883</v>
      </c>
      <c r="AS2" s="29" t="s">
        <v>884</v>
      </c>
    </row>
    <row r="3" spans="1:45" ht="13.5" customHeight="1" x14ac:dyDescent="0.2">
      <c r="B3" s="38" t="s">
        <v>1249</v>
      </c>
      <c r="C3" s="29">
        <f>D3/1.057</f>
        <v>999.34432304941652</v>
      </c>
      <c r="D3" s="29">
        <v>1056.3069494632332</v>
      </c>
      <c r="R3" s="29">
        <v>264.49937629937631</v>
      </c>
      <c r="S3" s="29">
        <v>258.70371346956711</v>
      </c>
      <c r="T3" s="29">
        <v>259.68214285714288</v>
      </c>
      <c r="U3" s="29">
        <v>273.74224021592443</v>
      </c>
    </row>
    <row r="4" spans="1:45" ht="13.5" customHeight="1" x14ac:dyDescent="0.2">
      <c r="B4" s="82" t="s">
        <v>619</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827</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971</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972</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973</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43</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44</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45</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619</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827</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974</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975</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46</v>
      </c>
    </row>
    <row r="19" spans="2:45" ht="13.5" customHeight="1" x14ac:dyDescent="0.2">
      <c r="B19" s="82" t="s">
        <v>47</v>
      </c>
    </row>
    <row r="20" spans="2:45" ht="13.5" customHeight="1" x14ac:dyDescent="0.2">
      <c r="B20" s="82" t="s">
        <v>48</v>
      </c>
    </row>
    <row r="22" spans="2:45" ht="13.5" customHeight="1" x14ac:dyDescent="0.2">
      <c r="B22" s="82" t="s">
        <v>49</v>
      </c>
    </row>
    <row r="23" spans="2:45" ht="13.5" customHeight="1" x14ac:dyDescent="0.2">
      <c r="B23" s="82" t="s">
        <v>1250</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RowHeight="12.75" x14ac:dyDescent="0.2"/>
  <sheetData>
    <row r="2" spans="1:31" x14ac:dyDescent="0.2">
      <c r="A2" s="45"/>
      <c r="B2" s="45">
        <v>2002</v>
      </c>
      <c r="C2" s="45">
        <v>2003</v>
      </c>
      <c r="D2" s="45">
        <v>2004</v>
      </c>
      <c r="E2" s="46" t="s">
        <v>769</v>
      </c>
      <c r="F2" s="46" t="s">
        <v>770</v>
      </c>
      <c r="G2" s="46" t="s">
        <v>771</v>
      </c>
      <c r="H2" s="47" t="s">
        <v>512</v>
      </c>
    </row>
    <row r="3" spans="1:31" x14ac:dyDescent="0.2">
      <c r="A3" t="s">
        <v>1090</v>
      </c>
      <c r="B3">
        <v>23.6</v>
      </c>
      <c r="C3">
        <v>34.119999999999997</v>
      </c>
      <c r="D3">
        <v>67.930000000000007</v>
      </c>
      <c r="E3" t="s">
        <v>1091</v>
      </c>
    </row>
    <row r="5" spans="1:31" x14ac:dyDescent="0.2">
      <c r="B5" t="s">
        <v>1092</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1089</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79</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80</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156</v>
      </c>
    </row>
    <row r="2" spans="1:32" ht="12.75" customHeight="1" x14ac:dyDescent="0.2">
      <c r="B2" s="70"/>
      <c r="C2" s="158"/>
      <c r="D2" s="158"/>
      <c r="E2" s="158"/>
      <c r="F2" s="158"/>
      <c r="G2" s="158"/>
      <c r="H2" s="158"/>
      <c r="I2" s="158"/>
    </row>
    <row r="3" spans="1:32" ht="12.75" customHeight="1" x14ac:dyDescent="0.2">
      <c r="B3" t="s">
        <v>1413</v>
      </c>
    </row>
    <row r="4" spans="1:32" ht="12.75" customHeight="1" x14ac:dyDescent="0.2">
      <c r="B4" t="s">
        <v>1094</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1104</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79</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80</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0"/>
  <sheetViews>
    <sheetView zoomScaleNormal="100" workbookViewId="0"/>
  </sheetViews>
  <sheetFormatPr defaultColWidth="9.140625" defaultRowHeight="12.75" x14ac:dyDescent="0.2"/>
  <cols>
    <col min="1" max="1" width="5" style="93" customWidth="1"/>
    <col min="2" max="2" width="27.28515625" style="93" customWidth="1"/>
    <col min="3" max="16384" width="9.140625" style="93"/>
  </cols>
  <sheetData>
    <row r="1" spans="1:12" x14ac:dyDescent="0.2">
      <c r="A1" s="5" t="s">
        <v>156</v>
      </c>
    </row>
    <row r="2" spans="1:12" x14ac:dyDescent="0.2">
      <c r="A2" s="5"/>
      <c r="B2" s="93" t="s">
        <v>1324</v>
      </c>
    </row>
    <row r="3" spans="1:12" x14ac:dyDescent="0.2">
      <c r="A3" s="5"/>
      <c r="B3" s="93" t="s">
        <v>1325</v>
      </c>
    </row>
    <row r="4" spans="1:12" x14ac:dyDescent="0.2">
      <c r="A4" s="5"/>
      <c r="B4" s="93" t="s">
        <v>1893</v>
      </c>
    </row>
    <row r="5" spans="1:12" x14ac:dyDescent="0.2">
      <c r="A5" s="5"/>
    </row>
    <row r="6" spans="1:12" x14ac:dyDescent="0.2">
      <c r="A6" s="5"/>
      <c r="B6" s="93" t="s">
        <v>1326</v>
      </c>
    </row>
    <row r="7" spans="1:12" x14ac:dyDescent="0.2">
      <c r="A7" s="5"/>
      <c r="B7" s="93" t="s">
        <v>1321</v>
      </c>
    </row>
    <row r="8" spans="1:12" x14ac:dyDescent="0.2">
      <c r="A8" s="5"/>
      <c r="B8" s="93" t="s">
        <v>1322</v>
      </c>
    </row>
    <row r="9" spans="1:12" x14ac:dyDescent="0.2">
      <c r="A9" s="5"/>
      <c r="B9" s="93" t="s">
        <v>1323</v>
      </c>
    </row>
    <row r="10" spans="1:12" x14ac:dyDescent="0.2">
      <c r="A10" s="5"/>
      <c r="B10" s="93" t="s">
        <v>1405</v>
      </c>
    </row>
    <row r="11" spans="1:12" x14ac:dyDescent="0.2">
      <c r="A11" s="5"/>
    </row>
    <row r="12" spans="1:12" s="39" customFormat="1" x14ac:dyDescent="0.2">
      <c r="C12" s="249">
        <v>2002</v>
      </c>
      <c r="D12" s="249">
        <v>2003</v>
      </c>
      <c r="E12" s="249">
        <v>2004</v>
      </c>
      <c r="F12" s="249">
        <v>2005</v>
      </c>
      <c r="G12" s="249">
        <v>2006</v>
      </c>
      <c r="H12" s="249">
        <v>2007</v>
      </c>
      <c r="I12" s="249">
        <v>2008</v>
      </c>
      <c r="J12" s="249">
        <v>2009</v>
      </c>
      <c r="K12" s="249">
        <v>2010</v>
      </c>
      <c r="L12" s="249"/>
    </row>
    <row r="13" spans="1:12" s="96" customFormat="1" x14ac:dyDescent="0.2">
      <c r="B13" s="96" t="s">
        <v>1106</v>
      </c>
      <c r="C13" s="250"/>
      <c r="D13" s="250"/>
      <c r="E13" s="250"/>
      <c r="F13" s="250"/>
      <c r="G13" s="250"/>
      <c r="H13" s="250"/>
      <c r="I13" s="250"/>
      <c r="J13" s="177"/>
      <c r="K13" s="177"/>
      <c r="L13" s="177"/>
    </row>
    <row r="14" spans="1:12" s="96" customFormat="1" x14ac:dyDescent="0.2">
      <c r="B14" s="96" t="s">
        <v>1107</v>
      </c>
      <c r="C14" s="250">
        <f>'MD&amp;D'!AC6</f>
        <v>344.5</v>
      </c>
      <c r="D14" s="250">
        <f>'MD&amp;D'!AD6</f>
        <v>524</v>
      </c>
      <c r="E14" s="250">
        <f>'MD&amp;D'!AE6</f>
        <v>654.20000000000005</v>
      </c>
      <c r="F14" s="250"/>
      <c r="G14" s="250"/>
      <c r="H14" s="250"/>
      <c r="I14" s="250"/>
      <c r="J14" s="177"/>
      <c r="K14" s="177"/>
      <c r="L14" s="177"/>
    </row>
    <row r="15" spans="1:12" s="96" customFormat="1" x14ac:dyDescent="0.2">
      <c r="B15" s="96" t="s">
        <v>1108</v>
      </c>
      <c r="C15" s="250">
        <f>'MD&amp;D'!AC9</f>
        <v>155</v>
      </c>
      <c r="D15" s="250">
        <f>'MD&amp;D'!AD9</f>
        <v>0</v>
      </c>
      <c r="E15" s="250">
        <f>'MD&amp;D'!AE9</f>
        <v>0</v>
      </c>
      <c r="F15" s="250"/>
      <c r="G15" s="250"/>
      <c r="H15" s="250"/>
      <c r="I15" s="250"/>
      <c r="J15" s="177"/>
      <c r="K15" s="177"/>
      <c r="L15" s="177"/>
    </row>
    <row r="16" spans="1:12" s="96" customFormat="1" x14ac:dyDescent="0.2">
      <c r="B16" s="96" t="s">
        <v>1109</v>
      </c>
      <c r="C16" s="250"/>
      <c r="D16" s="250"/>
      <c r="E16" s="250"/>
      <c r="F16" s="250">
        <v>2602</v>
      </c>
      <c r="G16" s="250">
        <v>2905</v>
      </c>
      <c r="H16" s="250">
        <v>2599</v>
      </c>
      <c r="I16" s="250">
        <v>1864</v>
      </c>
      <c r="J16" s="250">
        <v>1420</v>
      </c>
      <c r="K16" s="250">
        <v>1283</v>
      </c>
      <c r="L16" s="177"/>
    </row>
    <row r="17" spans="2:12" s="96" customFormat="1" x14ac:dyDescent="0.2">
      <c r="B17" s="96" t="s">
        <v>1110</v>
      </c>
      <c r="C17" s="250">
        <f>'MD&amp;D'!AC7</f>
        <v>738.8</v>
      </c>
      <c r="D17" s="250">
        <f>'MD&amp;D'!AD7</f>
        <v>1120</v>
      </c>
      <c r="E17" s="250">
        <f>'MD&amp;D'!AE7</f>
        <v>1301.3000000000002</v>
      </c>
      <c r="F17" s="250"/>
      <c r="G17" s="250"/>
      <c r="H17" s="250"/>
      <c r="I17" s="250"/>
      <c r="J17" s="177"/>
      <c r="K17" s="177"/>
      <c r="L17" s="177"/>
    </row>
    <row r="18" spans="2:12" s="96" customFormat="1" x14ac:dyDescent="0.2">
      <c r="B18" s="96" t="s">
        <v>1111</v>
      </c>
      <c r="C18" s="250"/>
      <c r="D18" s="250"/>
      <c r="E18" s="250"/>
      <c r="F18" s="250"/>
      <c r="G18" s="250"/>
      <c r="H18" s="250"/>
      <c r="I18" s="250"/>
      <c r="J18" s="250">
        <v>2700</v>
      </c>
      <c r="K18" s="250"/>
      <c r="L18" s="177"/>
    </row>
    <row r="19" spans="2:12" s="96" customFormat="1" x14ac:dyDescent="0.2">
      <c r="C19" s="250"/>
      <c r="D19" s="250"/>
      <c r="E19" s="250"/>
      <c r="F19" s="250"/>
      <c r="G19" s="250"/>
      <c r="H19" s="250"/>
      <c r="I19" s="250"/>
      <c r="J19" s="177"/>
      <c r="K19" s="177"/>
      <c r="L19" s="177"/>
    </row>
    <row r="20" spans="2:12" s="96" customFormat="1" x14ac:dyDescent="0.2">
      <c r="B20" s="96" t="s">
        <v>1112</v>
      </c>
      <c r="C20" s="250"/>
      <c r="D20" s="250"/>
      <c r="E20" s="250"/>
      <c r="F20" s="250"/>
      <c r="G20" s="250" t="s">
        <v>1113</v>
      </c>
      <c r="H20" s="250"/>
      <c r="I20" s="250"/>
      <c r="J20" s="177"/>
      <c r="K20" s="177"/>
      <c r="L20" s="177"/>
    </row>
    <row r="21" spans="2:12" s="96" customFormat="1" x14ac:dyDescent="0.2">
      <c r="B21" s="96" t="s">
        <v>1114</v>
      </c>
      <c r="C21" s="250"/>
      <c r="D21" s="250"/>
      <c r="E21" s="250"/>
      <c r="F21" s="250"/>
      <c r="G21" s="251" t="s">
        <v>1115</v>
      </c>
      <c r="H21" s="251"/>
      <c r="I21" s="251"/>
      <c r="J21" s="177"/>
      <c r="K21" s="177"/>
      <c r="L21" s="177"/>
    </row>
    <row r="22" spans="2:12" s="96" customFormat="1" x14ac:dyDescent="0.2">
      <c r="B22" s="96" t="s">
        <v>1116</v>
      </c>
      <c r="C22" s="250"/>
      <c r="D22" s="250"/>
      <c r="E22" s="250"/>
      <c r="F22" s="250">
        <v>2351</v>
      </c>
      <c r="G22" s="250">
        <v>2245</v>
      </c>
      <c r="H22" s="250">
        <v>2151</v>
      </c>
      <c r="I22" s="250">
        <v>1875</v>
      </c>
      <c r="J22" s="250">
        <v>1719</v>
      </c>
      <c r="K22" s="250">
        <v>1619</v>
      </c>
      <c r="L22" s="177"/>
    </row>
    <row r="23" spans="2:12" x14ac:dyDescent="0.2">
      <c r="C23" s="252"/>
      <c r="D23" s="252"/>
      <c r="E23" s="252"/>
      <c r="F23" s="252"/>
      <c r="G23" s="252"/>
      <c r="H23" s="252"/>
      <c r="I23" s="252"/>
      <c r="J23" s="252"/>
      <c r="K23" s="252"/>
      <c r="L23" s="252"/>
    </row>
    <row r="24" spans="2:12" x14ac:dyDescent="0.2">
      <c r="B24" s="93" t="s">
        <v>1117</v>
      </c>
    </row>
    <row r="25" spans="2:12" x14ac:dyDescent="0.2">
      <c r="B25" s="93" t="s">
        <v>0</v>
      </c>
    </row>
    <row r="26" spans="2:12" x14ac:dyDescent="0.2">
      <c r="B26" s="93" t="s">
        <v>1</v>
      </c>
    </row>
    <row r="27" spans="2:12" x14ac:dyDescent="0.2">
      <c r="B27" s="93" t="s">
        <v>2</v>
      </c>
    </row>
    <row r="29" spans="2:12" x14ac:dyDescent="0.2">
      <c r="B29" s="93" t="s">
        <v>3</v>
      </c>
    </row>
    <row r="30" spans="2:12" x14ac:dyDescent="0.2">
      <c r="B30" s="93" t="s">
        <v>4</v>
      </c>
    </row>
    <row r="32" spans="2:12" x14ac:dyDescent="0.2">
      <c r="B32" s="93" t="s">
        <v>5</v>
      </c>
    </row>
    <row r="33" spans="2:3" x14ac:dyDescent="0.2">
      <c r="C33" s="93" t="s">
        <v>6</v>
      </c>
    </row>
    <row r="34" spans="2:3" x14ac:dyDescent="0.2">
      <c r="C34" s="93" t="s">
        <v>7</v>
      </c>
    </row>
    <row r="35" spans="2:3" x14ac:dyDescent="0.2">
      <c r="C35" s="93" t="s">
        <v>8</v>
      </c>
    </row>
    <row r="37" spans="2:3" x14ac:dyDescent="0.2">
      <c r="B37" s="93" t="s">
        <v>9</v>
      </c>
    </row>
    <row r="38" spans="2:3" x14ac:dyDescent="0.2">
      <c r="B38" s="93" t="s">
        <v>34</v>
      </c>
    </row>
    <row r="40" spans="2:3" x14ac:dyDescent="0.2">
      <c r="B40" s="93" t="s">
        <v>35</v>
      </c>
    </row>
    <row r="41" spans="2:3" x14ac:dyDescent="0.2">
      <c r="B41" s="93" t="s">
        <v>36</v>
      </c>
    </row>
    <row r="42" spans="2:3" x14ac:dyDescent="0.2">
      <c r="B42" s="93" t="s">
        <v>37</v>
      </c>
    </row>
    <row r="44" spans="2:3" x14ac:dyDescent="0.2">
      <c r="B44" s="9" t="s">
        <v>38</v>
      </c>
    </row>
    <row r="45" spans="2:3" x14ac:dyDescent="0.2">
      <c r="B45" s="93" t="s">
        <v>39</v>
      </c>
    </row>
    <row r="46" spans="2:3" x14ac:dyDescent="0.2">
      <c r="B46" s="93" t="s">
        <v>40</v>
      </c>
    </row>
    <row r="47" spans="2:3" x14ac:dyDescent="0.2">
      <c r="B47" s="93" t="s">
        <v>41</v>
      </c>
    </row>
    <row r="48" spans="2:3" x14ac:dyDescent="0.2">
      <c r="B48" s="13" t="s">
        <v>888</v>
      </c>
    </row>
    <row r="50" spans="1:31" x14ac:dyDescent="0.2">
      <c r="B50" s="30" t="s">
        <v>889</v>
      </c>
    </row>
    <row r="54" spans="1:31" s="110" customFormat="1" x14ac:dyDescent="0.2">
      <c r="B54" s="110">
        <v>1995</v>
      </c>
      <c r="C54" s="110">
        <f t="shared" ref="C54:P54" si="0">B54+1</f>
        <v>1996</v>
      </c>
      <c r="D54" s="110">
        <f t="shared" si="0"/>
        <v>1997</v>
      </c>
      <c r="E54" s="110">
        <f t="shared" si="0"/>
        <v>1998</v>
      </c>
      <c r="F54" s="110">
        <f t="shared" si="0"/>
        <v>1999</v>
      </c>
      <c r="G54" s="110">
        <f t="shared" si="0"/>
        <v>2000</v>
      </c>
      <c r="H54" s="110">
        <f t="shared" si="0"/>
        <v>2001</v>
      </c>
      <c r="I54" s="110">
        <f t="shared" si="0"/>
        <v>2002</v>
      </c>
      <c r="J54" s="110">
        <f t="shared" si="0"/>
        <v>2003</v>
      </c>
      <c r="K54" s="110">
        <f t="shared" si="0"/>
        <v>2004</v>
      </c>
      <c r="L54" s="110">
        <f t="shared" si="0"/>
        <v>2005</v>
      </c>
      <c r="M54" s="110">
        <f t="shared" si="0"/>
        <v>2006</v>
      </c>
      <c r="N54" s="110">
        <f t="shared" si="0"/>
        <v>2007</v>
      </c>
      <c r="O54" s="110">
        <f t="shared" si="0"/>
        <v>2008</v>
      </c>
      <c r="P54" s="110">
        <f t="shared" si="0"/>
        <v>2009</v>
      </c>
    </row>
    <row r="55" spans="1:31" s="110" customFormat="1" x14ac:dyDescent="0.2">
      <c r="A55" s="1" t="s">
        <v>229</v>
      </c>
      <c r="B55" s="198"/>
      <c r="C55" s="198"/>
      <c r="D55" s="340"/>
      <c r="E55" s="198"/>
      <c r="F55" s="198"/>
      <c r="G55" s="198"/>
      <c r="H55" s="198"/>
      <c r="I55" s="198"/>
      <c r="J55" s="221"/>
      <c r="K55" s="221"/>
      <c r="L55" s="221"/>
      <c r="M55" s="221"/>
      <c r="N55" s="221"/>
      <c r="O55" s="221"/>
      <c r="P55" s="221"/>
      <c r="Q55" s="198"/>
      <c r="R55" s="197"/>
      <c r="S55" s="197"/>
      <c r="T55" s="197"/>
      <c r="U55" s="197"/>
      <c r="V55" s="197"/>
      <c r="W55" s="197"/>
      <c r="X55" s="197"/>
      <c r="Y55" s="197"/>
      <c r="Z55" s="197"/>
      <c r="AA55" s="197"/>
      <c r="AB55" s="197"/>
      <c r="AC55" s="197"/>
      <c r="AD55" s="197"/>
      <c r="AE55" s="197"/>
    </row>
    <row r="56" spans="1:31" s="110" customFormat="1" x14ac:dyDescent="0.2">
      <c r="A56" s="110" t="s">
        <v>97</v>
      </c>
      <c r="B56" s="198">
        <f t="shared" ref="B56:P56" si="1">B57+B58</f>
        <v>450</v>
      </c>
      <c r="C56" s="198">
        <f t="shared" si="1"/>
        <v>700</v>
      </c>
      <c r="D56" s="198">
        <f t="shared" si="1"/>
        <v>600</v>
      </c>
      <c r="E56" s="198">
        <f t="shared" si="1"/>
        <v>207</v>
      </c>
      <c r="F56" s="198">
        <f t="shared" si="1"/>
        <v>201</v>
      </c>
      <c r="G56" s="198">
        <f t="shared" si="1"/>
        <v>240</v>
      </c>
      <c r="H56" s="198">
        <f t="shared" si="1"/>
        <v>444</v>
      </c>
      <c r="I56" s="198">
        <f t="shared" si="1"/>
        <v>610</v>
      </c>
      <c r="J56" s="198" t="e">
        <f t="shared" si="1"/>
        <v>#REF!</v>
      </c>
      <c r="K56" s="198" t="e">
        <f t="shared" si="1"/>
        <v>#REF!</v>
      </c>
      <c r="L56" s="198" t="e">
        <f t="shared" si="1"/>
        <v>#REF!</v>
      </c>
      <c r="M56" s="198" t="e">
        <f t="shared" si="1"/>
        <v>#REF!</v>
      </c>
      <c r="N56" s="198">
        <f t="shared" si="1"/>
        <v>2680.8536864943462</v>
      </c>
      <c r="O56" s="198">
        <f t="shared" si="1"/>
        <v>1750.9916706694423</v>
      </c>
      <c r="P56" s="198">
        <f t="shared" si="1"/>
        <v>1618</v>
      </c>
      <c r="R56" s="197">
        <f t="shared" ref="R56:AE61" si="2">(C56-B56)/B56</f>
        <v>0.55555555555555558</v>
      </c>
      <c r="S56" s="197">
        <f t="shared" si="2"/>
        <v>-0.14285714285714285</v>
      </c>
      <c r="T56" s="197">
        <f t="shared" si="2"/>
        <v>-0.65500000000000003</v>
      </c>
      <c r="U56" s="197">
        <f t="shared" si="2"/>
        <v>-2.8985507246376812E-2</v>
      </c>
      <c r="V56" s="197">
        <f t="shared" si="2"/>
        <v>0.19402985074626866</v>
      </c>
      <c r="W56" s="197">
        <f t="shared" si="2"/>
        <v>0.85</v>
      </c>
      <c r="X56" s="197">
        <f t="shared" si="2"/>
        <v>0.37387387387387389</v>
      </c>
      <c r="Y56" s="197" t="e">
        <f t="shared" si="2"/>
        <v>#REF!</v>
      </c>
      <c r="Z56" s="197" t="e">
        <f t="shared" si="2"/>
        <v>#REF!</v>
      </c>
      <c r="AA56" s="197" t="e">
        <f t="shared" si="2"/>
        <v>#REF!</v>
      </c>
      <c r="AB56" s="197" t="e">
        <f t="shared" si="2"/>
        <v>#REF!</v>
      </c>
      <c r="AC56" s="197" t="e">
        <f t="shared" si="2"/>
        <v>#REF!</v>
      </c>
      <c r="AD56" s="197">
        <f t="shared" si="2"/>
        <v>-0.34685295229254015</v>
      </c>
      <c r="AE56" s="197">
        <f t="shared" si="2"/>
        <v>-7.5952200628456853E-2</v>
      </c>
    </row>
    <row r="57" spans="1:31" s="110" customFormat="1" x14ac:dyDescent="0.2">
      <c r="A57" s="110" t="s">
        <v>79</v>
      </c>
      <c r="B57" s="198">
        <v>255</v>
      </c>
      <c r="C57" s="198">
        <v>510</v>
      </c>
      <c r="D57" s="198">
        <v>460</v>
      </c>
      <c r="E57" s="198">
        <v>102</v>
      </c>
      <c r="F57" s="198">
        <v>79</v>
      </c>
      <c r="G57" s="198">
        <v>140</v>
      </c>
      <c r="H57" s="198">
        <v>314</v>
      </c>
      <c r="I57" s="198">
        <v>370</v>
      </c>
      <c r="J57" s="198" t="e">
        <f>#REF!</f>
        <v>#REF!</v>
      </c>
      <c r="K57" s="198" t="e">
        <f>+#REF!</f>
        <v>#REF!</v>
      </c>
      <c r="L57" s="198" t="e">
        <f>+#REF!</f>
        <v>#REF!</v>
      </c>
      <c r="M57" s="198">
        <v>1494.3634471151063</v>
      </c>
      <c r="N57" s="198">
        <v>1705.8536864943464</v>
      </c>
      <c r="O57" s="198">
        <v>930.99167066944233</v>
      </c>
      <c r="P57" s="198">
        <v>818</v>
      </c>
      <c r="R57" s="197">
        <f t="shared" si="2"/>
        <v>1</v>
      </c>
      <c r="S57" s="197">
        <f t="shared" si="2"/>
        <v>-9.8039215686274508E-2</v>
      </c>
      <c r="T57" s="197">
        <f t="shared" si="2"/>
        <v>-0.77826086956521734</v>
      </c>
      <c r="U57" s="197">
        <f t="shared" si="2"/>
        <v>-0.22549019607843138</v>
      </c>
      <c r="V57" s="197">
        <f t="shared" si="2"/>
        <v>0.77215189873417722</v>
      </c>
      <c r="W57" s="197">
        <f t="shared" si="2"/>
        <v>1.2428571428571429</v>
      </c>
      <c r="X57" s="197">
        <f t="shared" si="2"/>
        <v>0.17834394904458598</v>
      </c>
      <c r="Y57" s="197" t="e">
        <f t="shared" si="2"/>
        <v>#REF!</v>
      </c>
      <c r="Z57" s="197" t="e">
        <f t="shared" si="2"/>
        <v>#REF!</v>
      </c>
      <c r="AA57" s="197" t="e">
        <f t="shared" si="2"/>
        <v>#REF!</v>
      </c>
      <c r="AB57" s="197" t="e">
        <f t="shared" si="2"/>
        <v>#REF!</v>
      </c>
      <c r="AC57" s="197">
        <f t="shared" si="2"/>
        <v>0.14152530282209835</v>
      </c>
      <c r="AD57" s="197">
        <f t="shared" si="2"/>
        <v>-0.45423709076556384</v>
      </c>
      <c r="AE57" s="197">
        <f t="shared" si="2"/>
        <v>-0.12136700491444152</v>
      </c>
    </row>
    <row r="58" spans="1:31" s="110" customFormat="1" x14ac:dyDescent="0.2">
      <c r="A58" s="110" t="s">
        <v>80</v>
      </c>
      <c r="B58" s="198">
        <v>195</v>
      </c>
      <c r="C58" s="198">
        <v>190</v>
      </c>
      <c r="D58" s="198">
        <v>140</v>
      </c>
      <c r="E58" s="198">
        <v>105</v>
      </c>
      <c r="F58" s="198">
        <f>201-F57</f>
        <v>122</v>
      </c>
      <c r="G58" s="198">
        <v>100</v>
      </c>
      <c r="H58" s="198">
        <v>130</v>
      </c>
      <c r="I58" s="198">
        <v>240</v>
      </c>
      <c r="J58" s="198">
        <v>370</v>
      </c>
      <c r="K58" s="198">
        <v>694</v>
      </c>
      <c r="L58" s="198" t="e">
        <f>+#REF!</f>
        <v>#REF!</v>
      </c>
      <c r="M58" s="198" t="e">
        <f>+L58+95-75</f>
        <v>#REF!</v>
      </c>
      <c r="N58" s="198">
        <v>975</v>
      </c>
      <c r="O58" s="198">
        <v>820</v>
      </c>
      <c r="P58" s="198">
        <v>800</v>
      </c>
      <c r="R58" s="197">
        <f t="shared" si="2"/>
        <v>-2.564102564102564E-2</v>
      </c>
      <c r="S58" s="197">
        <f t="shared" si="2"/>
        <v>-0.26315789473684209</v>
      </c>
      <c r="T58" s="197">
        <f t="shared" si="2"/>
        <v>-0.25</v>
      </c>
      <c r="U58" s="197">
        <f t="shared" si="2"/>
        <v>0.16190476190476191</v>
      </c>
      <c r="V58" s="197">
        <f t="shared" si="2"/>
        <v>-0.18032786885245902</v>
      </c>
      <c r="W58" s="197">
        <f t="shared" si="2"/>
        <v>0.3</v>
      </c>
      <c r="X58" s="197">
        <f t="shared" si="2"/>
        <v>0.84615384615384615</v>
      </c>
      <c r="Y58" s="197">
        <f t="shared" si="2"/>
        <v>0.54166666666666663</v>
      </c>
      <c r="Z58" s="197">
        <f t="shared" si="2"/>
        <v>0.87567567567567572</v>
      </c>
      <c r="AA58" s="197" t="e">
        <f t="shared" si="2"/>
        <v>#REF!</v>
      </c>
      <c r="AB58" s="197" t="e">
        <f t="shared" si="2"/>
        <v>#REF!</v>
      </c>
      <c r="AC58" s="197" t="e">
        <f t="shared" si="2"/>
        <v>#REF!</v>
      </c>
      <c r="AD58" s="197">
        <f t="shared" si="2"/>
        <v>-0.15897435897435896</v>
      </c>
      <c r="AE58" s="197">
        <f t="shared" si="2"/>
        <v>-2.4390243902439025E-2</v>
      </c>
    </row>
    <row r="59" spans="1:31" s="110" customFormat="1" x14ac:dyDescent="0.2">
      <c r="A59" s="110" t="s">
        <v>98</v>
      </c>
      <c r="B59" s="198">
        <f t="shared" ref="B59:P59" si="3">B60+B61</f>
        <v>85</v>
      </c>
      <c r="C59" s="198">
        <f t="shared" si="3"/>
        <v>110</v>
      </c>
      <c r="D59" s="198">
        <f t="shared" si="3"/>
        <v>131</v>
      </c>
      <c r="E59" s="198">
        <f t="shared" si="3"/>
        <v>139</v>
      </c>
      <c r="F59" s="198">
        <f t="shared" si="3"/>
        <v>180</v>
      </c>
      <c r="G59" s="198">
        <f t="shared" si="3"/>
        <v>232</v>
      </c>
      <c r="H59" s="198">
        <f t="shared" si="3"/>
        <v>300</v>
      </c>
      <c r="I59" s="198">
        <f t="shared" si="3"/>
        <v>383</v>
      </c>
      <c r="J59" s="198">
        <f t="shared" si="3"/>
        <v>465</v>
      </c>
      <c r="K59" s="198">
        <f t="shared" si="3"/>
        <v>548</v>
      </c>
      <c r="L59" s="198">
        <f t="shared" si="3"/>
        <v>632</v>
      </c>
      <c r="M59" s="198">
        <f t="shared" si="3"/>
        <v>790</v>
      </c>
      <c r="N59" s="198">
        <f t="shared" si="3"/>
        <v>915</v>
      </c>
      <c r="O59" s="198">
        <f t="shared" si="3"/>
        <v>1055</v>
      </c>
      <c r="P59" s="198">
        <f t="shared" si="3"/>
        <v>1175</v>
      </c>
      <c r="R59" s="197">
        <f t="shared" si="2"/>
        <v>0.29411764705882354</v>
      </c>
      <c r="S59" s="197">
        <f t="shared" si="2"/>
        <v>0.19090909090909092</v>
      </c>
      <c r="T59" s="197">
        <f t="shared" si="2"/>
        <v>6.1068702290076333E-2</v>
      </c>
      <c r="U59" s="197">
        <f t="shared" si="2"/>
        <v>0.29496402877697842</v>
      </c>
      <c r="V59" s="197">
        <f t="shared" si="2"/>
        <v>0.28888888888888886</v>
      </c>
      <c r="W59" s="197">
        <f t="shared" si="2"/>
        <v>0.29310344827586204</v>
      </c>
      <c r="X59" s="197">
        <f t="shared" si="2"/>
        <v>0.27666666666666667</v>
      </c>
      <c r="Y59" s="197">
        <f t="shared" si="2"/>
        <v>0.21409921671018275</v>
      </c>
      <c r="Z59" s="197">
        <f t="shared" si="2"/>
        <v>0.17849462365591398</v>
      </c>
      <c r="AA59" s="197">
        <f t="shared" si="2"/>
        <v>0.15328467153284672</v>
      </c>
      <c r="AB59" s="197">
        <f t="shared" si="2"/>
        <v>0.25</v>
      </c>
      <c r="AC59" s="197">
        <f t="shared" si="2"/>
        <v>0.15822784810126583</v>
      </c>
      <c r="AD59" s="197">
        <f t="shared" si="2"/>
        <v>0.15300546448087432</v>
      </c>
      <c r="AE59" s="197">
        <f t="shared" si="2"/>
        <v>0.11374407582938388</v>
      </c>
    </row>
    <row r="60" spans="1:31" s="110" customFormat="1" x14ac:dyDescent="0.2">
      <c r="A60" s="110" t="s">
        <v>79</v>
      </c>
      <c r="B60" s="198">
        <v>50</v>
      </c>
      <c r="C60" s="198">
        <v>70</v>
      </c>
      <c r="D60" s="198">
        <v>86</v>
      </c>
      <c r="E60" s="198">
        <v>89</v>
      </c>
      <c r="F60" s="198">
        <v>100</v>
      </c>
      <c r="G60" s="198">
        <v>132</v>
      </c>
      <c r="H60" s="198">
        <v>175</v>
      </c>
      <c r="I60" s="198">
        <v>223</v>
      </c>
      <c r="J60" s="198">
        <v>265</v>
      </c>
      <c r="K60" s="198">
        <v>310</v>
      </c>
      <c r="L60" s="198">
        <v>357</v>
      </c>
      <c r="M60" s="198">
        <v>470</v>
      </c>
      <c r="N60" s="198">
        <v>545</v>
      </c>
      <c r="O60" s="198">
        <v>625</v>
      </c>
      <c r="P60" s="198">
        <v>675</v>
      </c>
      <c r="R60" s="197">
        <f t="shared" si="2"/>
        <v>0.4</v>
      </c>
      <c r="S60" s="197">
        <f t="shared" si="2"/>
        <v>0.22857142857142856</v>
      </c>
      <c r="T60" s="197">
        <f t="shared" si="2"/>
        <v>3.4883720930232558E-2</v>
      </c>
      <c r="U60" s="197">
        <f t="shared" si="2"/>
        <v>0.12359550561797752</v>
      </c>
      <c r="V60" s="197">
        <f t="shared" si="2"/>
        <v>0.32</v>
      </c>
      <c r="W60" s="197">
        <f t="shared" si="2"/>
        <v>0.32575757575757575</v>
      </c>
      <c r="X60" s="197">
        <f t="shared" si="2"/>
        <v>0.2742857142857143</v>
      </c>
      <c r="Y60" s="197">
        <f t="shared" si="2"/>
        <v>0.18834080717488788</v>
      </c>
      <c r="Z60" s="197">
        <f t="shared" si="2"/>
        <v>0.16981132075471697</v>
      </c>
      <c r="AA60" s="197">
        <f t="shared" si="2"/>
        <v>0.15161290322580645</v>
      </c>
      <c r="AB60" s="197">
        <f t="shared" si="2"/>
        <v>0.31652661064425769</v>
      </c>
      <c r="AC60" s="197">
        <f t="shared" si="2"/>
        <v>0.15957446808510639</v>
      </c>
      <c r="AD60" s="197">
        <f t="shared" si="2"/>
        <v>0.14678899082568808</v>
      </c>
      <c r="AE60" s="197">
        <f t="shared" si="2"/>
        <v>0.08</v>
      </c>
    </row>
    <row r="61" spans="1:31" s="110" customFormat="1" x14ac:dyDescent="0.2">
      <c r="A61" s="110" t="s">
        <v>80</v>
      </c>
      <c r="B61" s="198">
        <v>35</v>
      </c>
      <c r="C61" s="198">
        <v>40</v>
      </c>
      <c r="D61" s="198">
        <v>45</v>
      </c>
      <c r="E61" s="198">
        <v>50</v>
      </c>
      <c r="F61" s="198">
        <v>80</v>
      </c>
      <c r="G61" s="198">
        <v>100</v>
      </c>
      <c r="H61" s="198">
        <v>125</v>
      </c>
      <c r="I61" s="198">
        <v>160</v>
      </c>
      <c r="J61" s="198">
        <v>200</v>
      </c>
      <c r="K61" s="198">
        <v>238</v>
      </c>
      <c r="L61" s="198">
        <v>275</v>
      </c>
      <c r="M61" s="198">
        <v>320</v>
      </c>
      <c r="N61" s="198">
        <v>370</v>
      </c>
      <c r="O61" s="198">
        <v>430</v>
      </c>
      <c r="P61" s="198">
        <v>500</v>
      </c>
      <c r="R61" s="197">
        <f t="shared" si="2"/>
        <v>0.14285714285714285</v>
      </c>
      <c r="S61" s="197">
        <f t="shared" si="2"/>
        <v>0.125</v>
      </c>
      <c r="T61" s="197">
        <f t="shared" si="2"/>
        <v>0.1111111111111111</v>
      </c>
      <c r="U61" s="197">
        <f t="shared" si="2"/>
        <v>0.6</v>
      </c>
      <c r="V61" s="197">
        <f t="shared" si="2"/>
        <v>0.25</v>
      </c>
      <c r="W61" s="197">
        <f t="shared" si="2"/>
        <v>0.25</v>
      </c>
      <c r="X61" s="197">
        <f t="shared" si="2"/>
        <v>0.28000000000000003</v>
      </c>
      <c r="Y61" s="197">
        <f t="shared" si="2"/>
        <v>0.25</v>
      </c>
      <c r="Z61" s="197">
        <f t="shared" si="2"/>
        <v>0.19</v>
      </c>
      <c r="AA61" s="197">
        <f t="shared" si="2"/>
        <v>0.15546218487394958</v>
      </c>
      <c r="AB61" s="197">
        <f t="shared" si="2"/>
        <v>0.16363636363636364</v>
      </c>
      <c r="AC61" s="197">
        <f t="shared" si="2"/>
        <v>0.15625</v>
      </c>
      <c r="AD61" s="197">
        <f t="shared" si="2"/>
        <v>0.16216216216216217</v>
      </c>
      <c r="AE61" s="197">
        <f t="shared" si="2"/>
        <v>0.16279069767441862</v>
      </c>
    </row>
    <row r="62" spans="1:31" s="110" customFormat="1" x14ac:dyDescent="0.2">
      <c r="A62" s="110" t="s">
        <v>99</v>
      </c>
      <c r="B62" s="198">
        <f t="shared" ref="B62:P62" si="4">B63+B64</f>
        <v>0</v>
      </c>
      <c r="C62" s="198">
        <f t="shared" si="4"/>
        <v>562</v>
      </c>
      <c r="D62" s="198">
        <f t="shared" si="4"/>
        <v>609</v>
      </c>
      <c r="E62" s="198">
        <f t="shared" si="4"/>
        <v>553</v>
      </c>
      <c r="F62" s="198">
        <f t="shared" si="4"/>
        <v>533</v>
      </c>
      <c r="G62" s="198">
        <f t="shared" si="4"/>
        <v>549</v>
      </c>
      <c r="H62" s="198">
        <f t="shared" si="4"/>
        <v>536</v>
      </c>
      <c r="I62" s="198">
        <f t="shared" si="4"/>
        <v>559</v>
      </c>
      <c r="J62" s="198">
        <f t="shared" si="4"/>
        <v>580</v>
      </c>
      <c r="K62" s="198">
        <f t="shared" si="4"/>
        <v>601</v>
      </c>
      <c r="L62" s="198">
        <f t="shared" si="4"/>
        <v>635</v>
      </c>
      <c r="M62" s="198">
        <f t="shared" si="4"/>
        <v>692</v>
      </c>
      <c r="N62" s="198">
        <f t="shared" si="4"/>
        <v>737.24</v>
      </c>
      <c r="O62" s="198">
        <f t="shared" si="4"/>
        <v>774.97440000000006</v>
      </c>
      <c r="P62" s="198">
        <f t="shared" si="4"/>
        <v>814.37286400000005</v>
      </c>
      <c r="Q62" s="198"/>
      <c r="R62" s="197"/>
      <c r="S62" s="197">
        <f t="shared" ref="S62:AE63" si="5">(D62-C62)/C62</f>
        <v>8.3629893238434158E-2</v>
      </c>
      <c r="T62" s="197">
        <f t="shared" si="5"/>
        <v>-9.1954022988505746E-2</v>
      </c>
      <c r="U62" s="197">
        <f t="shared" si="5"/>
        <v>-3.6166365280289332E-2</v>
      </c>
      <c r="V62" s="197">
        <f t="shared" si="5"/>
        <v>3.0018761726078799E-2</v>
      </c>
      <c r="W62" s="197">
        <f t="shared" si="5"/>
        <v>-2.3679417122040074E-2</v>
      </c>
      <c r="X62" s="197">
        <f t="shared" si="5"/>
        <v>4.2910447761194029E-2</v>
      </c>
      <c r="Y62" s="197">
        <f t="shared" si="5"/>
        <v>3.7567084078711989E-2</v>
      </c>
      <c r="Z62" s="197">
        <f t="shared" si="5"/>
        <v>3.6206896551724141E-2</v>
      </c>
      <c r="AA62" s="197">
        <f t="shared" si="5"/>
        <v>5.6572379367720464E-2</v>
      </c>
      <c r="AB62" s="197">
        <f t="shared" si="5"/>
        <v>8.9763779527559054E-2</v>
      </c>
      <c r="AC62" s="197">
        <f t="shared" si="5"/>
        <v>6.537572254335261E-2</v>
      </c>
      <c r="AD62" s="197">
        <f t="shared" si="5"/>
        <v>5.1183332429059807E-2</v>
      </c>
      <c r="AE62" s="197">
        <f t="shared" si="5"/>
        <v>5.0838407049316706E-2</v>
      </c>
    </row>
    <row r="63" spans="1:31" s="110" customFormat="1" x14ac:dyDescent="0.2">
      <c r="A63" s="110" t="s">
        <v>79</v>
      </c>
      <c r="B63" s="198"/>
      <c r="C63" s="198">
        <v>272</v>
      </c>
      <c r="D63" s="198">
        <v>286</v>
      </c>
      <c r="E63" s="198">
        <v>250</v>
      </c>
      <c r="F63" s="198">
        <v>227</v>
      </c>
      <c r="G63" s="198">
        <v>248</v>
      </c>
      <c r="H63" s="198">
        <v>243</v>
      </c>
      <c r="I63" s="198">
        <v>259</v>
      </c>
      <c r="J63" s="198">
        <v>249</v>
      </c>
      <c r="K63" s="198">
        <v>244</v>
      </c>
      <c r="L63" s="198">
        <v>235</v>
      </c>
      <c r="M63" s="198">
        <v>260</v>
      </c>
      <c r="N63" s="198">
        <v>275</v>
      </c>
      <c r="O63" s="198">
        <v>285</v>
      </c>
      <c r="P63" s="198">
        <v>295</v>
      </c>
      <c r="R63" s="197"/>
      <c r="S63" s="197">
        <f t="shared" si="5"/>
        <v>5.1470588235294115E-2</v>
      </c>
      <c r="T63" s="197">
        <f t="shared" si="5"/>
        <v>-0.12587412587412589</v>
      </c>
      <c r="U63" s="197">
        <f t="shared" si="5"/>
        <v>-9.1999999999999998E-2</v>
      </c>
      <c r="V63" s="197">
        <f t="shared" si="5"/>
        <v>9.2511013215859028E-2</v>
      </c>
      <c r="W63" s="197">
        <f t="shared" si="5"/>
        <v>-2.0161290322580645E-2</v>
      </c>
      <c r="X63" s="197">
        <f t="shared" si="5"/>
        <v>6.584362139917696E-2</v>
      </c>
      <c r="Y63" s="197">
        <f t="shared" si="5"/>
        <v>-3.8610038610038609E-2</v>
      </c>
      <c r="Z63" s="197">
        <f t="shared" si="5"/>
        <v>-2.0080321285140562E-2</v>
      </c>
      <c r="AA63" s="197">
        <f t="shared" si="5"/>
        <v>-3.6885245901639344E-2</v>
      </c>
      <c r="AB63" s="197">
        <f t="shared" si="5"/>
        <v>0.10638297872340426</v>
      </c>
      <c r="AC63" s="197">
        <f t="shared" si="5"/>
        <v>5.7692307692307696E-2</v>
      </c>
      <c r="AD63" s="197">
        <f t="shared" si="5"/>
        <v>3.6363636363636362E-2</v>
      </c>
      <c r="AE63" s="197">
        <f t="shared" si="5"/>
        <v>3.5087719298245612E-2</v>
      </c>
    </row>
    <row r="64" spans="1:31" s="110" customFormat="1" x14ac:dyDescent="0.2">
      <c r="A64" s="110" t="s">
        <v>80</v>
      </c>
      <c r="B64" s="198"/>
      <c r="C64" s="198">
        <v>290</v>
      </c>
      <c r="D64" s="198">
        <v>323</v>
      </c>
      <c r="E64" s="198">
        <v>303</v>
      </c>
      <c r="F64" s="198">
        <v>306</v>
      </c>
      <c r="G64" s="198">
        <v>301</v>
      </c>
      <c r="H64" s="198">
        <v>293</v>
      </c>
      <c r="I64" s="198">
        <v>300</v>
      </c>
      <c r="J64" s="198">
        <v>331</v>
      </c>
      <c r="K64" s="198">
        <v>357</v>
      </c>
      <c r="L64" s="198">
        <v>400</v>
      </c>
      <c r="M64" s="198">
        <f>L64*(1+AB64)</f>
        <v>432</v>
      </c>
      <c r="N64" s="198">
        <f>M64*(1+AC64)</f>
        <v>462.24</v>
      </c>
      <c r="O64" s="198">
        <f>N64*(1+AD64)</f>
        <v>489.97440000000006</v>
      </c>
      <c r="P64" s="198">
        <f>O64*(1+AE64)</f>
        <v>519.37286400000005</v>
      </c>
      <c r="R64" s="197"/>
      <c r="S64" s="197">
        <f t="shared" ref="S64:AA64" si="6">(D64-C64)/C64</f>
        <v>0.11379310344827587</v>
      </c>
      <c r="T64" s="197">
        <f t="shared" si="6"/>
        <v>-6.1919504643962849E-2</v>
      </c>
      <c r="U64" s="197">
        <f t="shared" si="6"/>
        <v>9.9009900990099011E-3</v>
      </c>
      <c r="V64" s="197">
        <f t="shared" si="6"/>
        <v>-1.6339869281045753E-2</v>
      </c>
      <c r="W64" s="197">
        <f t="shared" si="6"/>
        <v>-2.6578073089700997E-2</v>
      </c>
      <c r="X64" s="197">
        <f t="shared" si="6"/>
        <v>2.3890784982935155E-2</v>
      </c>
      <c r="Y64" s="197">
        <f t="shared" si="6"/>
        <v>0.10333333333333333</v>
      </c>
      <c r="Z64" s="197">
        <f t="shared" si="6"/>
        <v>7.8549848942598186E-2</v>
      </c>
      <c r="AA64" s="197">
        <f t="shared" si="6"/>
        <v>0.12044817927170869</v>
      </c>
      <c r="AB64" s="197">
        <v>0.08</v>
      </c>
      <c r="AC64" s="197">
        <v>7.0000000000000007E-2</v>
      </c>
      <c r="AD64" s="197">
        <v>0.06</v>
      </c>
      <c r="AE64" s="197">
        <v>0.06</v>
      </c>
    </row>
    <row r="65" spans="1:31" s="110" customFormat="1" x14ac:dyDescent="0.2">
      <c r="A65" s="110" t="s">
        <v>100</v>
      </c>
      <c r="B65" s="198"/>
      <c r="C65" s="198"/>
      <c r="D65" s="198"/>
      <c r="E65" s="198">
        <f t="shared" ref="E65:P65" si="7">E67+E66</f>
        <v>7.6</v>
      </c>
      <c r="F65" s="198">
        <f t="shared" si="7"/>
        <v>21.3</v>
      </c>
      <c r="G65" s="198">
        <f t="shared" si="7"/>
        <v>34.5</v>
      </c>
      <c r="H65" s="198">
        <f t="shared" si="7"/>
        <v>63.9</v>
      </c>
      <c r="I65" s="198">
        <f t="shared" si="7"/>
        <v>88.668000000000006</v>
      </c>
      <c r="J65" s="198">
        <f t="shared" si="7"/>
        <v>115.9866</v>
      </c>
      <c r="K65" s="198">
        <f t="shared" si="7"/>
        <v>139.18392</v>
      </c>
      <c r="L65" s="198">
        <f t="shared" si="7"/>
        <v>162.93700799999999</v>
      </c>
      <c r="M65" s="198">
        <f t="shared" si="7"/>
        <v>187.37755919999998</v>
      </c>
      <c r="N65" s="198">
        <f t="shared" si="7"/>
        <v>215.48419307999995</v>
      </c>
      <c r="O65" s="198">
        <f t="shared" si="7"/>
        <v>247.80682204199994</v>
      </c>
      <c r="P65" s="198">
        <f t="shared" si="7"/>
        <v>284.97784534829987</v>
      </c>
      <c r="R65" s="197"/>
      <c r="S65" s="197"/>
      <c r="T65" s="197"/>
      <c r="U65" s="197">
        <f t="shared" ref="U65:AE65" si="8">(F65-E65)/E65</f>
        <v>1.8026315789473686</v>
      </c>
      <c r="V65" s="197">
        <f t="shared" si="8"/>
        <v>0.61971830985915488</v>
      </c>
      <c r="W65" s="197">
        <f t="shared" si="8"/>
        <v>0.85217391304347823</v>
      </c>
      <c r="X65" s="197">
        <f t="shared" si="8"/>
        <v>0.38760563380281704</v>
      </c>
      <c r="Y65" s="197">
        <f t="shared" si="8"/>
        <v>0.30809987819732021</v>
      </c>
      <c r="Z65" s="197">
        <f t="shared" si="8"/>
        <v>0.20000000000000004</v>
      </c>
      <c r="AA65" s="197">
        <f t="shared" si="8"/>
        <v>0.1706597141393919</v>
      </c>
      <c r="AB65" s="197">
        <f t="shared" si="8"/>
        <v>0.14999999999999994</v>
      </c>
      <c r="AC65" s="197">
        <f t="shared" si="8"/>
        <v>0.14999999999999988</v>
      </c>
      <c r="AD65" s="197">
        <f t="shared" si="8"/>
        <v>0.14999999999999994</v>
      </c>
      <c r="AE65" s="197">
        <f t="shared" si="8"/>
        <v>0.14999999999999974</v>
      </c>
    </row>
    <row r="66" spans="1:31" s="110" customFormat="1" x14ac:dyDescent="0.2">
      <c r="A66" s="110" t="s">
        <v>79</v>
      </c>
      <c r="B66" s="198"/>
      <c r="C66" s="198"/>
      <c r="D66" s="198"/>
      <c r="E66" s="198">
        <v>2.6</v>
      </c>
      <c r="F66" s="198">
        <v>11</v>
      </c>
      <c r="G66" s="198">
        <v>20.5</v>
      </c>
      <c r="H66" s="198">
        <v>41.4</v>
      </c>
      <c r="I66" s="198">
        <f t="shared" ref="I66:P67" si="9">H66*(1+X66)</f>
        <v>56.718000000000004</v>
      </c>
      <c r="J66" s="198">
        <f t="shared" si="9"/>
        <v>68.061599999999999</v>
      </c>
      <c r="K66" s="198">
        <f t="shared" si="9"/>
        <v>81.673919999999995</v>
      </c>
      <c r="L66" s="198">
        <f t="shared" si="9"/>
        <v>93.925007999999991</v>
      </c>
      <c r="M66" s="198">
        <f t="shared" si="9"/>
        <v>108.01375919999998</v>
      </c>
      <c r="N66" s="198">
        <f t="shared" si="9"/>
        <v>124.21582307999996</v>
      </c>
      <c r="O66" s="198">
        <f t="shared" si="9"/>
        <v>142.84819654199995</v>
      </c>
      <c r="P66" s="198">
        <f t="shared" si="9"/>
        <v>164.27542602329993</v>
      </c>
      <c r="R66" s="197"/>
      <c r="S66" s="197"/>
      <c r="T66" s="197"/>
      <c r="U66" s="197">
        <f t="shared" ref="U66:W70" si="10">(F66-E66)/E66</f>
        <v>3.2307692307692308</v>
      </c>
      <c r="V66" s="197">
        <f t="shared" si="10"/>
        <v>0.86363636363636365</v>
      </c>
      <c r="W66" s="197">
        <f t="shared" si="10"/>
        <v>1.0195121951219512</v>
      </c>
      <c r="X66" s="197">
        <v>0.37</v>
      </c>
      <c r="Y66" s="197">
        <v>0.2</v>
      </c>
      <c r="Z66" s="197">
        <v>0.2</v>
      </c>
      <c r="AA66" s="197">
        <v>0.15</v>
      </c>
      <c r="AB66" s="197">
        <v>0.15</v>
      </c>
      <c r="AC66" s="197">
        <v>0.15</v>
      </c>
      <c r="AD66" s="197">
        <v>0.15</v>
      </c>
      <c r="AE66" s="197">
        <v>0.15</v>
      </c>
    </row>
    <row r="67" spans="1:31" s="110" customFormat="1" x14ac:dyDescent="0.2">
      <c r="A67" s="110" t="s">
        <v>80</v>
      </c>
      <c r="B67" s="198"/>
      <c r="C67" s="198"/>
      <c r="D67" s="198"/>
      <c r="E67" s="198">
        <v>5</v>
      </c>
      <c r="F67" s="198">
        <v>10.3</v>
      </c>
      <c r="G67" s="198">
        <v>14</v>
      </c>
      <c r="H67" s="198">
        <v>22.5</v>
      </c>
      <c r="I67" s="198">
        <f t="shared" si="9"/>
        <v>31.95</v>
      </c>
      <c r="J67" s="198">
        <f t="shared" si="9"/>
        <v>47.924999999999997</v>
      </c>
      <c r="K67" s="198">
        <f t="shared" si="9"/>
        <v>57.51</v>
      </c>
      <c r="L67" s="198">
        <f t="shared" si="9"/>
        <v>69.012</v>
      </c>
      <c r="M67" s="198">
        <f t="shared" si="9"/>
        <v>79.363799999999998</v>
      </c>
      <c r="N67" s="198">
        <f t="shared" si="9"/>
        <v>91.26836999999999</v>
      </c>
      <c r="O67" s="198">
        <f t="shared" si="9"/>
        <v>104.95862549999998</v>
      </c>
      <c r="P67" s="198">
        <f t="shared" si="9"/>
        <v>120.70241932499997</v>
      </c>
      <c r="R67" s="197"/>
      <c r="S67" s="197"/>
      <c r="T67" s="197"/>
      <c r="U67" s="197">
        <f t="shared" si="10"/>
        <v>1.06</v>
      </c>
      <c r="V67" s="197">
        <f t="shared" si="10"/>
        <v>0.35922330097087368</v>
      </c>
      <c r="W67" s="197">
        <f t="shared" si="10"/>
        <v>0.6071428571428571</v>
      </c>
      <c r="X67" s="197">
        <v>0.42</v>
      </c>
      <c r="Y67" s="197">
        <v>0.5</v>
      </c>
      <c r="Z67" s="197">
        <v>0.2</v>
      </c>
      <c r="AA67" s="197">
        <v>0.2</v>
      </c>
      <c r="AB67" s="197">
        <v>0.15</v>
      </c>
      <c r="AC67" s="197">
        <v>0.15</v>
      </c>
      <c r="AD67" s="197">
        <v>0.15</v>
      </c>
      <c r="AE67" s="197">
        <v>0.15</v>
      </c>
    </row>
    <row r="68" spans="1:31" s="110" customFormat="1" x14ac:dyDescent="0.2">
      <c r="A68" s="248" t="s">
        <v>1101</v>
      </c>
      <c r="B68" s="198">
        <f t="shared" ref="B68:P68" si="11">B69+B70</f>
        <v>535</v>
      </c>
      <c r="C68" s="198">
        <f t="shared" si="11"/>
        <v>1372</v>
      </c>
      <c r="D68" s="198">
        <f t="shared" si="11"/>
        <v>1340</v>
      </c>
      <c r="E68" s="198">
        <f t="shared" si="11"/>
        <v>906.6</v>
      </c>
      <c r="F68" s="198">
        <f t="shared" si="11"/>
        <v>935.3</v>
      </c>
      <c r="G68" s="198">
        <f t="shared" si="11"/>
        <v>1055.5</v>
      </c>
      <c r="H68" s="198">
        <f t="shared" si="11"/>
        <v>1343.9</v>
      </c>
      <c r="I68" s="198">
        <f t="shared" si="11"/>
        <v>1640.6680000000001</v>
      </c>
      <c r="J68" s="198" t="e">
        <f t="shared" si="11"/>
        <v>#REF!</v>
      </c>
      <c r="K68" s="198" t="e">
        <f t="shared" si="11"/>
        <v>#REF!</v>
      </c>
      <c r="L68" s="198" t="e">
        <f t="shared" si="11"/>
        <v>#REF!</v>
      </c>
      <c r="M68" s="198" t="e">
        <f t="shared" si="11"/>
        <v>#REF!</v>
      </c>
      <c r="N68" s="198">
        <f t="shared" si="11"/>
        <v>4548.5778795743463</v>
      </c>
      <c r="O68" s="198">
        <f t="shared" si="11"/>
        <v>3828.7728927114422</v>
      </c>
      <c r="P68" s="198">
        <f t="shared" si="11"/>
        <v>3892.3507093482999</v>
      </c>
      <c r="R68" s="197">
        <f t="shared" ref="R68:T70" si="12">(C68-B68)/B68</f>
        <v>1.5644859813084113</v>
      </c>
      <c r="S68" s="197">
        <f t="shared" si="12"/>
        <v>-2.3323615160349854E-2</v>
      </c>
      <c r="T68" s="197">
        <f t="shared" si="12"/>
        <v>-0.32343283582089549</v>
      </c>
      <c r="U68" s="197">
        <f t="shared" si="10"/>
        <v>3.1656739466137139E-2</v>
      </c>
      <c r="V68" s="197">
        <f t="shared" si="10"/>
        <v>0.12851491500053464</v>
      </c>
      <c r="W68" s="197">
        <f t="shared" si="10"/>
        <v>0.27323543344386553</v>
      </c>
      <c r="X68" s="197">
        <f t="shared" ref="X68:AE70" si="13">(I68-H68)/H68</f>
        <v>0.2208259543120768</v>
      </c>
      <c r="Y68" s="197" t="e">
        <f t="shared" si="13"/>
        <v>#REF!</v>
      </c>
      <c r="Z68" s="197" t="e">
        <f t="shared" si="13"/>
        <v>#REF!</v>
      </c>
      <c r="AA68" s="197" t="e">
        <f t="shared" si="13"/>
        <v>#REF!</v>
      </c>
      <c r="AB68" s="197" t="e">
        <f t="shared" si="13"/>
        <v>#REF!</v>
      </c>
      <c r="AC68" s="197" t="e">
        <f t="shared" si="13"/>
        <v>#REF!</v>
      </c>
      <c r="AD68" s="197">
        <f t="shared" si="13"/>
        <v>-0.15824835935979689</v>
      </c>
      <c r="AE68" s="197">
        <f t="shared" si="13"/>
        <v>1.6605272346627353E-2</v>
      </c>
    </row>
    <row r="69" spans="1:31" s="110" customFormat="1" x14ac:dyDescent="0.2">
      <c r="A69" s="110" t="s">
        <v>79</v>
      </c>
      <c r="B69" s="198">
        <f t="shared" ref="B69:P69" si="14">B57+B60+B63+B66</f>
        <v>305</v>
      </c>
      <c r="C69" s="198">
        <f t="shared" si="14"/>
        <v>852</v>
      </c>
      <c r="D69" s="198">
        <f t="shared" si="14"/>
        <v>832</v>
      </c>
      <c r="E69" s="198">
        <f t="shared" si="14"/>
        <v>443.6</v>
      </c>
      <c r="F69" s="198">
        <f t="shared" si="14"/>
        <v>417</v>
      </c>
      <c r="G69" s="198">
        <f t="shared" si="14"/>
        <v>540.5</v>
      </c>
      <c r="H69" s="198">
        <f t="shared" si="14"/>
        <v>773.4</v>
      </c>
      <c r="I69" s="198">
        <f t="shared" si="14"/>
        <v>908.71799999999996</v>
      </c>
      <c r="J69" s="198" t="e">
        <f t="shared" si="14"/>
        <v>#REF!</v>
      </c>
      <c r="K69" s="198" t="e">
        <f t="shared" si="14"/>
        <v>#REF!</v>
      </c>
      <c r="L69" s="198" t="e">
        <f t="shared" si="14"/>
        <v>#REF!</v>
      </c>
      <c r="M69" s="198">
        <f t="shared" si="14"/>
        <v>2332.3772063151064</v>
      </c>
      <c r="N69" s="198">
        <f t="shared" si="14"/>
        <v>2650.0695095743463</v>
      </c>
      <c r="O69" s="198">
        <f t="shared" si="14"/>
        <v>1983.8398672114422</v>
      </c>
      <c r="P69" s="198">
        <f t="shared" si="14"/>
        <v>1952.2754260233</v>
      </c>
      <c r="R69" s="197">
        <f t="shared" si="12"/>
        <v>1.7934426229508196</v>
      </c>
      <c r="S69" s="197">
        <f t="shared" si="12"/>
        <v>-2.3474178403755867E-2</v>
      </c>
      <c r="T69" s="197">
        <f t="shared" si="12"/>
        <v>-0.46682692307692303</v>
      </c>
      <c r="U69" s="197">
        <f t="shared" si="10"/>
        <v>-5.9963931469792654E-2</v>
      </c>
      <c r="V69" s="197">
        <f t="shared" si="10"/>
        <v>0.2961630695443645</v>
      </c>
      <c r="W69" s="197">
        <f t="shared" si="10"/>
        <v>0.43089731729879738</v>
      </c>
      <c r="X69" s="197">
        <f t="shared" si="13"/>
        <v>0.17496508921644685</v>
      </c>
      <c r="Y69" s="197" t="e">
        <f t="shared" si="13"/>
        <v>#REF!</v>
      </c>
      <c r="Z69" s="197" t="e">
        <f t="shared" si="13"/>
        <v>#REF!</v>
      </c>
      <c r="AA69" s="197" t="e">
        <f t="shared" si="13"/>
        <v>#REF!</v>
      </c>
      <c r="AB69" s="197" t="e">
        <f t="shared" si="13"/>
        <v>#REF!</v>
      </c>
      <c r="AC69" s="197">
        <f t="shared" si="13"/>
        <v>0.13620965871174759</v>
      </c>
      <c r="AD69" s="197">
        <f t="shared" si="13"/>
        <v>-0.25140081796190838</v>
      </c>
      <c r="AE69" s="197">
        <f t="shared" si="13"/>
        <v>-1.5910780758988521E-2</v>
      </c>
    </row>
    <row r="70" spans="1:31" s="110" customFormat="1" x14ac:dyDescent="0.2">
      <c r="A70" s="110" t="s">
        <v>80</v>
      </c>
      <c r="B70" s="198">
        <f t="shared" ref="B70:P70" si="15">B58+B61+B64+B67</f>
        <v>230</v>
      </c>
      <c r="C70" s="198">
        <f t="shared" si="15"/>
        <v>520</v>
      </c>
      <c r="D70" s="198">
        <f t="shared" si="15"/>
        <v>508</v>
      </c>
      <c r="E70" s="198">
        <f t="shared" si="15"/>
        <v>463</v>
      </c>
      <c r="F70" s="198">
        <f t="shared" si="15"/>
        <v>518.29999999999995</v>
      </c>
      <c r="G70" s="198">
        <f t="shared" si="15"/>
        <v>515</v>
      </c>
      <c r="H70" s="198">
        <f t="shared" si="15"/>
        <v>570.5</v>
      </c>
      <c r="I70" s="198">
        <f t="shared" si="15"/>
        <v>731.95</v>
      </c>
      <c r="J70" s="198">
        <f t="shared" si="15"/>
        <v>948.92499999999995</v>
      </c>
      <c r="K70" s="198">
        <f t="shared" si="15"/>
        <v>1346.51</v>
      </c>
      <c r="L70" s="198" t="e">
        <f t="shared" si="15"/>
        <v>#REF!</v>
      </c>
      <c r="M70" s="198" t="e">
        <f t="shared" si="15"/>
        <v>#REF!</v>
      </c>
      <c r="N70" s="198">
        <f t="shared" si="15"/>
        <v>1898.50837</v>
      </c>
      <c r="O70" s="198">
        <f t="shared" si="15"/>
        <v>1844.9330255</v>
      </c>
      <c r="P70" s="198">
        <f t="shared" si="15"/>
        <v>1940.0752833249999</v>
      </c>
      <c r="Q70" s="198"/>
      <c r="R70" s="197">
        <f t="shared" si="12"/>
        <v>1.2608695652173914</v>
      </c>
      <c r="S70" s="197">
        <f t="shared" si="12"/>
        <v>-2.3076923076923078E-2</v>
      </c>
      <c r="T70" s="197">
        <f t="shared" si="12"/>
        <v>-8.8582677165354326E-2</v>
      </c>
      <c r="U70" s="197">
        <f t="shared" si="10"/>
        <v>0.11943844492440595</v>
      </c>
      <c r="V70" s="197">
        <f t="shared" si="10"/>
        <v>-6.3669689369090388E-3</v>
      </c>
      <c r="W70" s="197">
        <f t="shared" si="10"/>
        <v>0.10776699029126213</v>
      </c>
      <c r="X70" s="197">
        <f t="shared" si="13"/>
        <v>0.28299737072743214</v>
      </c>
      <c r="Y70" s="197">
        <f t="shared" si="13"/>
        <v>0.29643418266275007</v>
      </c>
      <c r="Z70" s="197">
        <f t="shared" si="13"/>
        <v>0.4189846405142662</v>
      </c>
      <c r="AA70" s="197" t="e">
        <f t="shared" si="13"/>
        <v>#REF!</v>
      </c>
      <c r="AB70" s="197" t="e">
        <f t="shared" si="13"/>
        <v>#REF!</v>
      </c>
      <c r="AC70" s="197" t="e">
        <f t="shared" si="13"/>
        <v>#REF!</v>
      </c>
      <c r="AD70" s="197">
        <f t="shared" si="13"/>
        <v>-2.8219704135410278E-2</v>
      </c>
      <c r="AE70"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156</v>
      </c>
    </row>
    <row r="2" spans="1:32" x14ac:dyDescent="0.2">
      <c r="A2" s="5"/>
      <c r="B2" s="93" t="s">
        <v>131</v>
      </c>
    </row>
    <row r="3" spans="1:32" x14ac:dyDescent="0.2">
      <c r="B3" s="93" t="s">
        <v>1412</v>
      </c>
    </row>
    <row r="4" spans="1:32" x14ac:dyDescent="0.2">
      <c r="B4" s="93" t="s">
        <v>132</v>
      </c>
    </row>
    <row r="5" spans="1:32" x14ac:dyDescent="0.2">
      <c r="B5" s="93" t="s">
        <v>134</v>
      </c>
    </row>
    <row r="6" spans="1:32" x14ac:dyDescent="0.2">
      <c r="B6" s="93" t="s">
        <v>133</v>
      </c>
    </row>
    <row r="7" spans="1:32" x14ac:dyDescent="0.2">
      <c r="B7" s="4" t="s">
        <v>1514</v>
      </c>
    </row>
    <row r="10" spans="1:32" x14ac:dyDescent="0.2">
      <c r="B10" s="93" t="s">
        <v>50</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85</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86</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79</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80</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87</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79</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80</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89</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79</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80</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90</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79</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80</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91</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79</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80</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92</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79</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80</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1517</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RowHeight="12.75" x14ac:dyDescent="0.2"/>
  <sheetData>
    <row r="1" spans="1:8" x14ac:dyDescent="0.2">
      <c r="A1" s="264" t="s">
        <v>1575</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156</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1135</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51</v>
      </c>
    </row>
    <row r="6" spans="1:32" x14ac:dyDescent="0.2">
      <c r="C6" t="s">
        <v>1136</v>
      </c>
    </row>
    <row r="7" spans="1:32" x14ac:dyDescent="0.2">
      <c r="C7" t="s">
        <v>1139</v>
      </c>
    </row>
    <row r="8" spans="1:32" x14ac:dyDescent="0.2">
      <c r="C8" t="s">
        <v>1138</v>
      </c>
    </row>
    <row r="10" spans="1:32" x14ac:dyDescent="0.2">
      <c r="C10" t="s">
        <v>1287</v>
      </c>
    </row>
    <row r="12" spans="1:32" x14ac:dyDescent="0.2">
      <c r="B12" s="80" t="s">
        <v>1192</v>
      </c>
    </row>
    <row r="13" spans="1:32" x14ac:dyDescent="0.2">
      <c r="B13" s="77" t="s">
        <v>78</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79</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80</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81</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79</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80</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82</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79</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80</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83</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79</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80</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84</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79</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80</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5703125" style="38" customWidth="1"/>
    <col min="11" max="208" width="7.5703125" style="38" customWidth="1"/>
    <col min="209" max="16384" width="8" style="38"/>
  </cols>
  <sheetData>
    <row r="1" spans="1:3" x14ac:dyDescent="0.2">
      <c r="A1" s="5" t="s">
        <v>156</v>
      </c>
    </row>
    <row r="2" spans="1:3" x14ac:dyDescent="0.2">
      <c r="B2" s="38" t="s">
        <v>487</v>
      </c>
      <c r="C2" s="38" t="s">
        <v>1166</v>
      </c>
    </row>
    <row r="3" spans="1:3" x14ac:dyDescent="0.2">
      <c r="B3" s="38" t="s">
        <v>165</v>
      </c>
      <c r="C3" s="38" t="s">
        <v>885</v>
      </c>
    </row>
    <row r="4" spans="1:3" x14ac:dyDescent="0.2">
      <c r="C4" s="38" t="s">
        <v>886</v>
      </c>
    </row>
    <row r="5" spans="1:3" x14ac:dyDescent="0.2">
      <c r="B5" s="38" t="s">
        <v>887</v>
      </c>
      <c r="C5" s="38" t="s">
        <v>897</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RowHeight="12.75" x14ac:dyDescent="0.2"/>
  <cols>
    <col min="1" max="1" width="5" customWidth="1"/>
    <col min="2" max="2" width="27" bestFit="1" customWidth="1"/>
    <col min="3" max="4" width="10.140625" style="76" customWidth="1"/>
  </cols>
  <sheetData>
    <row r="1" spans="1:6" x14ac:dyDescent="0.2">
      <c r="A1" s="2" t="s">
        <v>156</v>
      </c>
    </row>
    <row r="2" spans="1:6" x14ac:dyDescent="0.2">
      <c r="A2" s="2"/>
      <c r="B2" t="s">
        <v>160</v>
      </c>
      <c r="C2" s="76" t="s">
        <v>158</v>
      </c>
      <c r="D2" s="76" t="s">
        <v>1122</v>
      </c>
      <c r="E2" t="s">
        <v>119</v>
      </c>
    </row>
    <row r="3" spans="1:6" x14ac:dyDescent="0.2">
      <c r="A3" s="2"/>
      <c r="B3" t="s">
        <v>1515</v>
      </c>
      <c r="E3" t="s">
        <v>1516</v>
      </c>
    </row>
    <row r="4" spans="1:6" x14ac:dyDescent="0.2">
      <c r="A4" s="2"/>
      <c r="B4" t="s">
        <v>1403</v>
      </c>
      <c r="C4" s="163">
        <v>40330</v>
      </c>
      <c r="E4" t="s">
        <v>1404</v>
      </c>
    </row>
    <row r="5" spans="1:6" x14ac:dyDescent="0.2">
      <c r="A5" s="2"/>
      <c r="B5" t="s">
        <v>1302</v>
      </c>
      <c r="C5" s="163">
        <v>40096</v>
      </c>
      <c r="D5" s="234" t="s">
        <v>1303</v>
      </c>
      <c r="E5" t="s">
        <v>1304</v>
      </c>
    </row>
    <row r="6" spans="1:6" x14ac:dyDescent="0.2">
      <c r="A6" s="2"/>
      <c r="B6" t="s">
        <v>1120</v>
      </c>
      <c r="D6" s="76" t="s">
        <v>1128</v>
      </c>
      <c r="E6" t="s">
        <v>1129</v>
      </c>
    </row>
    <row r="7" spans="1:6" x14ac:dyDescent="0.2">
      <c r="A7" s="2"/>
      <c r="B7" t="s">
        <v>1121</v>
      </c>
    </row>
    <row r="8" spans="1:6" x14ac:dyDescent="0.2">
      <c r="A8" s="2"/>
      <c r="B8" t="s">
        <v>1119</v>
      </c>
    </row>
    <row r="9" spans="1:6" x14ac:dyDescent="0.2">
      <c r="A9" s="2"/>
      <c r="B9" t="s">
        <v>890</v>
      </c>
      <c r="E9" t="s">
        <v>891</v>
      </c>
    </row>
    <row r="10" spans="1:6" x14ac:dyDescent="0.2">
      <c r="A10" s="2"/>
      <c r="B10" t="s">
        <v>1137</v>
      </c>
    </row>
    <row r="11" spans="1:6" x14ac:dyDescent="0.2">
      <c r="A11" s="2"/>
      <c r="B11" t="s">
        <v>52</v>
      </c>
      <c r="C11" s="163">
        <v>39114</v>
      </c>
      <c r="D11" s="163"/>
      <c r="E11" t="s">
        <v>53</v>
      </c>
    </row>
    <row r="12" spans="1:6" x14ac:dyDescent="0.2">
      <c r="A12" s="2"/>
      <c r="B12" s="1" t="s">
        <v>54</v>
      </c>
      <c r="C12" s="165">
        <v>39071</v>
      </c>
      <c r="D12" s="165"/>
      <c r="E12" s="1"/>
      <c r="F12" s="1"/>
    </row>
    <row r="13" spans="1:6" x14ac:dyDescent="0.2">
      <c r="A13" s="2"/>
      <c r="B13" t="s">
        <v>55</v>
      </c>
      <c r="C13" s="76" t="s">
        <v>56</v>
      </c>
      <c r="E13" t="s">
        <v>57</v>
      </c>
    </row>
    <row r="14" spans="1:6" x14ac:dyDescent="0.2">
      <c r="A14" s="2"/>
      <c r="B14" t="s">
        <v>58</v>
      </c>
      <c r="D14" s="76" t="s">
        <v>1305</v>
      </c>
      <c r="E14" t="s">
        <v>1306</v>
      </c>
    </row>
    <row r="15" spans="1:6" x14ac:dyDescent="0.2">
      <c r="A15" s="2"/>
      <c r="B15" t="s">
        <v>59</v>
      </c>
      <c r="C15" s="76" t="s">
        <v>60</v>
      </c>
      <c r="E15" t="s">
        <v>61</v>
      </c>
    </row>
    <row r="16" spans="1:6" x14ac:dyDescent="0.2">
      <c r="A16" s="2"/>
      <c r="B16" t="s">
        <v>62</v>
      </c>
      <c r="E16" t="s">
        <v>63</v>
      </c>
    </row>
    <row r="17" spans="2:6" x14ac:dyDescent="0.2">
      <c r="B17" t="s">
        <v>1125</v>
      </c>
      <c r="C17" s="163">
        <v>38769</v>
      </c>
      <c r="D17" s="163" t="s">
        <v>1127</v>
      </c>
      <c r="E17" t="s">
        <v>1126</v>
      </c>
    </row>
    <row r="18" spans="2:6" x14ac:dyDescent="0.2">
      <c r="B18" t="s">
        <v>64</v>
      </c>
      <c r="E18" t="s">
        <v>65</v>
      </c>
    </row>
    <row r="19" spans="2:6" x14ac:dyDescent="0.2">
      <c r="B19" t="s">
        <v>66</v>
      </c>
      <c r="E19" t="s">
        <v>67</v>
      </c>
    </row>
    <row r="20" spans="2:6" x14ac:dyDescent="0.2">
      <c r="B20" s="1" t="s">
        <v>114</v>
      </c>
      <c r="C20" s="166" t="s">
        <v>118</v>
      </c>
      <c r="D20" s="166"/>
      <c r="E20" s="1" t="s">
        <v>115</v>
      </c>
      <c r="F20" s="1"/>
    </row>
    <row r="21" spans="2:6" x14ac:dyDescent="0.2">
      <c r="B21" t="s">
        <v>68</v>
      </c>
      <c r="E21" t="s">
        <v>69</v>
      </c>
    </row>
    <row r="22" spans="2:6" x14ac:dyDescent="0.2">
      <c r="B22" t="s">
        <v>70</v>
      </c>
      <c r="C22" s="76">
        <v>2005</v>
      </c>
      <c r="D22" s="76" t="s">
        <v>1123</v>
      </c>
      <c r="E22" t="s">
        <v>1118</v>
      </c>
    </row>
    <row r="23" spans="2:6" x14ac:dyDescent="0.2">
      <c r="B23" t="s">
        <v>71</v>
      </c>
      <c r="C23" s="76">
        <v>2005</v>
      </c>
      <c r="E23" t="s">
        <v>1133</v>
      </c>
    </row>
    <row r="24" spans="2:6" x14ac:dyDescent="0.2">
      <c r="B24" t="s">
        <v>72</v>
      </c>
      <c r="E24" t="s">
        <v>73</v>
      </c>
    </row>
    <row r="25" spans="2:6" x14ac:dyDescent="0.2">
      <c r="B25" t="s">
        <v>110</v>
      </c>
      <c r="C25" s="164">
        <v>37653</v>
      </c>
      <c r="D25" s="164"/>
      <c r="E25" t="s">
        <v>113</v>
      </c>
    </row>
    <row r="26" spans="2:6" x14ac:dyDescent="0.2">
      <c r="B26" t="s">
        <v>111</v>
      </c>
      <c r="C26" s="164">
        <v>37712</v>
      </c>
      <c r="D26" s="164"/>
      <c r="E26" t="s">
        <v>112</v>
      </c>
    </row>
    <row r="27" spans="2:6" x14ac:dyDescent="0.2">
      <c r="B27" s="1" t="s">
        <v>116</v>
      </c>
      <c r="C27" s="166"/>
      <c r="D27" s="166"/>
      <c r="E27" s="1"/>
    </row>
    <row r="28" spans="2:6" x14ac:dyDescent="0.2">
      <c r="B28" t="s">
        <v>120</v>
      </c>
    </row>
    <row r="29" spans="2:6" x14ac:dyDescent="0.2">
      <c r="B29" t="s">
        <v>438</v>
      </c>
      <c r="C29" s="76">
        <v>2002</v>
      </c>
      <c r="E29" t="s">
        <v>1132</v>
      </c>
    </row>
    <row r="30" spans="2:6" x14ac:dyDescent="0.2">
      <c r="B30" s="1" t="s">
        <v>121</v>
      </c>
      <c r="C30" s="166"/>
      <c r="D30" s="166"/>
      <c r="E30" s="1"/>
    </row>
    <row r="31" spans="2:6" x14ac:dyDescent="0.2">
      <c r="B31" t="s">
        <v>1316</v>
      </c>
    </row>
    <row r="32" spans="2:6" x14ac:dyDescent="0.2">
      <c r="B32" t="s">
        <v>1317</v>
      </c>
    </row>
    <row r="33" spans="2:2" x14ac:dyDescent="0.2">
      <c r="B33" t="s">
        <v>1318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156</v>
      </c>
    </row>
    <row r="2" spans="1:3" x14ac:dyDescent="0.2">
      <c r="B2" s="93" t="s">
        <v>487</v>
      </c>
      <c r="C2" s="94" t="s">
        <v>206</v>
      </c>
    </row>
    <row r="3" spans="1:3" x14ac:dyDescent="0.2">
      <c r="B3" s="93" t="s">
        <v>488</v>
      </c>
      <c r="C3" s="94" t="s">
        <v>1150</v>
      </c>
    </row>
    <row r="4" spans="1:3" x14ac:dyDescent="0.2">
      <c r="B4" s="93" t="s">
        <v>497</v>
      </c>
      <c r="C4" s="94" t="s">
        <v>1151</v>
      </c>
    </row>
    <row r="5" spans="1:3" x14ac:dyDescent="0.2">
      <c r="B5" s="93" t="s">
        <v>490</v>
      </c>
      <c r="C5" s="169" t="s">
        <v>1152</v>
      </c>
    </row>
    <row r="6" spans="1:3" x14ac:dyDescent="0.2">
      <c r="B6" s="93" t="s">
        <v>491</v>
      </c>
      <c r="C6" s="94" t="s">
        <v>789</v>
      </c>
    </row>
    <row r="7" spans="1:3" x14ac:dyDescent="0.2">
      <c r="C7" s="94" t="s">
        <v>790</v>
      </c>
    </row>
    <row r="8" spans="1:3" x14ac:dyDescent="0.2">
      <c r="C8" s="94" t="s">
        <v>791</v>
      </c>
    </row>
    <row r="9" spans="1:3" x14ac:dyDescent="0.2">
      <c r="B9" s="93" t="s">
        <v>165</v>
      </c>
      <c r="C9" s="115" t="s">
        <v>1190</v>
      </c>
    </row>
    <row r="10" spans="1:3" x14ac:dyDescent="0.2">
      <c r="C10" s="31" t="s">
        <v>1191</v>
      </c>
    </row>
    <row r="11" spans="1:3" x14ac:dyDescent="0.2">
      <c r="B11" s="93" t="s">
        <v>773</v>
      </c>
      <c r="C11" s="31" t="s">
        <v>222</v>
      </c>
    </row>
    <row r="12" spans="1:3" x14ac:dyDescent="0.2">
      <c r="B12" s="93" t="s">
        <v>167</v>
      </c>
      <c r="C12" s="94" t="s">
        <v>681</v>
      </c>
    </row>
    <row r="13" spans="1:3" x14ac:dyDescent="0.2">
      <c r="B13" s="93" t="s">
        <v>533</v>
      </c>
    </row>
    <row r="14" spans="1:3" x14ac:dyDescent="0.2">
      <c r="C14" s="32" t="s">
        <v>561</v>
      </c>
    </row>
    <row r="15" spans="1:3" x14ac:dyDescent="0.2">
      <c r="C15" s="94" t="s">
        <v>562</v>
      </c>
    </row>
    <row r="16" spans="1:3" x14ac:dyDescent="0.2">
      <c r="C16" s="94" t="s">
        <v>563</v>
      </c>
    </row>
    <row r="18" spans="3:3" x14ac:dyDescent="0.2">
      <c r="C18" s="32" t="s">
        <v>559</v>
      </c>
    </row>
    <row r="19" spans="3:3" x14ac:dyDescent="0.2">
      <c r="C19" s="94" t="s">
        <v>560</v>
      </c>
    </row>
    <row r="21" spans="3:3" x14ac:dyDescent="0.2">
      <c r="C21" s="32" t="s">
        <v>152</v>
      </c>
    </row>
    <row r="22" spans="3:3" x14ac:dyDescent="0.2">
      <c r="C22" s="93" t="s">
        <v>564</v>
      </c>
    </row>
    <row r="23" spans="3:3" x14ac:dyDescent="0.2">
      <c r="C23" s="93" t="s">
        <v>799</v>
      </c>
    </row>
    <row r="24" spans="3:3" x14ac:dyDescent="0.2">
      <c r="C24" s="93" t="s">
        <v>800</v>
      </c>
    </row>
    <row r="25" spans="3:3" x14ac:dyDescent="0.2">
      <c r="C25" s="93" t="s">
        <v>558</v>
      </c>
    </row>
    <row r="26" spans="3:3" x14ac:dyDescent="0.2">
      <c r="C26" s="93" t="s">
        <v>801</v>
      </c>
    </row>
    <row r="28" spans="3:3" x14ac:dyDescent="0.2">
      <c r="C28" s="32" t="s">
        <v>805</v>
      </c>
    </row>
    <row r="29" spans="3:3" x14ac:dyDescent="0.2">
      <c r="C29" s="94" t="s">
        <v>153</v>
      </c>
    </row>
    <row r="30" spans="3:3" x14ac:dyDescent="0.2">
      <c r="C30" s="94" t="s">
        <v>806</v>
      </c>
    </row>
    <row r="32" spans="3:3" x14ac:dyDescent="0.2">
      <c r="C32" s="32" t="s">
        <v>802</v>
      </c>
    </row>
    <row r="33" spans="2:12" x14ac:dyDescent="0.2">
      <c r="C33" s="94" t="s">
        <v>803</v>
      </c>
    </row>
    <row r="34" spans="2:12" x14ac:dyDescent="0.2">
      <c r="C34" s="94" t="s">
        <v>804</v>
      </c>
    </row>
    <row r="36" spans="2:12" x14ac:dyDescent="0.2">
      <c r="C36" s="32" t="s">
        <v>151</v>
      </c>
    </row>
    <row r="37" spans="2:12" x14ac:dyDescent="0.2">
      <c r="C37" s="94" t="s">
        <v>792</v>
      </c>
    </row>
    <row r="38" spans="2:12" x14ac:dyDescent="0.2">
      <c r="C38" s="94" t="s">
        <v>793</v>
      </c>
    </row>
    <row r="39" spans="2:12" x14ac:dyDescent="0.2">
      <c r="C39" s="94" t="s">
        <v>794</v>
      </c>
    </row>
    <row r="40" spans="2:12" x14ac:dyDescent="0.2">
      <c r="C40" s="94" t="s">
        <v>795</v>
      </c>
    </row>
    <row r="41" spans="2:12" x14ac:dyDescent="0.2">
      <c r="C41" s="94" t="s">
        <v>797</v>
      </c>
    </row>
    <row r="42" spans="2:12" x14ac:dyDescent="0.2">
      <c r="C42" s="94" t="s">
        <v>798</v>
      </c>
    </row>
    <row r="45" spans="2:12" x14ac:dyDescent="0.2">
      <c r="B45" s="101" t="s">
        <v>154</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366</v>
      </c>
      <c r="D46" s="97" t="e">
        <f>#REF!</f>
        <v>#REF!</v>
      </c>
      <c r="E46" s="97" t="e">
        <f>#REF!</f>
        <v>#REF!</v>
      </c>
      <c r="F46" s="97" t="e">
        <f>#REF!</f>
        <v>#REF!</v>
      </c>
      <c r="G46" s="97" t="e">
        <f>#REF!</f>
        <v>#REF!</v>
      </c>
      <c r="H46" s="97" t="e">
        <f>#REF!</f>
        <v>#REF!</v>
      </c>
      <c r="I46" s="97"/>
      <c r="J46" s="97"/>
      <c r="K46" s="97"/>
      <c r="L46" s="98"/>
    </row>
    <row r="47" spans="2:12" x14ac:dyDescent="0.2">
      <c r="B47" s="93" t="s">
        <v>367</v>
      </c>
      <c r="C47" s="93"/>
      <c r="D47" s="97" t="e">
        <f>#REF!</f>
        <v>#REF!</v>
      </c>
      <c r="E47" s="97" t="e">
        <f>#REF!</f>
        <v>#REF!</v>
      </c>
      <c r="F47" s="97" t="e">
        <f>#REF!</f>
        <v>#REF!</v>
      </c>
      <c r="G47" s="97" t="e">
        <f>#REF!</f>
        <v>#REF!</v>
      </c>
      <c r="H47" s="97" t="e">
        <f>#REF!</f>
        <v>#REF!</v>
      </c>
      <c r="I47" s="97"/>
      <c r="J47" s="97"/>
      <c r="K47" s="97"/>
      <c r="L47" s="95"/>
    </row>
    <row r="48" spans="2:12" x14ac:dyDescent="0.2">
      <c r="B48" s="9" t="s">
        <v>365</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5703125" style="4" customWidth="1"/>
    <col min="2" max="2" width="13.5703125" style="4" customWidth="1"/>
    <col min="3" max="3" width="7" style="6" customWidth="1"/>
    <col min="4" max="12" width="5.28515625" style="6" customWidth="1"/>
    <col min="13" max="18" width="5.28515625" style="4" customWidth="1"/>
    <col min="19" max="16384" width="9.140625" style="4"/>
  </cols>
  <sheetData>
    <row r="1" spans="1:15" x14ac:dyDescent="0.2">
      <c r="A1" s="5" t="s">
        <v>156</v>
      </c>
    </row>
    <row r="2" spans="1:15" x14ac:dyDescent="0.2">
      <c r="A2" s="5"/>
      <c r="B2" s="4" t="s">
        <v>487</v>
      </c>
      <c r="C2" s="4" t="s">
        <v>772</v>
      </c>
    </row>
    <row r="3" spans="1:15" x14ac:dyDescent="0.2">
      <c r="A3" s="5"/>
      <c r="B3" s="4" t="s">
        <v>488</v>
      </c>
      <c r="C3" s="4" t="s">
        <v>1144</v>
      </c>
    </row>
    <row r="4" spans="1:15" x14ac:dyDescent="0.2">
      <c r="A4" s="5"/>
      <c r="B4" s="4" t="s">
        <v>161</v>
      </c>
      <c r="C4" s="4" t="s">
        <v>1145</v>
      </c>
    </row>
    <row r="5" spans="1:15" x14ac:dyDescent="0.2">
      <c r="A5" s="5"/>
      <c r="B5" s="4" t="s">
        <v>497</v>
      </c>
      <c r="C5" s="4" t="s">
        <v>172</v>
      </c>
    </row>
    <row r="6" spans="1:15" x14ac:dyDescent="0.2">
      <c r="A6" s="5"/>
      <c r="B6" s="4" t="s">
        <v>491</v>
      </c>
      <c r="C6" s="4" t="s">
        <v>203</v>
      </c>
    </row>
    <row r="7" spans="1:15" x14ac:dyDescent="0.2">
      <c r="A7" s="5"/>
      <c r="B7" s="4" t="s">
        <v>773</v>
      </c>
      <c r="C7" s="27" t="s">
        <v>774</v>
      </c>
    </row>
    <row r="8" spans="1:15" x14ac:dyDescent="0.2">
      <c r="A8" s="5"/>
      <c r="B8" s="4" t="s">
        <v>906</v>
      </c>
      <c r="C8" s="28" t="s">
        <v>1194</v>
      </c>
    </row>
    <row r="9" spans="1:15" x14ac:dyDescent="0.2">
      <c r="A9" s="5"/>
      <c r="B9" s="4" t="s">
        <v>165</v>
      </c>
      <c r="C9" s="28" t="s">
        <v>776</v>
      </c>
    </row>
    <row r="10" spans="1:15" x14ac:dyDescent="0.2">
      <c r="A10" s="5"/>
      <c r="B10" s="4" t="s">
        <v>167</v>
      </c>
      <c r="C10" s="4" t="s">
        <v>777</v>
      </c>
    </row>
    <row r="11" spans="1:15" x14ac:dyDescent="0.2">
      <c r="A11" s="5"/>
      <c r="B11" s="4" t="s">
        <v>544</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366</v>
      </c>
      <c r="C13" s="29"/>
      <c r="D13" s="29"/>
      <c r="E13" s="29"/>
      <c r="F13" s="29"/>
      <c r="G13" s="29"/>
      <c r="H13" s="29"/>
      <c r="I13" s="29"/>
      <c r="J13" s="29"/>
      <c r="M13" s="6"/>
      <c r="N13" s="6"/>
      <c r="O13" s="6"/>
    </row>
    <row r="14" spans="1:15" x14ac:dyDescent="0.2">
      <c r="B14" s="4" t="s">
        <v>367</v>
      </c>
      <c r="C14" s="29"/>
      <c r="D14" s="29"/>
      <c r="E14" s="29"/>
      <c r="F14" s="29"/>
      <c r="G14" s="29"/>
      <c r="H14" s="29"/>
      <c r="I14" s="29"/>
      <c r="J14" s="29"/>
      <c r="M14" s="6"/>
      <c r="N14" s="6"/>
      <c r="O14" s="6"/>
    </row>
    <row r="15" spans="1:15" x14ac:dyDescent="0.2">
      <c r="B15" s="4" t="s">
        <v>541</v>
      </c>
      <c r="C15" s="7"/>
      <c r="D15" s="7">
        <v>697</v>
      </c>
      <c r="E15" s="7">
        <v>966</v>
      </c>
      <c r="F15" s="7">
        <v>1116</v>
      </c>
      <c r="G15" s="7">
        <v>1169</v>
      </c>
      <c r="H15" s="7">
        <v>1239</v>
      </c>
      <c r="I15" s="7">
        <v>1357</v>
      </c>
      <c r="J15" s="7">
        <v>1158</v>
      </c>
      <c r="K15" s="7">
        <f>Model!EB15</f>
        <v>1096</v>
      </c>
      <c r="M15" s="6"/>
      <c r="N15" s="6"/>
      <c r="O15" s="6"/>
    </row>
    <row r="18" spans="2:3" x14ac:dyDescent="0.2">
      <c r="B18" s="4" t="s">
        <v>778</v>
      </c>
    </row>
    <row r="19" spans="2:3" s="4" customFormat="1" x14ac:dyDescent="0.2">
      <c r="C19" s="30" t="s">
        <v>779</v>
      </c>
    </row>
    <row r="20" spans="2:3" s="4" customFormat="1" x14ac:dyDescent="0.2">
      <c r="C20" s="4" t="s">
        <v>780</v>
      </c>
    </row>
    <row r="21" spans="2:3" s="4" customFormat="1" x14ac:dyDescent="0.2">
      <c r="C21" s="4" t="s">
        <v>781</v>
      </c>
    </row>
    <row r="22" spans="2:3" s="4" customFormat="1" x14ac:dyDescent="0.2">
      <c r="C22" s="4" t="s">
        <v>782</v>
      </c>
    </row>
    <row r="23" spans="2:3" s="4" customFormat="1" x14ac:dyDescent="0.2">
      <c r="C23" s="4" t="s">
        <v>783</v>
      </c>
    </row>
    <row r="24" spans="2:3" s="4" customFormat="1" x14ac:dyDescent="0.2"/>
    <row r="25" spans="2:3" s="4" customFormat="1" x14ac:dyDescent="0.2">
      <c r="C25" s="30" t="s">
        <v>784</v>
      </c>
    </row>
    <row r="26" spans="2:3" s="4" customFormat="1" x14ac:dyDescent="0.2">
      <c r="C26" s="4" t="s">
        <v>785</v>
      </c>
    </row>
    <row r="27" spans="2:3" s="4" customFormat="1" x14ac:dyDescent="0.2">
      <c r="C27" s="4" t="s">
        <v>786</v>
      </c>
    </row>
    <row r="28" spans="2:3" s="4" customFormat="1" x14ac:dyDescent="0.2">
      <c r="C28" s="4" t="s">
        <v>787</v>
      </c>
    </row>
    <row r="29" spans="2:3" s="4" customFormat="1" x14ac:dyDescent="0.2">
      <c r="C29" s="4" t="s">
        <v>788</v>
      </c>
    </row>
    <row r="33" spans="2:4" x14ac:dyDescent="0.2">
      <c r="B33" s="4" t="s">
        <v>544</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156</v>
      </c>
    </row>
    <row r="2" spans="1:3" x14ac:dyDescent="0.2">
      <c r="B2" s="4" t="s">
        <v>487</v>
      </c>
      <c r="C2" s="4" t="s">
        <v>333</v>
      </c>
    </row>
    <row r="3" spans="1:3" x14ac:dyDescent="0.2">
      <c r="B3" s="4" t="s">
        <v>488</v>
      </c>
      <c r="C3" s="4" t="s">
        <v>1181</v>
      </c>
    </row>
    <row r="4" spans="1:3" x14ac:dyDescent="0.2">
      <c r="B4" s="4" t="s">
        <v>161</v>
      </c>
      <c r="C4" s="4" t="s">
        <v>1182</v>
      </c>
    </row>
    <row r="5" spans="1:3" x14ac:dyDescent="0.2">
      <c r="B5" s="4" t="s">
        <v>162</v>
      </c>
      <c r="C5" s="4" t="s">
        <v>1183</v>
      </c>
    </row>
    <row r="6" spans="1:3" x14ac:dyDescent="0.2">
      <c r="B6" s="4" t="s">
        <v>491</v>
      </c>
      <c r="C6" s="4" t="s">
        <v>1033</v>
      </c>
    </row>
    <row r="7" spans="1:3" x14ac:dyDescent="0.2">
      <c r="B7" s="4" t="s">
        <v>497</v>
      </c>
      <c r="C7" s="4" t="s">
        <v>170</v>
      </c>
    </row>
    <row r="8" spans="1:3" x14ac:dyDescent="0.2">
      <c r="B8" s="4" t="s">
        <v>906</v>
      </c>
      <c r="C8" s="4" t="s">
        <v>576</v>
      </c>
    </row>
    <row r="9" spans="1:3" x14ac:dyDescent="0.2">
      <c r="B9" s="4" t="s">
        <v>778</v>
      </c>
    </row>
    <row r="11" spans="1:3" x14ac:dyDescent="0.2">
      <c r="C11" s="4" t="s">
        <v>1034</v>
      </c>
    </row>
    <row r="12" spans="1:3" x14ac:dyDescent="0.2">
      <c r="C12" s="4" t="s">
        <v>1035</v>
      </c>
    </row>
    <row r="13" spans="1:3" x14ac:dyDescent="0.2">
      <c r="C13" s="4" t="s">
        <v>1036</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156</v>
      </c>
    </row>
    <row r="2" spans="1:4" x14ac:dyDescent="0.2">
      <c r="B2" s="134" t="s">
        <v>487</v>
      </c>
      <c r="C2" s="134" t="s">
        <v>1521</v>
      </c>
    </row>
    <row r="3" spans="1:4" x14ac:dyDescent="0.2">
      <c r="B3" s="134" t="s">
        <v>488</v>
      </c>
      <c r="C3" s="134" t="s">
        <v>334</v>
      </c>
    </row>
    <row r="4" spans="1:4" x14ac:dyDescent="0.2">
      <c r="B4" s="134" t="s">
        <v>161</v>
      </c>
      <c r="C4" s="134" t="s">
        <v>209</v>
      </c>
    </row>
    <row r="5" spans="1:4" x14ac:dyDescent="0.2">
      <c r="B5" s="134" t="s">
        <v>497</v>
      </c>
      <c r="C5" s="134" t="s">
        <v>172</v>
      </c>
    </row>
    <row r="6" spans="1:4" x14ac:dyDescent="0.2">
      <c r="B6" s="134" t="s">
        <v>491</v>
      </c>
      <c r="C6" s="134" t="s">
        <v>748</v>
      </c>
    </row>
    <row r="7" spans="1:4" x14ac:dyDescent="0.2">
      <c r="B7" s="134" t="s">
        <v>773</v>
      </c>
      <c r="C7" s="134" t="s">
        <v>749</v>
      </c>
    </row>
    <row r="8" spans="1:4" x14ac:dyDescent="0.2">
      <c r="B8" s="134" t="s">
        <v>906</v>
      </c>
      <c r="C8" s="134" t="s">
        <v>1522</v>
      </c>
    </row>
    <row r="9" spans="1:4" x14ac:dyDescent="0.2">
      <c r="C9" s="134" t="s">
        <v>1524</v>
      </c>
    </row>
    <row r="10" spans="1:4" x14ac:dyDescent="0.2">
      <c r="B10" s="134" t="s">
        <v>778</v>
      </c>
    </row>
    <row r="11" spans="1:4" x14ac:dyDescent="0.2">
      <c r="C11" s="134" t="s">
        <v>750</v>
      </c>
    </row>
    <row r="12" spans="1:4" x14ac:dyDescent="0.2">
      <c r="C12" s="111" t="s">
        <v>751</v>
      </c>
    </row>
    <row r="13" spans="1:4" x14ac:dyDescent="0.2">
      <c r="C13" s="134" t="s">
        <v>752</v>
      </c>
    </row>
    <row r="14" spans="1:4" x14ac:dyDescent="0.2">
      <c r="C14" s="134" t="s">
        <v>538</v>
      </c>
      <c r="D14" s="134" t="s">
        <v>753</v>
      </c>
    </row>
    <row r="15" spans="1:4" x14ac:dyDescent="0.2">
      <c r="D15" s="134" t="s">
        <v>754</v>
      </c>
    </row>
    <row r="16" spans="1:4" x14ac:dyDescent="0.2">
      <c r="D16" s="134" t="s">
        <v>755</v>
      </c>
    </row>
    <row r="17" spans="2:4" x14ac:dyDescent="0.2">
      <c r="C17" s="134" t="s">
        <v>756</v>
      </c>
    </row>
    <row r="18" spans="2:4" x14ac:dyDescent="0.2">
      <c r="D18" s="134" t="s">
        <v>757</v>
      </c>
    </row>
    <row r="19" spans="2:4" x14ac:dyDescent="0.2">
      <c r="D19" s="134" t="s">
        <v>758</v>
      </c>
    </row>
    <row r="21" spans="2:4" x14ac:dyDescent="0.2">
      <c r="B21" s="135" t="s">
        <v>759</v>
      </c>
    </row>
    <row r="22" spans="2:4" x14ac:dyDescent="0.2">
      <c r="B22" s="135" t="s">
        <v>760</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156</v>
      </c>
    </row>
    <row r="2" spans="1:3" x14ac:dyDescent="0.2">
      <c r="B2" s="4" t="s">
        <v>487</v>
      </c>
      <c r="C2" s="4" t="s">
        <v>845</v>
      </c>
    </row>
    <row r="3" spans="1:3" x14ac:dyDescent="0.2">
      <c r="B3" s="4" t="s">
        <v>956</v>
      </c>
      <c r="C3" s="4" t="s">
        <v>851</v>
      </c>
    </row>
    <row r="4" spans="1:3" x14ac:dyDescent="0.2">
      <c r="B4" s="4" t="s">
        <v>161</v>
      </c>
      <c r="C4" s="4" t="s">
        <v>957</v>
      </c>
    </row>
    <row r="5" spans="1:3" x14ac:dyDescent="0.2">
      <c r="B5" s="4" t="s">
        <v>491</v>
      </c>
      <c r="C5" s="4" t="s">
        <v>862</v>
      </c>
    </row>
    <row r="6" spans="1:3" x14ac:dyDescent="0.2">
      <c r="B6" s="4" t="s">
        <v>165</v>
      </c>
    </row>
    <row r="7" spans="1:3" x14ac:dyDescent="0.2">
      <c r="B7" s="4" t="s">
        <v>773</v>
      </c>
      <c r="C7" s="4" t="s">
        <v>847</v>
      </c>
    </row>
    <row r="8" spans="1:3" x14ac:dyDescent="0.2">
      <c r="B8" s="4" t="s">
        <v>906</v>
      </c>
      <c r="C8" s="4" t="s">
        <v>1029</v>
      </c>
    </row>
    <row r="9" spans="1:3" x14ac:dyDescent="0.2">
      <c r="B9" s="4" t="s">
        <v>529</v>
      </c>
      <c r="C9" s="4" t="s">
        <v>875</v>
      </c>
    </row>
    <row r="10" spans="1:3" x14ac:dyDescent="0.2">
      <c r="B10" s="4" t="s">
        <v>495</v>
      </c>
      <c r="C10" s="4" t="s">
        <v>871</v>
      </c>
    </row>
    <row r="11" spans="1:3" x14ac:dyDescent="0.2">
      <c r="B11" s="4" t="s">
        <v>108</v>
      </c>
      <c r="C11" s="4" t="s">
        <v>846</v>
      </c>
    </row>
    <row r="12" spans="1:3" x14ac:dyDescent="0.2">
      <c r="B12" s="4" t="s">
        <v>167</v>
      </c>
      <c r="C12" s="4" t="s">
        <v>874</v>
      </c>
    </row>
    <row r="13" spans="1:3" x14ac:dyDescent="0.2">
      <c r="B13" s="4" t="s">
        <v>533</v>
      </c>
    </row>
    <row r="14" spans="1:3" x14ac:dyDescent="0.2">
      <c r="C14" s="30" t="s">
        <v>869</v>
      </c>
    </row>
    <row r="15" spans="1:3" x14ac:dyDescent="0.2">
      <c r="C15" s="4" t="s">
        <v>870</v>
      </c>
    </row>
    <row r="17" spans="3:3" x14ac:dyDescent="0.2">
      <c r="C17" s="30" t="s">
        <v>868</v>
      </c>
    </row>
    <row r="18" spans="3:3" x14ac:dyDescent="0.2">
      <c r="C18" s="4" t="s">
        <v>848</v>
      </c>
    </row>
    <row r="19" spans="3:3" x14ac:dyDescent="0.2">
      <c r="C19" s="4" t="s">
        <v>854</v>
      </c>
    </row>
    <row r="20" spans="3:3" x14ac:dyDescent="0.2">
      <c r="C20" s="4" t="s">
        <v>855</v>
      </c>
    </row>
    <row r="21" spans="3:3" x14ac:dyDescent="0.2">
      <c r="C21" s="4" t="s">
        <v>856</v>
      </c>
    </row>
    <row r="22" spans="3:3" x14ac:dyDescent="0.2">
      <c r="C22" s="4" t="s">
        <v>857</v>
      </c>
    </row>
    <row r="23" spans="3:3" x14ac:dyDescent="0.2">
      <c r="C23" s="4" t="s">
        <v>858</v>
      </c>
    </row>
    <row r="24" spans="3:3" x14ac:dyDescent="0.2">
      <c r="C24" s="4" t="s">
        <v>867</v>
      </c>
    </row>
    <row r="26" spans="3:3" x14ac:dyDescent="0.2">
      <c r="C26" s="30" t="s">
        <v>873</v>
      </c>
    </row>
    <row r="27" spans="3:3" x14ac:dyDescent="0.2">
      <c r="C27" s="30"/>
    </row>
    <row r="28" spans="3:3" x14ac:dyDescent="0.2">
      <c r="C28" s="30" t="s">
        <v>872</v>
      </c>
    </row>
    <row r="30" spans="3:3" x14ac:dyDescent="0.2">
      <c r="C30" s="30" t="s">
        <v>861</v>
      </c>
    </row>
    <row r="31" spans="3:3" x14ac:dyDescent="0.2">
      <c r="C31" s="4" t="s">
        <v>849</v>
      </c>
    </row>
    <row r="32" spans="3:3" x14ac:dyDescent="0.2">
      <c r="C32" s="4" t="s">
        <v>850</v>
      </c>
    </row>
    <row r="34" spans="3:3" x14ac:dyDescent="0.2">
      <c r="C34" s="30" t="s">
        <v>860</v>
      </c>
    </row>
    <row r="55" spans="3:3" x14ac:dyDescent="0.2">
      <c r="C55" s="4" t="s">
        <v>1032</v>
      </c>
    </row>
    <row r="57" spans="3:3" x14ac:dyDescent="0.2">
      <c r="C57" s="4" t="s">
        <v>859</v>
      </c>
    </row>
    <row r="59" spans="3:3" x14ac:dyDescent="0.2">
      <c r="C59" s="30" t="s">
        <v>863</v>
      </c>
    </row>
    <row r="60" spans="3:3" x14ac:dyDescent="0.2">
      <c r="C60" s="4" t="s">
        <v>864</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5703125" style="6" customWidth="1"/>
    <col min="10" max="10" width="4.42578125" style="6" customWidth="1"/>
    <col min="11" max="11" width="5.42578125" style="6" customWidth="1"/>
    <col min="12" max="12" width="4.42578125" style="6" customWidth="1"/>
    <col min="13" max="15" width="3.5703125" style="6" customWidth="1"/>
    <col min="16" max="16" width="5.42578125" style="6" customWidth="1"/>
    <col min="17" max="16384" width="9.140625" style="4"/>
  </cols>
  <sheetData>
    <row r="1" spans="1:3" x14ac:dyDescent="0.2">
      <c r="A1" s="5" t="s">
        <v>156</v>
      </c>
    </row>
    <row r="2" spans="1:3" x14ac:dyDescent="0.2">
      <c r="B2" s="93" t="s">
        <v>487</v>
      </c>
      <c r="C2" s="115" t="s">
        <v>208</v>
      </c>
    </row>
    <row r="3" spans="1:3" x14ac:dyDescent="0.2">
      <c r="B3" s="93" t="s">
        <v>488</v>
      </c>
      <c r="C3" s="115" t="s">
        <v>1167</v>
      </c>
    </row>
    <row r="4" spans="1:3" x14ac:dyDescent="0.2">
      <c r="B4" s="93" t="s">
        <v>491</v>
      </c>
      <c r="C4" s="115" t="s">
        <v>1168</v>
      </c>
    </row>
    <row r="5" spans="1:3" x14ac:dyDescent="0.2">
      <c r="B5" s="93" t="s">
        <v>645</v>
      </c>
      <c r="C5" s="115" t="s">
        <v>1169</v>
      </c>
    </row>
    <row r="6" spans="1:3" x14ac:dyDescent="0.2">
      <c r="B6" s="93" t="s">
        <v>497</v>
      </c>
      <c r="C6" s="115" t="s">
        <v>170</v>
      </c>
    </row>
    <row r="7" spans="1:3" x14ac:dyDescent="0.2">
      <c r="B7" s="93" t="s">
        <v>490</v>
      </c>
      <c r="C7" s="115" t="s">
        <v>705</v>
      </c>
    </row>
    <row r="8" spans="1:3" x14ac:dyDescent="0.2">
      <c r="B8" s="93" t="s">
        <v>161</v>
      </c>
      <c r="C8" s="115" t="s">
        <v>706</v>
      </c>
    </row>
    <row r="9" spans="1:3" x14ac:dyDescent="0.2">
      <c r="B9" s="93" t="s">
        <v>165</v>
      </c>
      <c r="C9" s="115" t="s">
        <v>707</v>
      </c>
    </row>
    <row r="10" spans="1:3" x14ac:dyDescent="0.2">
      <c r="B10" s="93" t="s">
        <v>538</v>
      </c>
      <c r="C10" s="116" t="s">
        <v>710</v>
      </c>
    </row>
    <row r="11" spans="1:3" x14ac:dyDescent="0.2">
      <c r="B11" s="93" t="s">
        <v>167</v>
      </c>
      <c r="C11" s="115" t="s">
        <v>711</v>
      </c>
    </row>
    <row r="12" spans="1:3" x14ac:dyDescent="0.2">
      <c r="B12" s="93" t="s">
        <v>773</v>
      </c>
      <c r="C12" s="115" t="s">
        <v>712</v>
      </c>
    </row>
    <row r="13" spans="1:3" x14ac:dyDescent="0.2">
      <c r="B13" s="93" t="s">
        <v>533</v>
      </c>
    </row>
    <row r="14" spans="1:3" x14ac:dyDescent="0.2">
      <c r="C14" s="115" t="s">
        <v>713</v>
      </c>
    </row>
    <row r="17" spans="3:16" x14ac:dyDescent="0.2">
      <c r="C17" s="115" t="s">
        <v>292</v>
      </c>
      <c r="D17" s="6" t="s">
        <v>293</v>
      </c>
      <c r="E17" s="6" t="s">
        <v>294</v>
      </c>
      <c r="F17" s="6" t="s">
        <v>898</v>
      </c>
      <c r="K17" s="6" t="s">
        <v>899</v>
      </c>
      <c r="P17" s="6" t="s">
        <v>900</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901</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5703125" style="110" customWidth="1"/>
    <col min="3" max="16384" width="9.140625" style="110"/>
  </cols>
  <sheetData>
    <row r="1" spans="1:31" ht="12.75" customHeight="1" x14ac:dyDescent="0.2">
      <c r="A1" s="116" t="s">
        <v>156</v>
      </c>
    </row>
    <row r="2" spans="1:31" ht="12.75" customHeight="1" x14ac:dyDescent="0.2">
      <c r="B2" s="110" t="s">
        <v>1088</v>
      </c>
    </row>
    <row r="3" spans="1:31" ht="12.75" customHeight="1" x14ac:dyDescent="0.2">
      <c r="B3" t="s">
        <v>1280</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234</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79</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80</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232</v>
      </c>
      <c r="D12" s="54">
        <v>2002</v>
      </c>
      <c r="E12" s="54">
        <v>2003</v>
      </c>
      <c r="F12" s="54">
        <v>2004</v>
      </c>
      <c r="G12" s="195" t="s">
        <v>769</v>
      </c>
      <c r="H12" s="195" t="s">
        <v>770</v>
      </c>
      <c r="I12" s="195" t="s">
        <v>771</v>
      </c>
      <c r="J12" s="196" t="s">
        <v>512</v>
      </c>
    </row>
    <row r="13" spans="1:31" ht="12.75" customHeight="1" x14ac:dyDescent="0.2">
      <c r="B13" s="201" t="s">
        <v>1095</v>
      </c>
      <c r="C13" s="200">
        <v>388</v>
      </c>
      <c r="D13" s="200">
        <v>405</v>
      </c>
      <c r="E13" s="200">
        <v>420</v>
      </c>
      <c r="F13" s="200">
        <v>440</v>
      </c>
      <c r="G13" s="202">
        <v>468</v>
      </c>
      <c r="H13" s="202">
        <v>490</v>
      </c>
      <c r="I13" s="202">
        <v>514</v>
      </c>
      <c r="J13" s="203">
        <v>542</v>
      </c>
      <c r="L13" t="s">
        <v>1282</v>
      </c>
    </row>
    <row r="14" spans="1:31" ht="12.75" customHeight="1" x14ac:dyDescent="0.2">
      <c r="B14" s="201" t="s">
        <v>1096</v>
      </c>
      <c r="C14" s="204"/>
      <c r="D14" s="204"/>
      <c r="E14" s="204"/>
      <c r="F14" s="204"/>
      <c r="G14" s="205">
        <v>638</v>
      </c>
      <c r="H14" s="205">
        <v>710</v>
      </c>
      <c r="I14" s="205">
        <v>774</v>
      </c>
      <c r="J14" s="206">
        <v>836</v>
      </c>
    </row>
    <row r="15" spans="1:31" ht="12.75" customHeight="1" x14ac:dyDescent="0.2">
      <c r="B15" s="201" t="s">
        <v>1097</v>
      </c>
      <c r="C15" s="204">
        <v>129</v>
      </c>
      <c r="D15" s="204">
        <v>152</v>
      </c>
      <c r="E15" s="204">
        <v>174</v>
      </c>
      <c r="F15" s="207">
        <v>198</v>
      </c>
      <c r="G15" s="205">
        <v>236</v>
      </c>
      <c r="H15" s="205">
        <v>268</v>
      </c>
      <c r="I15" s="205">
        <v>300</v>
      </c>
      <c r="J15" s="206">
        <v>336</v>
      </c>
    </row>
    <row r="16" spans="1:31" ht="12.75" customHeight="1" x14ac:dyDescent="0.2">
      <c r="B16" s="201" t="s">
        <v>381</v>
      </c>
      <c r="C16" s="208">
        <v>70</v>
      </c>
      <c r="D16" s="208">
        <v>74</v>
      </c>
      <c r="E16" s="208">
        <v>80</v>
      </c>
      <c r="F16" s="209">
        <v>86</v>
      </c>
      <c r="G16" s="210">
        <v>93</v>
      </c>
      <c r="H16" s="210">
        <v>98</v>
      </c>
      <c r="I16" s="210">
        <v>102</v>
      </c>
      <c r="J16" s="211">
        <v>106</v>
      </c>
    </row>
    <row r="17" spans="2:10" ht="12.75" customHeight="1" x14ac:dyDescent="0.2">
      <c r="B17" s="212" t="s">
        <v>1098</v>
      </c>
      <c r="C17" s="213"/>
      <c r="D17" s="213"/>
      <c r="E17" s="213"/>
      <c r="F17" s="213"/>
      <c r="G17" s="213"/>
      <c r="H17" s="213"/>
      <c r="I17" s="213"/>
      <c r="J17" s="214"/>
    </row>
    <row r="18" spans="2:10" ht="12.75" customHeight="1" x14ac:dyDescent="0.2">
      <c r="B18" s="215" t="s">
        <v>1099</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2.75" x14ac:dyDescent="0.2"/>
  <cols>
    <col min="1" max="1" width="5" bestFit="1" customWidth="1"/>
    <col min="2" max="2" width="9.140625" style="76"/>
    <col min="3" max="3" width="28.5703125" customWidth="1"/>
    <col min="4" max="4" width="18.5703125" customWidth="1"/>
    <col min="5" max="5" width="10.140625" bestFit="1" customWidth="1"/>
    <col min="6" max="6" width="9.85546875" customWidth="1"/>
    <col min="7" max="7" width="17.85546875" customWidth="1"/>
  </cols>
  <sheetData>
    <row r="1" spans="1:8" x14ac:dyDescent="0.2">
      <c r="A1" s="116" t="s">
        <v>156</v>
      </c>
    </row>
    <row r="2" spans="1:8" x14ac:dyDescent="0.2">
      <c r="A2" s="116"/>
      <c r="B2" s="76" t="s">
        <v>1726</v>
      </c>
      <c r="C2" t="s">
        <v>1727</v>
      </c>
      <c r="D2" t="s">
        <v>1728</v>
      </c>
      <c r="E2" t="s">
        <v>74</v>
      </c>
      <c r="F2" t="s">
        <v>1369</v>
      </c>
      <c r="G2" t="s">
        <v>1730</v>
      </c>
      <c r="H2" t="s">
        <v>1732</v>
      </c>
    </row>
    <row r="3" spans="1:8" x14ac:dyDescent="0.2">
      <c r="A3" s="116"/>
      <c r="B3" s="76">
        <v>11384122</v>
      </c>
      <c r="C3" t="s">
        <v>1725</v>
      </c>
      <c r="H3">
        <v>1</v>
      </c>
    </row>
    <row r="4" spans="1:8" x14ac:dyDescent="0.2">
      <c r="A4" s="116"/>
      <c r="B4" s="76">
        <v>11384099</v>
      </c>
      <c r="C4" t="s">
        <v>1729</v>
      </c>
      <c r="D4" t="s">
        <v>1731</v>
      </c>
      <c r="E4" s="305">
        <v>43427</v>
      </c>
      <c r="F4" s="305">
        <v>44754</v>
      </c>
      <c r="G4" t="s">
        <v>1733</v>
      </c>
      <c r="H4">
        <v>3</v>
      </c>
    </row>
    <row r="5" spans="1:8" x14ac:dyDescent="0.2">
      <c r="A5" s="116"/>
      <c r="B5" s="76">
        <v>11384075</v>
      </c>
      <c r="C5" t="s">
        <v>1734</v>
      </c>
      <c r="D5" t="s">
        <v>1731</v>
      </c>
      <c r="E5" s="305">
        <v>43277</v>
      </c>
      <c r="F5" s="305">
        <v>44754</v>
      </c>
      <c r="G5" t="s">
        <v>1733</v>
      </c>
      <c r="H5">
        <v>3</v>
      </c>
    </row>
    <row r="6" spans="1:8" x14ac:dyDescent="0.2">
      <c r="A6" s="116"/>
      <c r="B6" s="76">
        <v>11377640</v>
      </c>
      <c r="C6" t="s">
        <v>1735</v>
      </c>
      <c r="E6" s="305"/>
      <c r="F6" s="305"/>
      <c r="H6">
        <v>1</v>
      </c>
    </row>
    <row r="7" spans="1:8" x14ac:dyDescent="0.2">
      <c r="A7" s="116"/>
      <c r="B7" s="76" t="s">
        <v>1736</v>
      </c>
      <c r="C7" t="s">
        <v>1737</v>
      </c>
      <c r="E7" s="305"/>
      <c r="F7" s="305"/>
      <c r="H7">
        <v>1</v>
      </c>
    </row>
    <row r="8" spans="1:8" x14ac:dyDescent="0.2">
      <c r="A8" s="116"/>
      <c r="B8" s="76">
        <v>11369642</v>
      </c>
      <c r="C8" t="s">
        <v>1738</v>
      </c>
      <c r="D8" t="s">
        <v>1739</v>
      </c>
      <c r="E8" s="305">
        <v>43690</v>
      </c>
      <c r="F8" s="305">
        <v>44740</v>
      </c>
      <c r="G8" t="s">
        <v>1740</v>
      </c>
      <c r="H8">
        <v>2</v>
      </c>
    </row>
    <row r="9" spans="1:8" x14ac:dyDescent="0.2">
      <c r="A9" s="116"/>
      <c r="B9" s="76">
        <v>11369612</v>
      </c>
      <c r="C9" t="s">
        <v>1741</v>
      </c>
      <c r="D9" t="s">
        <v>1742</v>
      </c>
      <c r="E9" s="305">
        <v>43438</v>
      </c>
      <c r="F9" s="305">
        <v>44740</v>
      </c>
      <c r="G9" t="s">
        <v>1743</v>
      </c>
      <c r="H9">
        <v>3</v>
      </c>
    </row>
    <row r="10" spans="1:8" x14ac:dyDescent="0.2">
      <c r="A10" s="116"/>
      <c r="B10" s="76">
        <v>11369606</v>
      </c>
      <c r="C10" t="s">
        <v>1744</v>
      </c>
      <c r="D10" t="s">
        <v>1731</v>
      </c>
      <c r="E10" s="305">
        <v>43818</v>
      </c>
      <c r="F10" s="305">
        <v>44740</v>
      </c>
      <c r="G10" t="s">
        <v>1745</v>
      </c>
      <c r="H10">
        <v>3</v>
      </c>
    </row>
    <row r="11" spans="1:8" x14ac:dyDescent="0.2">
      <c r="A11" s="116"/>
      <c r="B11" s="76">
        <v>11365244</v>
      </c>
      <c r="C11" t="s">
        <v>1746</v>
      </c>
      <c r="D11" t="s">
        <v>1739</v>
      </c>
      <c r="E11" s="305">
        <v>44049</v>
      </c>
      <c r="F11" s="305">
        <v>44733</v>
      </c>
      <c r="G11" t="s">
        <v>1747</v>
      </c>
      <c r="H11">
        <v>4</v>
      </c>
    </row>
    <row r="12" spans="1:8" x14ac:dyDescent="0.2">
      <c r="A12" s="116"/>
      <c r="B12" s="76">
        <v>11365222</v>
      </c>
      <c r="C12" t="s">
        <v>1748</v>
      </c>
      <c r="D12" t="s">
        <v>1749</v>
      </c>
      <c r="E12" s="305">
        <v>44056</v>
      </c>
      <c r="F12" s="305">
        <v>44733</v>
      </c>
      <c r="G12" t="s">
        <v>1750</v>
      </c>
      <c r="H12">
        <v>3</v>
      </c>
    </row>
    <row r="13" spans="1:8" x14ac:dyDescent="0.2">
      <c r="A13" s="116"/>
      <c r="B13" s="76">
        <v>11364310</v>
      </c>
      <c r="C13" t="s">
        <v>1751</v>
      </c>
      <c r="D13" t="s">
        <v>1752</v>
      </c>
      <c r="E13" s="305">
        <v>42950</v>
      </c>
      <c r="F13" s="305">
        <v>44733</v>
      </c>
      <c r="H13">
        <v>2</v>
      </c>
    </row>
    <row r="14" spans="1:8" x14ac:dyDescent="0.2">
      <c r="A14" s="116"/>
      <c r="B14" s="76">
        <v>11359029</v>
      </c>
      <c r="C14" t="s">
        <v>1753</v>
      </c>
      <c r="D14" t="s">
        <v>1754</v>
      </c>
      <c r="E14" s="305">
        <v>43927</v>
      </c>
      <c r="F14" s="305">
        <v>44726</v>
      </c>
      <c r="G14" t="s">
        <v>1755</v>
      </c>
      <c r="H14">
        <v>4</v>
      </c>
    </row>
    <row r="15" spans="1:8" x14ac:dyDescent="0.2">
      <c r="A15" s="116"/>
      <c r="B15" s="76">
        <v>11345739</v>
      </c>
      <c r="C15" t="s">
        <v>1756</v>
      </c>
      <c r="E15" s="305"/>
      <c r="F15" s="305"/>
    </row>
    <row r="16" spans="1:8" x14ac:dyDescent="0.2">
      <c r="B16" s="76">
        <v>8785605</v>
      </c>
      <c r="C16" t="s">
        <v>1655</v>
      </c>
    </row>
    <row r="17" spans="2:3" x14ac:dyDescent="0.2">
      <c r="B17" s="76">
        <v>8785486</v>
      </c>
      <c r="C17" t="s">
        <v>1656</v>
      </c>
    </row>
    <row r="18" spans="2:3" x14ac:dyDescent="0.2">
      <c r="B18" s="76">
        <v>8784810</v>
      </c>
      <c r="C18" t="s">
        <v>1657</v>
      </c>
    </row>
    <row r="19" spans="2:3" x14ac:dyDescent="0.2">
      <c r="B19" s="76">
        <v>8779158</v>
      </c>
      <c r="C19" t="s">
        <v>1658</v>
      </c>
    </row>
    <row r="20" spans="2:3" x14ac:dyDescent="0.2">
      <c r="B20" s="76">
        <v>8778966</v>
      </c>
      <c r="C20" t="s">
        <v>1659</v>
      </c>
    </row>
    <row r="21" spans="2:3" x14ac:dyDescent="0.2">
      <c r="B21" s="76">
        <v>8778956</v>
      </c>
      <c r="C21" t="s">
        <v>1660</v>
      </c>
    </row>
    <row r="22" spans="2:3" x14ac:dyDescent="0.2">
      <c r="B22" s="76">
        <v>8778920</v>
      </c>
      <c r="C22" t="s">
        <v>1661</v>
      </c>
    </row>
    <row r="23" spans="2:3" x14ac:dyDescent="0.2">
      <c r="B23" s="76">
        <v>8778919</v>
      </c>
      <c r="C23" t="s">
        <v>1662</v>
      </c>
    </row>
    <row r="24" spans="2:3" x14ac:dyDescent="0.2">
      <c r="B24" s="76">
        <v>8772504</v>
      </c>
      <c r="C24" t="s">
        <v>1663</v>
      </c>
    </row>
    <row r="25" spans="2:3" x14ac:dyDescent="0.2">
      <c r="B25" s="76">
        <v>8772494</v>
      </c>
      <c r="C25" t="s">
        <v>1664</v>
      </c>
    </row>
    <row r="26" spans="2:3" x14ac:dyDescent="0.2">
      <c r="B26" s="76">
        <v>8772325</v>
      </c>
      <c r="C26" t="s">
        <v>1665</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5703125" style="4" customWidth="1"/>
    <col min="6" max="13" width="5.28515625" style="4" customWidth="1"/>
    <col min="14" max="23" width="5.28515625" style="6" customWidth="1"/>
    <col min="24" max="30" width="5.28515625" style="4" customWidth="1"/>
    <col min="31" max="31" width="5.5703125" style="4" customWidth="1"/>
    <col min="32" max="34" width="5.42578125" style="4" customWidth="1"/>
    <col min="35" max="16384" width="9.140625" style="4"/>
  </cols>
  <sheetData>
    <row r="1" spans="1:3" x14ac:dyDescent="0.2">
      <c r="A1" s="5" t="s">
        <v>156</v>
      </c>
    </row>
    <row r="2" spans="1:3" x14ac:dyDescent="0.2">
      <c r="B2" s="4" t="s">
        <v>487</v>
      </c>
      <c r="C2" s="4" t="s">
        <v>526</v>
      </c>
    </row>
    <row r="3" spans="1:3" x14ac:dyDescent="0.2">
      <c r="B3" s="4" t="s">
        <v>488</v>
      </c>
      <c r="C3" s="4" t="s">
        <v>527</v>
      </c>
    </row>
    <row r="4" spans="1:3" x14ac:dyDescent="0.2">
      <c r="B4" s="4" t="s">
        <v>491</v>
      </c>
      <c r="C4" s="4" t="s">
        <v>1162</v>
      </c>
    </row>
    <row r="5" spans="1:3" x14ac:dyDescent="0.2">
      <c r="C5" s="4" t="s">
        <v>1163</v>
      </c>
    </row>
    <row r="6" spans="1:3" x14ac:dyDescent="0.2">
      <c r="C6" s="4" t="s">
        <v>528</v>
      </c>
    </row>
    <row r="7" spans="1:3" x14ac:dyDescent="0.2">
      <c r="B7" s="4" t="s">
        <v>529</v>
      </c>
      <c r="C7" s="4" t="s">
        <v>530</v>
      </c>
    </row>
    <row r="8" spans="1:3" x14ac:dyDescent="0.2">
      <c r="B8" s="4" t="s">
        <v>497</v>
      </c>
      <c r="C8" s="4" t="s">
        <v>172</v>
      </c>
    </row>
    <row r="9" spans="1:3" x14ac:dyDescent="0.2">
      <c r="B9" s="4" t="s">
        <v>490</v>
      </c>
      <c r="C9" s="4" t="s">
        <v>531</v>
      </c>
    </row>
    <row r="10" spans="1:3" x14ac:dyDescent="0.2">
      <c r="B10" s="4" t="s">
        <v>533</v>
      </c>
      <c r="C10" s="4" t="s">
        <v>534</v>
      </c>
    </row>
    <row r="11" spans="1:3" x14ac:dyDescent="0.2">
      <c r="B11" s="4" t="s">
        <v>165</v>
      </c>
      <c r="C11" s="24" t="s">
        <v>535</v>
      </c>
    </row>
    <row r="12" spans="1:3" x14ac:dyDescent="0.2">
      <c r="C12" s="24" t="s">
        <v>536</v>
      </c>
    </row>
    <row r="13" spans="1:3" x14ac:dyDescent="0.2">
      <c r="C13" s="24" t="s">
        <v>537</v>
      </c>
    </row>
    <row r="14" spans="1:3" x14ac:dyDescent="0.2">
      <c r="B14" s="4" t="s">
        <v>538</v>
      </c>
      <c r="C14" s="4" t="s">
        <v>539</v>
      </c>
    </row>
    <row r="15" spans="1:3" x14ac:dyDescent="0.2">
      <c r="B15" s="4" t="s">
        <v>167</v>
      </c>
      <c r="C15" s="4" t="s">
        <v>540</v>
      </c>
    </row>
    <row r="17" spans="2:34" x14ac:dyDescent="0.2">
      <c r="C17" s="6" t="s">
        <v>275</v>
      </c>
      <c r="D17" s="6" t="s">
        <v>276</v>
      </c>
      <c r="E17" s="6" t="s">
        <v>277</v>
      </c>
      <c r="F17" s="6" t="s">
        <v>278</v>
      </c>
      <c r="G17" s="6" t="s">
        <v>279</v>
      </c>
      <c r="H17" s="6" t="s">
        <v>280</v>
      </c>
      <c r="I17" s="6" t="s">
        <v>281</v>
      </c>
      <c r="J17" s="6" t="s">
        <v>282</v>
      </c>
      <c r="K17" s="6" t="s">
        <v>283</v>
      </c>
      <c r="L17" s="6" t="s">
        <v>284</v>
      </c>
      <c r="M17" s="6" t="s">
        <v>285</v>
      </c>
      <c r="N17" s="6" t="s">
        <v>286</v>
      </c>
      <c r="O17" s="6" t="s">
        <v>287</v>
      </c>
      <c r="P17" s="6" t="s">
        <v>288</v>
      </c>
      <c r="Q17" s="6" t="s">
        <v>289</v>
      </c>
      <c r="R17" s="6" t="s">
        <v>290</v>
      </c>
      <c r="S17" s="6" t="s">
        <v>291</v>
      </c>
      <c r="T17" s="6" t="s">
        <v>292</v>
      </c>
      <c r="U17" s="6" t="s">
        <v>293</v>
      </c>
      <c r="V17" s="6" t="s">
        <v>294</v>
      </c>
      <c r="W17" s="6" t="s">
        <v>295</v>
      </c>
      <c r="X17" s="6" t="s">
        <v>296</v>
      </c>
      <c r="Y17" s="6" t="s">
        <v>297</v>
      </c>
      <c r="Z17" s="6" t="s">
        <v>298</v>
      </c>
      <c r="AA17" s="6" t="s">
        <v>299</v>
      </c>
      <c r="AB17" s="6" t="s">
        <v>300</v>
      </c>
      <c r="AC17" s="6" t="s">
        <v>301</v>
      </c>
      <c r="AD17" s="6" t="s">
        <v>302</v>
      </c>
      <c r="AE17" s="6" t="s">
        <v>303</v>
      </c>
      <c r="AF17" s="6" t="s">
        <v>304</v>
      </c>
      <c r="AG17" s="6" t="s">
        <v>305</v>
      </c>
      <c r="AH17" s="6" t="s">
        <v>306</v>
      </c>
    </row>
    <row r="18" spans="2:34" x14ac:dyDescent="0.2">
      <c r="B18" s="4" t="s">
        <v>366</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367</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541</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542</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366</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367</v>
      </c>
      <c r="C26" s="7">
        <f>D26/1.1899</f>
        <v>437.01151357256913</v>
      </c>
      <c r="D26" s="19">
        <v>520</v>
      </c>
      <c r="E26" s="19">
        <v>604.9</v>
      </c>
      <c r="F26" s="19">
        <v>741.9</v>
      </c>
      <c r="G26" s="19">
        <v>1059</v>
      </c>
      <c r="H26" s="19">
        <v>1339</v>
      </c>
      <c r="I26" s="19">
        <v>1606</v>
      </c>
      <c r="J26" s="19"/>
      <c r="K26" s="19"/>
      <c r="L26" s="19"/>
      <c r="M26" s="19"/>
      <c r="N26" s="19"/>
    </row>
    <row r="27" spans="2:34" x14ac:dyDescent="0.2">
      <c r="B27" s="4" t="s">
        <v>541</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542</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543</v>
      </c>
    </row>
    <row r="33" spans="2:5" x14ac:dyDescent="0.2">
      <c r="B33" s="4" t="s">
        <v>544</v>
      </c>
      <c r="C33" s="6"/>
      <c r="D33" s="6" t="s">
        <v>545</v>
      </c>
      <c r="E33" s="6" t="s">
        <v>546</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156</v>
      </c>
    </row>
    <row r="2" spans="1:13" x14ac:dyDescent="0.2">
      <c r="A2" s="5"/>
      <c r="B2" s="4" t="s">
        <v>487</v>
      </c>
      <c r="C2" s="4" t="s">
        <v>187</v>
      </c>
    </row>
    <row r="3" spans="1:13" x14ac:dyDescent="0.2">
      <c r="A3" s="5"/>
      <c r="B3" s="4" t="s">
        <v>488</v>
      </c>
      <c r="C3" s="4" t="s">
        <v>1156</v>
      </c>
    </row>
    <row r="4" spans="1:13" x14ac:dyDescent="0.2">
      <c r="A4" s="5"/>
      <c r="B4" s="4" t="s">
        <v>161</v>
      </c>
      <c r="C4" s="4" t="s">
        <v>1157</v>
      </c>
    </row>
    <row r="5" spans="1:13" x14ac:dyDescent="0.2">
      <c r="A5" s="5"/>
      <c r="B5" s="4" t="s">
        <v>490</v>
      </c>
      <c r="C5" s="4" t="s">
        <v>1158</v>
      </c>
    </row>
    <row r="6" spans="1:13" x14ac:dyDescent="0.2">
      <c r="A6" s="5"/>
      <c r="B6" s="4" t="s">
        <v>491</v>
      </c>
      <c r="C6" s="4" t="s">
        <v>807</v>
      </c>
    </row>
    <row r="7" spans="1:13" x14ac:dyDescent="0.2">
      <c r="A7" s="5"/>
      <c r="B7" s="4"/>
      <c r="C7" s="4" t="s">
        <v>808</v>
      </c>
    </row>
    <row r="8" spans="1:13" x14ac:dyDescent="0.2">
      <c r="A8" s="5"/>
      <c r="B8" s="4"/>
      <c r="C8" s="4" t="s">
        <v>809</v>
      </c>
    </row>
    <row r="9" spans="1:13" x14ac:dyDescent="0.2">
      <c r="A9" s="5"/>
      <c r="B9" s="4" t="s">
        <v>165</v>
      </c>
      <c r="C9" s="4" t="s">
        <v>810</v>
      </c>
    </row>
    <row r="10" spans="1:13" x14ac:dyDescent="0.2">
      <c r="A10" s="5"/>
      <c r="B10" s="4"/>
      <c r="C10" s="4" t="s">
        <v>77</v>
      </c>
    </row>
    <row r="11" spans="1:13" x14ac:dyDescent="0.2">
      <c r="A11" s="5"/>
      <c r="B11" s="4" t="s">
        <v>495</v>
      </c>
      <c r="C11" s="4" t="s">
        <v>811</v>
      </c>
    </row>
    <row r="12" spans="1:13" x14ac:dyDescent="0.2">
      <c r="A12" s="5"/>
      <c r="B12" s="4" t="s">
        <v>497</v>
      </c>
      <c r="C12" s="4" t="s">
        <v>812</v>
      </c>
    </row>
    <row r="13" spans="1:13" x14ac:dyDescent="0.2">
      <c r="A13" s="5"/>
      <c r="B13" s="4" t="s">
        <v>167</v>
      </c>
      <c r="C13" s="4" t="s">
        <v>813</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366</v>
      </c>
      <c r="D16" s="33"/>
      <c r="E16" s="33"/>
      <c r="F16" s="33"/>
      <c r="G16" s="33"/>
      <c r="H16" s="33"/>
      <c r="I16" s="33"/>
      <c r="J16" s="33"/>
      <c r="K16" s="33"/>
    </row>
    <row r="17" spans="2:11" x14ac:dyDescent="0.2">
      <c r="B17" s="20" t="s">
        <v>367</v>
      </c>
      <c r="D17" s="33"/>
      <c r="E17" s="33"/>
      <c r="F17" s="33"/>
      <c r="G17" s="33"/>
      <c r="H17" s="33"/>
      <c r="I17" s="33"/>
      <c r="J17" s="33"/>
      <c r="K17" s="33"/>
    </row>
    <row r="18" spans="2:11" x14ac:dyDescent="0.2">
      <c r="B18" s="20" t="s">
        <v>541</v>
      </c>
      <c r="D18" s="34"/>
      <c r="E18" s="34"/>
      <c r="F18" s="34"/>
      <c r="G18" s="34"/>
      <c r="H18" s="34"/>
      <c r="I18" s="34"/>
      <c r="J18" s="34"/>
      <c r="K18" s="34"/>
    </row>
    <row r="20" spans="2:11" x14ac:dyDescent="0.2">
      <c r="B20" s="4" t="s">
        <v>814</v>
      </c>
    </row>
    <row r="21" spans="2:11" x14ac:dyDescent="0.2">
      <c r="B21" s="4" t="s">
        <v>815</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7"/>
  <sheetViews>
    <sheetView workbookViewId="0">
      <pane xSplit="2" ySplit="2" topLeftCell="C3" activePane="bottomRight" state="frozen"/>
      <selection pane="topRight" activeCell="C1" sqref="C1"/>
      <selection pane="bottomLeft" activeCell="A11" sqref="A11"/>
      <selection pane="bottomRight" activeCell="B16" sqref="B16"/>
    </sheetView>
  </sheetViews>
  <sheetFormatPr defaultColWidth="9.140625" defaultRowHeight="12.75" x14ac:dyDescent="0.2"/>
  <cols>
    <col min="1" max="1" width="5" bestFit="1" customWidth="1"/>
    <col min="2" max="2" width="18.85546875" customWidth="1"/>
    <col min="3" max="3" width="13.140625" bestFit="1" customWidth="1"/>
    <col min="4" max="4" width="13.5703125" customWidth="1"/>
    <col min="5" max="5" width="22.42578125" customWidth="1"/>
    <col min="6" max="6" width="12.42578125" customWidth="1"/>
  </cols>
  <sheetData>
    <row r="1" spans="1:11" x14ac:dyDescent="0.2">
      <c r="A1" s="172" t="s">
        <v>156</v>
      </c>
    </row>
    <row r="2" spans="1:11" x14ac:dyDescent="0.2">
      <c r="B2" t="s">
        <v>1717</v>
      </c>
      <c r="C2" t="s">
        <v>1283</v>
      </c>
      <c r="D2" t="s">
        <v>1718</v>
      </c>
      <c r="E2" t="s">
        <v>161</v>
      </c>
      <c r="F2" t="s">
        <v>1719</v>
      </c>
      <c r="G2" t="s">
        <v>773</v>
      </c>
      <c r="H2" t="s">
        <v>323</v>
      </c>
      <c r="I2" t="s">
        <v>1799</v>
      </c>
      <c r="J2" t="s">
        <v>497</v>
      </c>
      <c r="K2" t="s">
        <v>318</v>
      </c>
    </row>
    <row r="3" spans="1:11" x14ac:dyDescent="0.2">
      <c r="B3" t="s">
        <v>1785</v>
      </c>
      <c r="C3" t="s">
        <v>1559</v>
      </c>
      <c r="D3" t="s">
        <v>1634</v>
      </c>
      <c r="E3" t="s">
        <v>196</v>
      </c>
      <c r="F3" t="s">
        <v>775</v>
      </c>
      <c r="G3" t="s">
        <v>1724</v>
      </c>
      <c r="J3" t="s">
        <v>170</v>
      </c>
    </row>
    <row r="4" spans="1:11" x14ac:dyDescent="0.2">
      <c r="B4" t="s">
        <v>12</v>
      </c>
      <c r="D4" s="323"/>
      <c r="E4" t="s">
        <v>1774</v>
      </c>
      <c r="F4" t="s">
        <v>14</v>
      </c>
      <c r="G4" t="s">
        <v>17</v>
      </c>
      <c r="H4" s="323" t="s">
        <v>16</v>
      </c>
      <c r="I4" t="s">
        <v>13</v>
      </c>
      <c r="J4" t="s">
        <v>170</v>
      </c>
    </row>
    <row r="5" spans="1:11" x14ac:dyDescent="0.2">
      <c r="B5" t="s">
        <v>1060</v>
      </c>
      <c r="H5" t="s">
        <v>1798</v>
      </c>
      <c r="I5" t="s">
        <v>1062</v>
      </c>
    </row>
    <row r="6" spans="1:11" x14ac:dyDescent="0.2">
      <c r="B6" t="s">
        <v>1757</v>
      </c>
      <c r="C6" t="s">
        <v>1609</v>
      </c>
      <c r="D6" t="s">
        <v>1758</v>
      </c>
      <c r="E6" t="s">
        <v>1760</v>
      </c>
      <c r="G6" t="s">
        <v>1759</v>
      </c>
    </row>
    <row r="7" spans="1:11" x14ac:dyDescent="0.2">
      <c r="B7" t="s">
        <v>186</v>
      </c>
      <c r="C7" t="s">
        <v>1814</v>
      </c>
      <c r="D7" t="s">
        <v>1805</v>
      </c>
      <c r="E7" t="s">
        <v>171</v>
      </c>
      <c r="F7" t="s">
        <v>1283</v>
      </c>
    </row>
    <row r="8" spans="1:11" x14ac:dyDescent="0.2">
      <c r="B8" t="s">
        <v>1640</v>
      </c>
      <c r="C8" t="s">
        <v>841</v>
      </c>
      <c r="D8" t="s">
        <v>842</v>
      </c>
      <c r="E8" t="s">
        <v>1570</v>
      </c>
    </row>
    <row r="9" spans="1:11" x14ac:dyDescent="0.2">
      <c r="B9" t="s">
        <v>1623</v>
      </c>
      <c r="C9" t="s">
        <v>1619</v>
      </c>
      <c r="E9" t="s">
        <v>188</v>
      </c>
      <c r="F9" t="s">
        <v>1800</v>
      </c>
      <c r="H9" s="253"/>
    </row>
    <row r="10" spans="1:11" x14ac:dyDescent="0.2">
      <c r="B10" t="s">
        <v>526</v>
      </c>
      <c r="C10" t="s">
        <v>527</v>
      </c>
      <c r="D10" s="323" t="s">
        <v>1805</v>
      </c>
      <c r="E10" t="s">
        <v>549</v>
      </c>
      <c r="F10" t="s">
        <v>1283</v>
      </c>
      <c r="G10" s="3">
        <v>1</v>
      </c>
      <c r="H10">
        <v>1993</v>
      </c>
      <c r="J10" t="s">
        <v>172</v>
      </c>
    </row>
    <row r="11" spans="1:11" x14ac:dyDescent="0.2">
      <c r="B11" t="s">
        <v>1613</v>
      </c>
      <c r="C11" t="s">
        <v>955</v>
      </c>
      <c r="D11" t="s">
        <v>1761</v>
      </c>
      <c r="E11" t="s">
        <v>1643</v>
      </c>
    </row>
    <row r="12" spans="1:11" x14ac:dyDescent="0.2">
      <c r="B12" t="s">
        <v>1769</v>
      </c>
      <c r="C12" t="s">
        <v>1768</v>
      </c>
      <c r="D12" s="254" t="s">
        <v>242</v>
      </c>
      <c r="E12" t="s">
        <v>1766</v>
      </c>
    </row>
    <row r="13" spans="1:11" x14ac:dyDescent="0.2">
      <c r="B13" t="s">
        <v>1616</v>
      </c>
      <c r="C13" t="s">
        <v>1177</v>
      </c>
      <c r="E13" t="s">
        <v>1635</v>
      </c>
    </row>
    <row r="14" spans="1:11" x14ac:dyDescent="0.2">
      <c r="B14" t="s">
        <v>1778</v>
      </c>
      <c r="C14" t="s">
        <v>1604</v>
      </c>
      <c r="D14" t="s">
        <v>1779</v>
      </c>
      <c r="E14" t="s">
        <v>1780</v>
      </c>
      <c r="F14" t="s">
        <v>1801</v>
      </c>
    </row>
    <row r="15" spans="1:11" x14ac:dyDescent="0.2">
      <c r="B15" t="s">
        <v>1884</v>
      </c>
      <c r="C15" t="s">
        <v>1880</v>
      </c>
      <c r="D15" t="s">
        <v>1881</v>
      </c>
      <c r="E15" t="s">
        <v>196</v>
      </c>
    </row>
    <row r="16" spans="1:11" x14ac:dyDescent="0.2">
      <c r="B16" t="s">
        <v>1850</v>
      </c>
      <c r="C16" t="s">
        <v>1598</v>
      </c>
      <c r="D16" t="s">
        <v>1569</v>
      </c>
      <c r="E16" t="s">
        <v>1568</v>
      </c>
    </row>
    <row r="17" spans="2:9" x14ac:dyDescent="0.2">
      <c r="B17" t="s">
        <v>1607</v>
      </c>
      <c r="C17" t="s">
        <v>1273</v>
      </c>
      <c r="E17" t="s">
        <v>1642</v>
      </c>
    </row>
    <row r="18" spans="2:9" x14ac:dyDescent="0.2">
      <c r="B18" t="s">
        <v>1641</v>
      </c>
      <c r="C18" t="s">
        <v>1334</v>
      </c>
      <c r="E18" t="s">
        <v>1610</v>
      </c>
      <c r="F18" t="s">
        <v>1283</v>
      </c>
    </row>
    <row r="19" spans="2:9" x14ac:dyDescent="0.2">
      <c r="B19" t="s">
        <v>1064</v>
      </c>
      <c r="D19" t="s">
        <v>1061</v>
      </c>
      <c r="E19" t="s">
        <v>1063</v>
      </c>
    </row>
    <row r="20" spans="2:9" x14ac:dyDescent="0.2">
      <c r="B20" t="s">
        <v>1065</v>
      </c>
      <c r="D20" t="s">
        <v>1061</v>
      </c>
      <c r="E20" t="s">
        <v>1063</v>
      </c>
    </row>
    <row r="21" spans="2:9" x14ac:dyDescent="0.2">
      <c r="B21" t="s">
        <v>1066</v>
      </c>
      <c r="D21" t="s">
        <v>1061</v>
      </c>
      <c r="E21" t="s">
        <v>1063</v>
      </c>
    </row>
    <row r="22" spans="2:9" x14ac:dyDescent="0.2">
      <c r="C22" t="s">
        <v>547</v>
      </c>
      <c r="D22" s="323" t="s">
        <v>548</v>
      </c>
      <c r="E22" t="s">
        <v>549</v>
      </c>
    </row>
    <row r="23" spans="2:9" x14ac:dyDescent="0.2">
      <c r="C23" t="s">
        <v>550</v>
      </c>
      <c r="D23" s="323" t="s">
        <v>551</v>
      </c>
      <c r="E23" t="s">
        <v>549</v>
      </c>
    </row>
    <row r="24" spans="2:9" x14ac:dyDescent="0.2">
      <c r="C24" t="s">
        <v>552</v>
      </c>
      <c r="D24" s="323" t="s">
        <v>553</v>
      </c>
      <c r="E24" t="s">
        <v>549</v>
      </c>
    </row>
    <row r="25" spans="2:9" x14ac:dyDescent="0.2">
      <c r="C25" t="s">
        <v>554</v>
      </c>
      <c r="D25" s="323" t="s">
        <v>555</v>
      </c>
      <c r="E25" t="s">
        <v>549</v>
      </c>
    </row>
    <row r="26" spans="2:9" x14ac:dyDescent="0.2">
      <c r="C26" t="s">
        <v>556</v>
      </c>
      <c r="D26" s="323" t="s">
        <v>557</v>
      </c>
      <c r="E26" t="s">
        <v>549</v>
      </c>
    </row>
    <row r="27" spans="2:9" x14ac:dyDescent="0.2">
      <c r="B27" t="s">
        <v>248</v>
      </c>
      <c r="C27" t="s">
        <v>20</v>
      </c>
    </row>
    <row r="28" spans="2:9" x14ac:dyDescent="0.2">
      <c r="B28" t="s">
        <v>436</v>
      </c>
    </row>
    <row r="29" spans="2:9" x14ac:dyDescent="0.2">
      <c r="B29" t="s">
        <v>437</v>
      </c>
    </row>
    <row r="30" spans="2:9" x14ac:dyDescent="0.2">
      <c r="B30" s="2" t="s">
        <v>571</v>
      </c>
      <c r="C30" t="s">
        <v>188</v>
      </c>
      <c r="D30" s="254" t="s">
        <v>189</v>
      </c>
      <c r="E30" s="277">
        <v>1</v>
      </c>
      <c r="F30" s="277" t="s">
        <v>207</v>
      </c>
      <c r="G30" t="s">
        <v>574</v>
      </c>
    </row>
    <row r="31" spans="2:9" x14ac:dyDescent="0.2">
      <c r="B31" s="2" t="s">
        <v>201</v>
      </c>
      <c r="C31" t="s">
        <v>202</v>
      </c>
      <c r="D31" s="254" t="s">
        <v>203</v>
      </c>
      <c r="E31" s="277" t="s">
        <v>204</v>
      </c>
      <c r="F31" s="277" t="s">
        <v>172</v>
      </c>
      <c r="G31" t="s">
        <v>25</v>
      </c>
      <c r="I31" s="254">
        <v>2013</v>
      </c>
    </row>
    <row r="32" spans="2:9" x14ac:dyDescent="0.2">
      <c r="B32" s="324" t="s">
        <v>569</v>
      </c>
      <c r="C32" t="s">
        <v>565</v>
      </c>
      <c r="D32" s="254" t="s">
        <v>75</v>
      </c>
      <c r="E32" s="277" t="s">
        <v>566</v>
      </c>
      <c r="F32" s="277" t="s">
        <v>567</v>
      </c>
      <c r="G32" t="s">
        <v>568</v>
      </c>
      <c r="I32" s="254" t="s">
        <v>1189</v>
      </c>
    </row>
    <row r="33" spans="2:11" x14ac:dyDescent="0.2">
      <c r="B33" s="2" t="s">
        <v>570</v>
      </c>
      <c r="C33" t="s">
        <v>184</v>
      </c>
      <c r="D33" s="254" t="s">
        <v>185</v>
      </c>
      <c r="E33" s="277">
        <v>1</v>
      </c>
      <c r="F33" s="277" t="s">
        <v>172</v>
      </c>
      <c r="G33" t="s">
        <v>663</v>
      </c>
      <c r="I33" s="316" t="s">
        <v>23</v>
      </c>
    </row>
    <row r="34" spans="2:11" x14ac:dyDescent="0.2">
      <c r="B34" s="324" t="s">
        <v>1504</v>
      </c>
      <c r="C34" t="s">
        <v>198</v>
      </c>
      <c r="D34" s="254" t="s">
        <v>199</v>
      </c>
      <c r="E34" s="254" t="s">
        <v>200</v>
      </c>
      <c r="F34" s="254" t="s">
        <v>172</v>
      </c>
      <c r="G34" t="s">
        <v>1505</v>
      </c>
      <c r="I34" s="316" t="s">
        <v>24</v>
      </c>
    </row>
    <row r="35" spans="2:11" x14ac:dyDescent="0.2">
      <c r="B35" s="325" t="s">
        <v>243</v>
      </c>
      <c r="C35" t="s">
        <v>1565</v>
      </c>
      <c r="D35" s="254"/>
      <c r="E35" s="277" t="s">
        <v>1354</v>
      </c>
      <c r="F35" s="254" t="s">
        <v>172</v>
      </c>
      <c r="H35" s="254">
        <v>2001</v>
      </c>
      <c r="I35" s="254" t="s">
        <v>23</v>
      </c>
    </row>
    <row r="36" spans="2:11" x14ac:dyDescent="0.2">
      <c r="B36" s="2" t="s">
        <v>1523</v>
      </c>
      <c r="C36" t="s">
        <v>188</v>
      </c>
      <c r="D36" s="254" t="s">
        <v>876</v>
      </c>
      <c r="E36" s="277" t="s">
        <v>632</v>
      </c>
      <c r="F36" s="254" t="s">
        <v>172</v>
      </c>
      <c r="G36" t="s">
        <v>459</v>
      </c>
      <c r="I36" s="254" t="s">
        <v>877</v>
      </c>
    </row>
    <row r="37" spans="2:11" x14ac:dyDescent="0.2">
      <c r="B37" s="2" t="s">
        <v>661</v>
      </c>
      <c r="C37" t="s">
        <v>666</v>
      </c>
      <c r="D37" s="254" t="s">
        <v>667</v>
      </c>
      <c r="E37" s="277">
        <v>1</v>
      </c>
      <c r="F37" s="254" t="s">
        <v>170</v>
      </c>
      <c r="G37" t="s">
        <v>668</v>
      </c>
      <c r="I37" s="254">
        <v>2014</v>
      </c>
    </row>
    <row r="38" spans="2:11" x14ac:dyDescent="0.2">
      <c r="B38" s="2" t="s">
        <v>210</v>
      </c>
      <c r="C38" t="s">
        <v>213</v>
      </c>
      <c r="D38" s="254" t="s">
        <v>669</v>
      </c>
      <c r="E38" s="277">
        <v>1</v>
      </c>
      <c r="F38" s="254" t="s">
        <v>665</v>
      </c>
      <c r="G38" t="s">
        <v>670</v>
      </c>
      <c r="I38" s="254" t="s">
        <v>665</v>
      </c>
    </row>
    <row r="39" spans="2:11" x14ac:dyDescent="0.2">
      <c r="B39" s="2" t="s">
        <v>15</v>
      </c>
      <c r="D39" s="254"/>
      <c r="E39" s="254"/>
      <c r="I39" s="254" t="s">
        <v>23</v>
      </c>
    </row>
    <row r="40" spans="2:11" x14ac:dyDescent="0.2">
      <c r="B40" s="2" t="s">
        <v>578</v>
      </c>
      <c r="C40" t="s">
        <v>188</v>
      </c>
      <c r="D40" s="254"/>
      <c r="E40" s="254" t="s">
        <v>579</v>
      </c>
      <c r="F40" s="254" t="s">
        <v>172</v>
      </c>
      <c r="I40" s="254" t="s">
        <v>580</v>
      </c>
    </row>
    <row r="41" spans="2:11" x14ac:dyDescent="0.2">
      <c r="B41" s="2" t="s">
        <v>577</v>
      </c>
      <c r="C41" t="s">
        <v>224</v>
      </c>
      <c r="D41" s="254" t="s">
        <v>225</v>
      </c>
      <c r="E41" s="277">
        <v>1</v>
      </c>
      <c r="F41" s="254" t="s">
        <v>170</v>
      </c>
      <c r="G41" s="254"/>
      <c r="H41" s="254"/>
      <c r="I41" s="254" t="s">
        <v>24</v>
      </c>
    </row>
    <row r="42" spans="2:11" x14ac:dyDescent="0.2">
      <c r="B42" s="317" t="s">
        <v>1645</v>
      </c>
      <c r="C42" t="s">
        <v>198</v>
      </c>
      <c r="D42" s="254" t="s">
        <v>199</v>
      </c>
      <c r="E42" s="277" t="s">
        <v>261</v>
      </c>
      <c r="F42" s="254" t="s">
        <v>172</v>
      </c>
      <c r="G42" t="s">
        <v>1646</v>
      </c>
      <c r="I42" s="315"/>
    </row>
    <row r="43" spans="2:11" x14ac:dyDescent="0.2">
      <c r="C43" s="254"/>
      <c r="D43" s="254"/>
    </row>
    <row r="44" spans="2:11" x14ac:dyDescent="0.2">
      <c r="C44" s="254"/>
      <c r="D44" s="254"/>
      <c r="H44" t="s">
        <v>166</v>
      </c>
      <c r="I44" s="254" t="s">
        <v>1799</v>
      </c>
      <c r="J44" t="s">
        <v>497</v>
      </c>
      <c r="K44" t="s">
        <v>318</v>
      </c>
    </row>
    <row r="45" spans="2:11" x14ac:dyDescent="0.2">
      <c r="B45" t="s">
        <v>1633</v>
      </c>
    </row>
    <row r="46" spans="2:11" x14ac:dyDescent="0.2">
      <c r="B46" t="s">
        <v>1624</v>
      </c>
      <c r="C46" t="s">
        <v>1603</v>
      </c>
      <c r="D46" t="s">
        <v>1629</v>
      </c>
      <c r="E46" t="s">
        <v>1721</v>
      </c>
      <c r="F46" t="s">
        <v>1720</v>
      </c>
      <c r="G46" t="s">
        <v>1563</v>
      </c>
    </row>
    <row r="47" spans="2:11" x14ac:dyDescent="0.2">
      <c r="B47" t="s">
        <v>1615</v>
      </c>
    </row>
    <row r="48" spans="2:11" x14ac:dyDescent="0.2">
      <c r="B48" t="s">
        <v>1621</v>
      </c>
    </row>
    <row r="49" spans="2:11" x14ac:dyDescent="0.2">
      <c r="D49" t="s">
        <v>1629</v>
      </c>
      <c r="E49" t="s">
        <v>196</v>
      </c>
    </row>
    <row r="50" spans="2:11" x14ac:dyDescent="0.2">
      <c r="B50" t="s">
        <v>1614</v>
      </c>
      <c r="E50" t="s">
        <v>1627</v>
      </c>
    </row>
    <row r="51" spans="2:11" x14ac:dyDescent="0.2">
      <c r="B51" t="s">
        <v>1722</v>
      </c>
      <c r="C51" t="s">
        <v>1723</v>
      </c>
      <c r="D51" t="s">
        <v>1771</v>
      </c>
      <c r="E51" t="s">
        <v>1770</v>
      </c>
      <c r="G51" s="324"/>
      <c r="H51" s="254"/>
      <c r="I51" s="254"/>
    </row>
    <row r="52" spans="2:11" x14ac:dyDescent="0.2">
      <c r="B52" t="s">
        <v>1772</v>
      </c>
      <c r="C52" t="s">
        <v>1773</v>
      </c>
      <c r="D52" t="s">
        <v>1775</v>
      </c>
      <c r="E52" t="s">
        <v>1774</v>
      </c>
      <c r="G52" s="324"/>
      <c r="H52" s="254"/>
      <c r="I52" s="254"/>
    </row>
    <row r="53" spans="2:11" x14ac:dyDescent="0.2">
      <c r="B53" t="s">
        <v>1311</v>
      </c>
    </row>
    <row r="54" spans="2:11" x14ac:dyDescent="0.2">
      <c r="B54" t="s">
        <v>244</v>
      </c>
      <c r="D54" t="s">
        <v>1803</v>
      </c>
      <c r="E54" t="s">
        <v>1804</v>
      </c>
      <c r="J54" t="s">
        <v>1583</v>
      </c>
    </row>
    <row r="55" spans="2:11" x14ac:dyDescent="0.2">
      <c r="B55" t="s">
        <v>252</v>
      </c>
      <c r="D55" t="s">
        <v>253</v>
      </c>
      <c r="E55" t="s">
        <v>1848</v>
      </c>
      <c r="H55" t="s">
        <v>214</v>
      </c>
      <c r="J55" t="s">
        <v>172</v>
      </c>
    </row>
    <row r="56" spans="2:11" x14ac:dyDescent="0.2">
      <c r="B56" t="s">
        <v>1588</v>
      </c>
      <c r="E56" t="s">
        <v>1589</v>
      </c>
    </row>
    <row r="57" spans="2:11" x14ac:dyDescent="0.2">
      <c r="B57" t="s">
        <v>319</v>
      </c>
      <c r="D57" t="s">
        <v>1853</v>
      </c>
      <c r="E57" t="s">
        <v>1854</v>
      </c>
    </row>
    <row r="58" spans="2:11" x14ac:dyDescent="0.2">
      <c r="B58" t="s">
        <v>237</v>
      </c>
    </row>
    <row r="59" spans="2:11" x14ac:dyDescent="0.2">
      <c r="B59" t="s">
        <v>1631</v>
      </c>
      <c r="D59" t="s">
        <v>838</v>
      </c>
    </row>
    <row r="60" spans="2:11" x14ac:dyDescent="0.2">
      <c r="B60" t="s">
        <v>1442</v>
      </c>
      <c r="D60" t="s">
        <v>1580</v>
      </c>
      <c r="E60" t="s">
        <v>1807</v>
      </c>
      <c r="F60" t="s">
        <v>1720</v>
      </c>
      <c r="G60" t="s">
        <v>712</v>
      </c>
      <c r="H60" t="s">
        <v>214</v>
      </c>
      <c r="J60" t="s">
        <v>172</v>
      </c>
      <c r="K60" t="s">
        <v>1806</v>
      </c>
    </row>
    <row r="61" spans="2:11" x14ac:dyDescent="0.2">
      <c r="B61" t="s">
        <v>1622</v>
      </c>
    </row>
    <row r="62" spans="2:11" x14ac:dyDescent="0.2">
      <c r="B62" t="s">
        <v>1638</v>
      </c>
    </row>
    <row r="63" spans="2:11" x14ac:dyDescent="0.2">
      <c r="B63" t="s">
        <v>241</v>
      </c>
      <c r="C63" t="s">
        <v>171</v>
      </c>
      <c r="D63" t="s">
        <v>1849</v>
      </c>
      <c r="E63" t="s">
        <v>171</v>
      </c>
    </row>
    <row r="64" spans="2:11" x14ac:dyDescent="0.2">
      <c r="B64" t="s">
        <v>1608</v>
      </c>
      <c r="E64" t="s">
        <v>1612</v>
      </c>
    </row>
    <row r="65" spans="2:6" x14ac:dyDescent="0.2">
      <c r="B65" t="s">
        <v>1445</v>
      </c>
    </row>
    <row r="66" spans="2:6" x14ac:dyDescent="0.2">
      <c r="B66" t="s">
        <v>1595</v>
      </c>
      <c r="E66" t="s">
        <v>1596</v>
      </c>
    </row>
    <row r="67" spans="2:6" x14ac:dyDescent="0.2">
      <c r="B67" t="s">
        <v>1333</v>
      </c>
      <c r="D67" t="s">
        <v>1794</v>
      </c>
      <c r="E67" t="s">
        <v>1793</v>
      </c>
    </row>
    <row r="68" spans="2:6" x14ac:dyDescent="0.2">
      <c r="B68" t="s">
        <v>1590</v>
      </c>
    </row>
    <row r="69" spans="2:6" x14ac:dyDescent="0.2">
      <c r="B69" t="s">
        <v>1342</v>
      </c>
      <c r="E69" t="s">
        <v>1620</v>
      </c>
    </row>
    <row r="70" spans="2:6" x14ac:dyDescent="0.2">
      <c r="B70" t="s">
        <v>1443</v>
      </c>
      <c r="D70" t="s">
        <v>1597</v>
      </c>
      <c r="E70" t="s">
        <v>1606</v>
      </c>
    </row>
    <row r="71" spans="2:6" x14ac:dyDescent="0.2">
      <c r="B71" t="s">
        <v>1628</v>
      </c>
      <c r="E71" t="s">
        <v>1637</v>
      </c>
    </row>
    <row r="72" spans="2:6" x14ac:dyDescent="0.2">
      <c r="B72" t="s">
        <v>1594</v>
      </c>
    </row>
    <row r="73" spans="2:6" x14ac:dyDescent="0.2">
      <c r="B73" t="s">
        <v>1618</v>
      </c>
      <c r="E73" t="s">
        <v>239</v>
      </c>
    </row>
    <row r="74" spans="2:6" x14ac:dyDescent="0.2">
      <c r="B74" t="s">
        <v>1639</v>
      </c>
      <c r="E74" t="s">
        <v>320</v>
      </c>
    </row>
    <row r="75" spans="2:6" x14ac:dyDescent="0.2">
      <c r="B75" t="s">
        <v>1630</v>
      </c>
      <c r="E75" t="s">
        <v>1627</v>
      </c>
    </row>
    <row r="76" spans="2:6" x14ac:dyDescent="0.2">
      <c r="B76" t="s">
        <v>1626</v>
      </c>
      <c r="E76" t="s">
        <v>1441</v>
      </c>
    </row>
    <row r="77" spans="2:6" x14ac:dyDescent="0.2">
      <c r="B77" t="s">
        <v>1787</v>
      </c>
      <c r="C77" t="s">
        <v>1784</v>
      </c>
      <c r="D77" t="s">
        <v>1788</v>
      </c>
      <c r="E77" t="s">
        <v>1636</v>
      </c>
      <c r="F77" t="s">
        <v>1789</v>
      </c>
    </row>
    <row r="78" spans="2:6" x14ac:dyDescent="0.2">
      <c r="B78" t="s">
        <v>1574</v>
      </c>
      <c r="C78" t="s">
        <v>1851</v>
      </c>
      <c r="D78" t="s">
        <v>1852</v>
      </c>
      <c r="E78" t="s">
        <v>1565</v>
      </c>
    </row>
    <row r="79" spans="2:6" x14ac:dyDescent="0.2">
      <c r="B79" t="s">
        <v>1632</v>
      </c>
    </row>
    <row r="80" spans="2:6" x14ac:dyDescent="0.2">
      <c r="B80" t="s">
        <v>1786</v>
      </c>
      <c r="C80" t="s">
        <v>1625</v>
      </c>
    </row>
    <row r="81" spans="2:7" x14ac:dyDescent="0.2">
      <c r="B81" t="s">
        <v>1599</v>
      </c>
      <c r="C81" t="s">
        <v>1600</v>
      </c>
    </row>
    <row r="82" spans="2:7" x14ac:dyDescent="0.2">
      <c r="B82" t="s">
        <v>1601</v>
      </c>
      <c r="D82" t="s">
        <v>1602</v>
      </c>
    </row>
    <row r="83" spans="2:7" x14ac:dyDescent="0.2">
      <c r="B83" t="s">
        <v>226</v>
      </c>
      <c r="E83" t="s">
        <v>216</v>
      </c>
    </row>
    <row r="84" spans="2:7" x14ac:dyDescent="0.2">
      <c r="B84" t="s">
        <v>1611</v>
      </c>
    </row>
    <row r="85" spans="2:7" x14ac:dyDescent="0.2">
      <c r="B85" t="s">
        <v>246</v>
      </c>
      <c r="E85" t="s">
        <v>247</v>
      </c>
    </row>
    <row r="86" spans="2:7" x14ac:dyDescent="0.2">
      <c r="C86" t="s">
        <v>1564</v>
      </c>
      <c r="E86" t="s">
        <v>1565</v>
      </c>
      <c r="G86" t="s">
        <v>174</v>
      </c>
    </row>
    <row r="87" spans="2:7" x14ac:dyDescent="0.2">
      <c r="C87" t="s">
        <v>1604</v>
      </c>
      <c r="E87" t="s">
        <v>1605</v>
      </c>
    </row>
    <row r="88" spans="2:7" x14ac:dyDescent="0.2">
      <c r="C88" t="s">
        <v>1617</v>
      </c>
      <c r="E88" t="s">
        <v>1644</v>
      </c>
    </row>
    <row r="90" spans="2:7" x14ac:dyDescent="0.2">
      <c r="B90" t="s">
        <v>1239</v>
      </c>
    </row>
    <row r="91" spans="2:7" x14ac:dyDescent="0.2">
      <c r="B91" t="s">
        <v>1240</v>
      </c>
    </row>
    <row r="92" spans="2:7" x14ac:dyDescent="0.2">
      <c r="B92" t="s">
        <v>1241</v>
      </c>
    </row>
    <row r="93" spans="2:7" x14ac:dyDescent="0.2">
      <c r="B93" t="s">
        <v>1311</v>
      </c>
    </row>
    <row r="94" spans="2:7" x14ac:dyDescent="0.2">
      <c r="B94" t="s">
        <v>1347</v>
      </c>
    </row>
    <row r="95" spans="2:7" x14ac:dyDescent="0.2">
      <c r="B95" t="s">
        <v>1348</v>
      </c>
    </row>
    <row r="96" spans="2:7" x14ac:dyDescent="0.2">
      <c r="B96" t="s">
        <v>1349</v>
      </c>
    </row>
    <row r="97" spans="2:2" x14ac:dyDescent="0.2">
      <c r="B97" t="s">
        <v>1350</v>
      </c>
    </row>
  </sheetData>
  <sortState xmlns:xlrd2="http://schemas.microsoft.com/office/spreadsheetml/2017/richdata2" ref="B45:E88">
    <sortCondition ref="B45:B88"/>
  </sortState>
  <hyperlinks>
    <hyperlink ref="A1" location="Main!A1" display="Main" xr:uid="{F54B6BB6-F7A2-4FF6-9B6A-07DD022BF6E6}"/>
    <hyperlink ref="B30" location="Duragesic!A1" display="Duragesic" xr:uid="{A97E01D1-AC0C-404E-964A-81B455910D08}"/>
    <hyperlink ref="B31" location="Aciphex!A1" display="Aciphex (rabeprazole)" xr:uid="{00000000-0004-0000-0600-000004000000}"/>
    <hyperlink ref="B32" location="Levaquin!A1" display="Levaquin" xr:uid="{00000000-0004-0000-0600-00000F000000}"/>
    <hyperlink ref="B33" location="Topamax!A1" display="Topamax" xr:uid="{00000000-0004-0000-0600-000001000000}"/>
    <hyperlink ref="B34" location="telaprevir!A1" display="Incivo (telaprevir)" xr:uid="{00000000-0004-0000-0600-000021000000}"/>
    <hyperlink ref="B36" location="Tapentadol!A1" display="tapentadol" xr:uid="{00000000-0004-0000-0600-000015000000}"/>
    <hyperlink ref="B38" location="Contraceptives!A1" display="Contraceptives" xr:uid="{00000000-0004-0000-0600-000005000000}"/>
    <hyperlink ref="B39" location="Sporanox!A1" display="Sporanox" xr:uid="{00000000-0004-0000-0600-000006000000}"/>
    <hyperlink ref="B37" location="Natrecor!A1" display="Natrecor" xr:uid="{00000000-0004-0000-0600-000011000000}"/>
    <hyperlink ref="B40" location="Ultram!A1" display="Ultram" xr:uid="{00000000-0004-0000-0600-000007000000}"/>
    <hyperlink ref="B41" location="Doripenem!A1" display="Doripenem" xr:uid="{00000000-0004-0000-0600-00000A000000}"/>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U52"/>
  <sheetViews>
    <sheetView tabSelected="1" zoomScale="130" zoomScaleNormal="130" workbookViewId="0">
      <selection activeCell="G23" sqref="G23"/>
    </sheetView>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 customWidth="1"/>
    <col min="9" max="9" width="13.5703125" customWidth="1"/>
    <col min="10" max="10" width="23.42578125" customWidth="1"/>
    <col min="11" max="11" width="17.85546875" customWidth="1"/>
    <col min="12" max="12" width="9.85546875" customWidth="1"/>
    <col min="13" max="13" width="7.42578125" customWidth="1"/>
    <col min="14" max="14" width="11.5703125" customWidth="1"/>
    <col min="15" max="15" width="2.85546875" customWidth="1"/>
    <col min="16" max="16" width="7.28515625" customWidth="1"/>
    <col min="18" max="18" width="6.42578125" customWidth="1"/>
  </cols>
  <sheetData>
    <row r="1" spans="2:21" ht="10.5" customHeight="1" x14ac:dyDescent="0.2"/>
    <row r="2" spans="2:21" x14ac:dyDescent="0.2">
      <c r="B2" s="306" t="s">
        <v>160</v>
      </c>
      <c r="C2" s="326" t="s">
        <v>161</v>
      </c>
      <c r="D2" s="307" t="s">
        <v>162</v>
      </c>
      <c r="E2" s="307" t="s">
        <v>163</v>
      </c>
      <c r="F2" s="307" t="s">
        <v>164</v>
      </c>
      <c r="G2" s="338" t="s">
        <v>775</v>
      </c>
      <c r="H2" s="331" t="s">
        <v>165</v>
      </c>
      <c r="I2" s="306" t="s">
        <v>160</v>
      </c>
      <c r="J2" s="307" t="s">
        <v>161</v>
      </c>
      <c r="K2" s="307" t="s">
        <v>162</v>
      </c>
      <c r="L2" s="307" t="s">
        <v>166</v>
      </c>
      <c r="M2" s="307" t="s">
        <v>164</v>
      </c>
      <c r="N2" s="331" t="s">
        <v>163</v>
      </c>
      <c r="P2" t="s">
        <v>157</v>
      </c>
      <c r="Q2" s="292">
        <v>162.53</v>
      </c>
      <c r="R2" s="254"/>
    </row>
    <row r="3" spans="2:21" x14ac:dyDescent="0.2">
      <c r="B3" s="308" t="s">
        <v>532</v>
      </c>
      <c r="C3" t="s">
        <v>179</v>
      </c>
      <c r="D3" s="254" t="s">
        <v>1811</v>
      </c>
      <c r="E3" s="254" t="s">
        <v>1433</v>
      </c>
      <c r="F3" s="254" t="s">
        <v>400</v>
      </c>
      <c r="G3" s="163">
        <v>40081</v>
      </c>
      <c r="H3" s="327" t="s">
        <v>963</v>
      </c>
      <c r="I3" s="310" t="s">
        <v>1776</v>
      </c>
      <c r="J3" s="254" t="s">
        <v>1777</v>
      </c>
      <c r="K3" s="254"/>
      <c r="L3" s="254"/>
      <c r="M3" s="254"/>
      <c r="N3" s="333" t="s">
        <v>1792</v>
      </c>
      <c r="P3" t="s">
        <v>262</v>
      </c>
      <c r="Q3" s="79">
        <v>2661</v>
      </c>
      <c r="R3" s="76" t="s">
        <v>1692</v>
      </c>
    </row>
    <row r="4" spans="2:21" x14ac:dyDescent="0.2">
      <c r="B4" s="311" t="s">
        <v>1698</v>
      </c>
      <c r="C4" t="s">
        <v>196</v>
      </c>
      <c r="D4" s="254" t="s">
        <v>1812</v>
      </c>
      <c r="E4" s="277" t="s">
        <v>1802</v>
      </c>
      <c r="F4" s="254" t="s">
        <v>170</v>
      </c>
      <c r="G4" s="163">
        <v>42324</v>
      </c>
      <c r="H4" s="315" t="s">
        <v>963</v>
      </c>
      <c r="I4" s="310"/>
      <c r="J4" s="254" t="s">
        <v>1781</v>
      </c>
      <c r="K4" s="254" t="s">
        <v>1782</v>
      </c>
      <c r="L4" s="254" t="s">
        <v>1783</v>
      </c>
      <c r="M4" s="254" t="s">
        <v>172</v>
      </c>
      <c r="N4" s="333" t="s">
        <v>712</v>
      </c>
      <c r="P4" t="s">
        <v>264</v>
      </c>
      <c r="Q4" s="79">
        <f>Q3*Q2</f>
        <v>432492.33</v>
      </c>
      <c r="R4" s="254"/>
    </row>
    <row r="5" spans="2:21" x14ac:dyDescent="0.2">
      <c r="B5" s="311" t="s">
        <v>843</v>
      </c>
      <c r="C5" t="s">
        <v>171</v>
      </c>
      <c r="D5" s="254" t="s">
        <v>1805</v>
      </c>
      <c r="E5" s="277" t="s">
        <v>174</v>
      </c>
      <c r="F5" s="277" t="s">
        <v>1278</v>
      </c>
      <c r="G5" s="76"/>
      <c r="H5" s="315" t="s">
        <v>1279</v>
      </c>
      <c r="I5" s="310" t="s">
        <v>1790</v>
      </c>
      <c r="J5" s="254" t="s">
        <v>1791</v>
      </c>
      <c r="K5" s="254"/>
      <c r="L5" s="254" t="s">
        <v>214</v>
      </c>
      <c r="M5" s="254"/>
      <c r="N5" s="333" t="s">
        <v>1792</v>
      </c>
      <c r="P5" t="s">
        <v>159</v>
      </c>
      <c r="Q5" s="79">
        <v>34079</v>
      </c>
      <c r="R5" s="76" t="s">
        <v>1692</v>
      </c>
    </row>
    <row r="6" spans="2:21" x14ac:dyDescent="0.2">
      <c r="B6" s="311" t="s">
        <v>193</v>
      </c>
      <c r="C6" t="s">
        <v>1432</v>
      </c>
      <c r="D6" s="254" t="s">
        <v>194</v>
      </c>
      <c r="E6" s="277" t="s">
        <v>1503</v>
      </c>
      <c r="F6" s="254" t="s">
        <v>172</v>
      </c>
      <c r="G6" s="76">
        <v>2011</v>
      </c>
      <c r="H6" s="315"/>
      <c r="I6" s="310"/>
      <c r="J6" s="254"/>
      <c r="K6" s="254"/>
      <c r="L6" s="254"/>
      <c r="M6" s="254"/>
      <c r="N6" s="333"/>
      <c r="P6" t="s">
        <v>265</v>
      </c>
      <c r="Q6" s="79">
        <f>4424+27603</f>
        <v>32027</v>
      </c>
      <c r="R6" s="76" t="s">
        <v>1692</v>
      </c>
    </row>
    <row r="7" spans="2:21" x14ac:dyDescent="0.2">
      <c r="B7" s="311" t="s">
        <v>1582</v>
      </c>
      <c r="C7" t="s">
        <v>1868</v>
      </c>
      <c r="D7" s="254" t="s">
        <v>1758</v>
      </c>
      <c r="E7" s="277" t="s">
        <v>1815</v>
      </c>
      <c r="F7" s="277" t="s">
        <v>172</v>
      </c>
      <c r="G7" s="76">
        <v>2013</v>
      </c>
      <c r="H7" s="315"/>
      <c r="I7" s="334"/>
      <c r="J7" s="312"/>
      <c r="K7" s="312"/>
      <c r="L7" s="312"/>
      <c r="M7" s="312"/>
      <c r="N7" s="313"/>
      <c r="P7" t="s">
        <v>266</v>
      </c>
      <c r="Q7" s="79">
        <f>Q4-Q5+Q6</f>
        <v>430440.33</v>
      </c>
      <c r="R7" s="254"/>
    </row>
    <row r="8" spans="2:21" x14ac:dyDescent="0.2">
      <c r="B8" s="311" t="s">
        <v>180</v>
      </c>
      <c r="C8" t="s">
        <v>181</v>
      </c>
      <c r="D8" s="254" t="s">
        <v>1813</v>
      </c>
      <c r="E8" s="277" t="s">
        <v>1499</v>
      </c>
      <c r="F8" s="277" t="s">
        <v>170</v>
      </c>
      <c r="G8" s="76"/>
      <c r="H8" s="315" t="s">
        <v>963</v>
      </c>
      <c r="I8" s="334"/>
      <c r="J8" s="312"/>
      <c r="K8" s="312"/>
      <c r="L8" s="312"/>
      <c r="M8" s="312"/>
      <c r="N8" s="335"/>
      <c r="R8" s="254"/>
    </row>
    <row r="9" spans="2:21" x14ac:dyDescent="0.2">
      <c r="B9" s="311" t="s">
        <v>734</v>
      </c>
      <c r="C9" t="s">
        <v>626</v>
      </c>
      <c r="D9" s="254" t="s">
        <v>1813</v>
      </c>
      <c r="E9" s="277" t="s">
        <v>1500</v>
      </c>
      <c r="F9" s="254" t="s">
        <v>400</v>
      </c>
      <c r="G9" s="76"/>
      <c r="H9" s="315" t="s">
        <v>963</v>
      </c>
      <c r="I9" s="336"/>
      <c r="J9" s="314"/>
      <c r="K9" s="314"/>
      <c r="L9" s="314"/>
      <c r="M9" s="314"/>
      <c r="N9" s="337"/>
      <c r="Q9" s="292"/>
      <c r="R9" s="254"/>
    </row>
    <row r="10" spans="2:21" x14ac:dyDescent="0.2">
      <c r="B10" s="328" t="s">
        <v>1708</v>
      </c>
      <c r="C10" t="s">
        <v>179</v>
      </c>
      <c r="D10" s="254" t="s">
        <v>1569</v>
      </c>
      <c r="E10" s="277">
        <v>1</v>
      </c>
      <c r="F10" s="254" t="s">
        <v>400</v>
      </c>
      <c r="G10" s="76"/>
      <c r="H10" s="315" t="s">
        <v>963</v>
      </c>
      <c r="I10" s="310"/>
      <c r="J10" s="254"/>
      <c r="K10" s="254"/>
      <c r="L10" s="254"/>
      <c r="M10" s="254"/>
      <c r="N10" s="333"/>
      <c r="P10" t="s">
        <v>1889</v>
      </c>
      <c r="Q10" s="3"/>
      <c r="R10" s="254"/>
    </row>
    <row r="11" spans="2:21" x14ac:dyDescent="0.2">
      <c r="B11" s="311" t="s">
        <v>27</v>
      </c>
      <c r="C11" t="s">
        <v>169</v>
      </c>
      <c r="D11" s="254" t="s">
        <v>26</v>
      </c>
      <c r="E11" s="277">
        <v>1</v>
      </c>
      <c r="F11" s="277" t="s">
        <v>400</v>
      </c>
      <c r="H11" s="309" t="s">
        <v>1187</v>
      </c>
      <c r="O11" s="310"/>
      <c r="P11" t="s">
        <v>1892</v>
      </c>
      <c r="R11" s="254"/>
      <c r="S11" s="254"/>
      <c r="T11" s="254"/>
      <c r="U11" s="254"/>
    </row>
    <row r="12" spans="2:21" x14ac:dyDescent="0.2">
      <c r="B12" s="308" t="s">
        <v>1882</v>
      </c>
      <c r="C12" t="s">
        <v>196</v>
      </c>
      <c r="D12" s="254" t="s">
        <v>1883</v>
      </c>
      <c r="E12" s="277" t="s">
        <v>1802</v>
      </c>
      <c r="F12" s="254" t="s">
        <v>400</v>
      </c>
      <c r="H12" s="315" t="s">
        <v>963</v>
      </c>
      <c r="I12" s="310" t="s">
        <v>1566</v>
      </c>
      <c r="J12" s="254" t="s">
        <v>1340</v>
      </c>
      <c r="K12" s="254" t="s">
        <v>1567</v>
      </c>
      <c r="L12" s="254" t="s">
        <v>214</v>
      </c>
      <c r="M12" s="254" t="s">
        <v>400</v>
      </c>
      <c r="N12" s="333">
        <v>1</v>
      </c>
    </row>
    <row r="13" spans="2:21" x14ac:dyDescent="0.2">
      <c r="B13" s="311" t="s">
        <v>572</v>
      </c>
      <c r="C13" t="s">
        <v>190</v>
      </c>
      <c r="D13" s="254" t="s">
        <v>191</v>
      </c>
      <c r="E13" s="277">
        <v>1</v>
      </c>
      <c r="F13" s="277" t="s">
        <v>172</v>
      </c>
      <c r="G13" s="76"/>
      <c r="H13" s="315" t="s">
        <v>192</v>
      </c>
      <c r="I13" s="310" t="s">
        <v>1440</v>
      </c>
      <c r="J13" s="254" t="s">
        <v>1441</v>
      </c>
      <c r="K13" s="254"/>
      <c r="L13" s="254" t="s">
        <v>214</v>
      </c>
      <c r="M13" s="254"/>
      <c r="N13" s="309"/>
    </row>
    <row r="14" spans="2:21" x14ac:dyDescent="0.2">
      <c r="B14" s="311" t="s">
        <v>1573</v>
      </c>
      <c r="C14" t="s">
        <v>227</v>
      </c>
      <c r="D14" s="254" t="s">
        <v>842</v>
      </c>
      <c r="E14" s="277" t="s">
        <v>228</v>
      </c>
      <c r="F14" s="277" t="s">
        <v>172</v>
      </c>
      <c r="G14" s="76"/>
      <c r="H14" s="315"/>
      <c r="I14" s="310" t="s">
        <v>1341</v>
      </c>
      <c r="J14" s="254" t="s">
        <v>245</v>
      </c>
      <c r="K14" s="254"/>
      <c r="L14" s="254" t="s">
        <v>214</v>
      </c>
      <c r="M14" s="254"/>
      <c r="N14" s="309"/>
    </row>
    <row r="15" spans="2:21" x14ac:dyDescent="0.2">
      <c r="B15" s="311" t="s">
        <v>1836</v>
      </c>
      <c r="C15" t="s">
        <v>1837</v>
      </c>
      <c r="D15" s="254" t="s">
        <v>1838</v>
      </c>
      <c r="E15" s="277" t="s">
        <v>1847</v>
      </c>
      <c r="F15" s="277" t="s">
        <v>172</v>
      </c>
      <c r="G15" s="163">
        <v>44273</v>
      </c>
      <c r="H15" s="315"/>
      <c r="I15" s="310" t="s">
        <v>321</v>
      </c>
      <c r="J15" s="254" t="s">
        <v>322</v>
      </c>
      <c r="K15" s="254" t="s">
        <v>1444</v>
      </c>
      <c r="L15" s="254" t="s">
        <v>214</v>
      </c>
      <c r="M15" s="254"/>
      <c r="N15" s="309"/>
    </row>
    <row r="16" spans="2:21" x14ac:dyDescent="0.2">
      <c r="B16" s="311" t="s">
        <v>880</v>
      </c>
      <c r="C16" t="s">
        <v>196</v>
      </c>
      <c r="D16" s="254" t="s">
        <v>197</v>
      </c>
      <c r="E16" s="277" t="s">
        <v>662</v>
      </c>
      <c r="F16" s="277" t="s">
        <v>170</v>
      </c>
      <c r="G16" s="76"/>
      <c r="H16" s="315" t="s">
        <v>664</v>
      </c>
      <c r="I16" s="310" t="s">
        <v>1445</v>
      </c>
      <c r="J16" s="254" t="s">
        <v>171</v>
      </c>
      <c r="K16" s="254" t="s">
        <v>1581</v>
      </c>
      <c r="L16" s="254" t="s">
        <v>214</v>
      </c>
      <c r="M16" s="254"/>
      <c r="N16" s="315"/>
    </row>
    <row r="17" spans="2:14" x14ac:dyDescent="0.2">
      <c r="B17" s="332" t="s">
        <v>1902</v>
      </c>
      <c r="C17" t="s">
        <v>1903</v>
      </c>
      <c r="D17" s="254" t="s">
        <v>1782</v>
      </c>
      <c r="E17" s="277"/>
      <c r="F17" s="277" t="s">
        <v>172</v>
      </c>
      <c r="G17" s="76"/>
      <c r="H17" s="315"/>
      <c r="I17" s="310" t="s">
        <v>1555</v>
      </c>
      <c r="J17" s="254" t="s">
        <v>1556</v>
      </c>
      <c r="K17" s="254" t="s">
        <v>1557</v>
      </c>
      <c r="L17" s="254" t="s">
        <v>214</v>
      </c>
      <c r="M17" s="254" t="s">
        <v>172</v>
      </c>
      <c r="N17" s="315" t="s">
        <v>1558</v>
      </c>
    </row>
    <row r="18" spans="2:14" x14ac:dyDescent="0.2">
      <c r="B18" s="308" t="s">
        <v>178</v>
      </c>
      <c r="C18" t="s">
        <v>171</v>
      </c>
      <c r="D18" s="254" t="s">
        <v>1805</v>
      </c>
      <c r="E18" s="277" t="s">
        <v>1284</v>
      </c>
      <c r="F18" s="277" t="s">
        <v>1278</v>
      </c>
      <c r="G18" s="76"/>
      <c r="H18" s="315" t="s">
        <v>1285</v>
      </c>
      <c r="I18" s="310" t="s">
        <v>1443</v>
      </c>
      <c r="J18" s="254" t="s">
        <v>171</v>
      </c>
      <c r="K18" s="254"/>
      <c r="L18" s="254" t="s">
        <v>214</v>
      </c>
      <c r="M18" s="254"/>
      <c r="N18" s="309"/>
    </row>
    <row r="19" spans="2:14" x14ac:dyDescent="0.2">
      <c r="B19" s="308" t="s">
        <v>1502</v>
      </c>
      <c r="C19" t="s">
        <v>216</v>
      </c>
      <c r="D19" s="254" t="s">
        <v>219</v>
      </c>
      <c r="E19" s="277">
        <v>1</v>
      </c>
      <c r="F19" s="254" t="s">
        <v>172</v>
      </c>
      <c r="G19" s="76"/>
      <c r="H19" s="309" t="s">
        <v>1439</v>
      </c>
      <c r="I19" s="310" t="s">
        <v>1343</v>
      </c>
      <c r="J19" s="254" t="s">
        <v>1344</v>
      </c>
      <c r="K19" s="254"/>
      <c r="L19" s="254" t="s">
        <v>240</v>
      </c>
      <c r="M19" s="254"/>
      <c r="N19" s="309"/>
    </row>
    <row r="20" spans="2:14" x14ac:dyDescent="0.2">
      <c r="B20" s="311" t="s">
        <v>215</v>
      </c>
      <c r="C20" t="s">
        <v>216</v>
      </c>
      <c r="D20" s="254" t="s">
        <v>199</v>
      </c>
      <c r="E20" s="277">
        <v>1</v>
      </c>
      <c r="F20" s="254" t="s">
        <v>172</v>
      </c>
      <c r="G20" s="76"/>
      <c r="H20" s="315">
        <v>2015</v>
      </c>
      <c r="I20" s="310" t="s">
        <v>835</v>
      </c>
      <c r="J20" s="254" t="s">
        <v>239</v>
      </c>
      <c r="K20" s="254" t="s">
        <v>836</v>
      </c>
      <c r="L20" s="254" t="s">
        <v>240</v>
      </c>
      <c r="M20" s="254"/>
      <c r="N20" s="333">
        <v>1</v>
      </c>
    </row>
    <row r="21" spans="2:14" x14ac:dyDescent="0.2">
      <c r="B21" s="311" t="s">
        <v>218</v>
      </c>
      <c r="C21" t="s">
        <v>216</v>
      </c>
      <c r="D21" s="254" t="s">
        <v>219</v>
      </c>
      <c r="E21" s="277">
        <v>1</v>
      </c>
      <c r="F21" s="254" t="s">
        <v>172</v>
      </c>
      <c r="G21" s="76"/>
      <c r="H21" s="315" t="s">
        <v>24</v>
      </c>
      <c r="I21" s="310" t="s">
        <v>1342</v>
      </c>
      <c r="J21" s="254"/>
      <c r="K21" s="254"/>
      <c r="L21" s="254" t="s">
        <v>240</v>
      </c>
      <c r="M21" s="254"/>
      <c r="N21" s="333"/>
    </row>
    <row r="22" spans="2:14" x14ac:dyDescent="0.2">
      <c r="B22" s="308" t="s">
        <v>1501</v>
      </c>
      <c r="C22" t="s">
        <v>844</v>
      </c>
      <c r="D22" s="254" t="s">
        <v>879</v>
      </c>
      <c r="E22" s="277">
        <v>1</v>
      </c>
      <c r="F22" s="254" t="s">
        <v>172</v>
      </c>
      <c r="G22" s="76">
        <v>2011</v>
      </c>
      <c r="H22" s="315" t="s">
        <v>878</v>
      </c>
      <c r="I22" s="310" t="s">
        <v>1416</v>
      </c>
      <c r="J22" s="254" t="s">
        <v>238</v>
      </c>
      <c r="K22" s="254" t="s">
        <v>1418</v>
      </c>
      <c r="L22" s="254" t="s">
        <v>240</v>
      </c>
      <c r="M22" s="254" t="s">
        <v>1419</v>
      </c>
      <c r="N22" s="333">
        <v>1</v>
      </c>
    </row>
    <row r="23" spans="2:14" x14ac:dyDescent="0.2">
      <c r="B23" s="328" t="s">
        <v>1904</v>
      </c>
      <c r="C23" t="s">
        <v>844</v>
      </c>
      <c r="E23" s="277">
        <v>1</v>
      </c>
      <c r="F23" s="254" t="s">
        <v>172</v>
      </c>
      <c r="G23" s="76"/>
      <c r="H23" s="315"/>
      <c r="I23" s="310" t="s">
        <v>1417</v>
      </c>
      <c r="J23" s="254" t="s">
        <v>238</v>
      </c>
      <c r="K23" s="254" t="s">
        <v>1418</v>
      </c>
      <c r="L23" s="254" t="s">
        <v>240</v>
      </c>
      <c r="M23" s="254" t="s">
        <v>1419</v>
      </c>
      <c r="N23" s="333">
        <v>1</v>
      </c>
    </row>
    <row r="24" spans="2:14" x14ac:dyDescent="0.2">
      <c r="B24" s="310" t="s">
        <v>1765</v>
      </c>
      <c r="C24" t="s">
        <v>1766</v>
      </c>
      <c r="D24" s="254" t="s">
        <v>1767</v>
      </c>
      <c r="E24" s="254" t="s">
        <v>712</v>
      </c>
      <c r="F24" s="254" t="s">
        <v>172</v>
      </c>
      <c r="G24" s="163">
        <v>41261</v>
      </c>
      <c r="H24" s="309"/>
      <c r="I24" s="310" t="s">
        <v>1351</v>
      </c>
      <c r="J24" s="254"/>
      <c r="K24" s="254"/>
      <c r="L24" s="254" t="s">
        <v>240</v>
      </c>
      <c r="M24" s="254" t="s">
        <v>1352</v>
      </c>
      <c r="N24" s="333">
        <v>1</v>
      </c>
    </row>
    <row r="25" spans="2:14" x14ac:dyDescent="0.2">
      <c r="B25" s="329"/>
      <c r="C25" s="318"/>
      <c r="D25" s="319"/>
      <c r="E25" s="320"/>
      <c r="F25" s="319"/>
      <c r="G25" s="339"/>
      <c r="H25" s="330"/>
      <c r="I25" s="310" t="s">
        <v>837</v>
      </c>
      <c r="J25" s="254" t="s">
        <v>239</v>
      </c>
      <c r="K25" s="254" t="s">
        <v>838</v>
      </c>
      <c r="L25" s="254" t="s">
        <v>240</v>
      </c>
      <c r="M25" s="254"/>
      <c r="N25" s="309"/>
    </row>
    <row r="26" spans="2:14" x14ac:dyDescent="0.2">
      <c r="I26" s="310" t="s">
        <v>839</v>
      </c>
      <c r="J26" s="254" t="s">
        <v>239</v>
      </c>
      <c r="K26" s="254" t="s">
        <v>840</v>
      </c>
      <c r="L26" s="254" t="s">
        <v>240</v>
      </c>
      <c r="M26" s="254"/>
      <c r="N26" s="309"/>
    </row>
    <row r="27" spans="2:14" x14ac:dyDescent="0.2">
      <c r="I27" s="310"/>
      <c r="J27" s="254"/>
      <c r="K27" s="254"/>
      <c r="L27" s="254"/>
      <c r="M27" s="254"/>
      <c r="N27" s="309"/>
    </row>
    <row r="28" spans="2:14" x14ac:dyDescent="0.2">
      <c r="B28" s="2" t="s">
        <v>229</v>
      </c>
      <c r="C28" s="2" t="s">
        <v>230</v>
      </c>
      <c r="D28" s="172" t="s">
        <v>231</v>
      </c>
      <c r="E28" s="172" t="s">
        <v>236</v>
      </c>
      <c r="F28" s="172" t="s">
        <v>235</v>
      </c>
      <c r="G28" s="172"/>
      <c r="H28" s="172"/>
      <c r="I28" s="310" t="s">
        <v>250</v>
      </c>
      <c r="J28" s="254" t="s">
        <v>171</v>
      </c>
      <c r="K28" s="254" t="s">
        <v>251</v>
      </c>
      <c r="L28" s="254" t="s">
        <v>240</v>
      </c>
      <c r="M28" s="254"/>
      <c r="N28" s="309"/>
    </row>
    <row r="29" spans="2:14" x14ac:dyDescent="0.2">
      <c r="B29" s="2" t="s">
        <v>233</v>
      </c>
      <c r="C29" s="2" t="s">
        <v>249</v>
      </c>
      <c r="D29" s="172" t="s">
        <v>1346</v>
      </c>
      <c r="I29" s="310" t="s">
        <v>21</v>
      </c>
      <c r="J29" s="254" t="s">
        <v>227</v>
      </c>
      <c r="K29" s="254" t="s">
        <v>1348</v>
      </c>
      <c r="L29" s="254" t="s">
        <v>240</v>
      </c>
      <c r="M29" s="254" t="s">
        <v>400</v>
      </c>
      <c r="N29" s="333">
        <v>1</v>
      </c>
    </row>
    <row r="30" spans="2:14" x14ac:dyDescent="0.2">
      <c r="B30" s="2"/>
      <c r="C30" s="2"/>
      <c r="I30" s="310" t="s">
        <v>254</v>
      </c>
      <c r="J30" s="254" t="s">
        <v>227</v>
      </c>
      <c r="K30" s="254"/>
      <c r="L30" s="254" t="s">
        <v>240</v>
      </c>
      <c r="M30" s="254" t="s">
        <v>172</v>
      </c>
      <c r="N30" s="315" t="s">
        <v>255</v>
      </c>
    </row>
    <row r="31" spans="2:14" x14ac:dyDescent="0.2">
      <c r="C31" s="2"/>
      <c r="E31" s="248"/>
      <c r="I31" s="310" t="s">
        <v>256</v>
      </c>
      <c r="J31" s="254" t="s">
        <v>257</v>
      </c>
      <c r="K31" s="254" t="s">
        <v>258</v>
      </c>
      <c r="L31" s="254" t="s">
        <v>240</v>
      </c>
      <c r="M31" s="254"/>
      <c r="N31" s="309"/>
    </row>
    <row r="32" spans="2:14" x14ac:dyDescent="0.2">
      <c r="E32" s="248"/>
      <c r="I32" s="321" t="s">
        <v>259</v>
      </c>
      <c r="J32" s="319" t="s">
        <v>260</v>
      </c>
      <c r="K32" s="319"/>
      <c r="L32" s="319" t="s">
        <v>240</v>
      </c>
      <c r="M32" s="319" t="s">
        <v>172</v>
      </c>
      <c r="N32" s="322"/>
    </row>
    <row r="33" spans="5:9" x14ac:dyDescent="0.2">
      <c r="E33" s="248"/>
    </row>
    <row r="34" spans="5:9" x14ac:dyDescent="0.2">
      <c r="E34" s="248"/>
      <c r="I34" t="s">
        <v>1890</v>
      </c>
    </row>
    <row r="35" spans="5:9" x14ac:dyDescent="0.2">
      <c r="E35" s="248"/>
      <c r="I35" t="s">
        <v>1891</v>
      </c>
    </row>
    <row r="36" spans="5:9" x14ac:dyDescent="0.2">
      <c r="E36" s="248"/>
      <c r="I36" t="s">
        <v>1894</v>
      </c>
    </row>
    <row r="37" spans="5:9" x14ac:dyDescent="0.2">
      <c r="E37" s="248"/>
      <c r="I37" t="s">
        <v>1862</v>
      </c>
    </row>
    <row r="38" spans="5:9" x14ac:dyDescent="0.2">
      <c r="E38" s="248"/>
      <c r="I38" t="s">
        <v>1878</v>
      </c>
    </row>
    <row r="39" spans="5:9" x14ac:dyDescent="0.2">
      <c r="E39" s="248"/>
      <c r="I39" t="s">
        <v>1879</v>
      </c>
    </row>
    <row r="40" spans="5:9" x14ac:dyDescent="0.2">
      <c r="E40" s="248"/>
      <c r="I40" t="s">
        <v>1896</v>
      </c>
    </row>
    <row r="41" spans="5:9" x14ac:dyDescent="0.2">
      <c r="E41" s="248"/>
      <c r="I41" t="s">
        <v>1897</v>
      </c>
    </row>
    <row r="42" spans="5:9" x14ac:dyDescent="0.2">
      <c r="E42" s="248"/>
    </row>
    <row r="43" spans="5:9" x14ac:dyDescent="0.2">
      <c r="E43" s="248"/>
      <c r="I43" s="1" t="s">
        <v>1895</v>
      </c>
    </row>
    <row r="44" spans="5:9" x14ac:dyDescent="0.2">
      <c r="E44" s="248"/>
      <c r="I44" t="s">
        <v>1810</v>
      </c>
    </row>
    <row r="45" spans="5:9" x14ac:dyDescent="0.2">
      <c r="E45" s="248"/>
      <c r="I45" t="s">
        <v>1835</v>
      </c>
    </row>
    <row r="46" spans="5:9" x14ac:dyDescent="0.2">
      <c r="E46" s="248"/>
    </row>
    <row r="47" spans="5:9" x14ac:dyDescent="0.2">
      <c r="E47" s="248"/>
    </row>
    <row r="52" spans="5:5" x14ac:dyDescent="0.2">
      <c r="E52" s="248"/>
    </row>
  </sheetData>
  <phoneticPr fontId="11" type="noConversion"/>
  <hyperlinks>
    <hyperlink ref="B8" location="Remicade!A1" display="Remicade (infliximab)" xr:uid="{00000000-0004-0000-0600-000000000000}"/>
    <hyperlink ref="B13" location="Concerta!A1" display="Concerta" xr:uid="{00000000-0004-0000-0600-000003000000}"/>
    <hyperlink ref="B20" location="Prezista!A1" display="Prezista (darunavir)" xr:uid="{00000000-0004-0000-0600-000008000000}"/>
    <hyperlink ref="B21" location="Intelence!A1" display="Intelence (etravirine)" xr:uid="{00000000-0004-0000-0600-000009000000}"/>
    <hyperlink ref="B28" location="Cordis!A1" display="Cordis" xr:uid="{00000000-0004-0000-0600-00000B000000}"/>
    <hyperlink ref="C28" location="Vision!A1" display="Vision" xr:uid="{00000000-0004-0000-0600-00000C000000}"/>
    <hyperlink ref="B29" location="Consumer!A1" display="Consumer" xr:uid="{00000000-0004-0000-0600-00000D000000}"/>
    <hyperlink ref="C29" location="Acquisitions!A1" display="Acquisitions" xr:uid="{00000000-0004-0000-0600-00000E000000}"/>
    <hyperlink ref="B16" location="Velcade!A1" display="Velcade (bortezimib)" xr:uid="{00000000-0004-0000-0600-000012000000}"/>
    <hyperlink ref="F28" location="EndoSurgery!A1" display="EndoSurgery" xr:uid="{00000000-0004-0000-0600-000013000000}"/>
    <hyperlink ref="E28" location="DePuy!A1" display="DePuy" xr:uid="{00000000-0004-0000-0600-000014000000}"/>
    <hyperlink ref="B3" location="Stelara!A1" display="Stelara (ustekinumab)" xr:uid="{00000000-0004-0000-0600-000016000000}"/>
    <hyperlink ref="B9" location="Simponi!A1" display="Simponi (golimumab)" xr:uid="{00000000-0004-0000-0600-000017000000}"/>
    <hyperlink ref="B11" location="Procrit!A1" display="Procrit" xr:uid="{00000000-0004-0000-0600-000018000000}"/>
    <hyperlink ref="D28" location="Ethicon!A1" display="Ethicon" xr:uid="{00000000-0004-0000-0600-000019000000}"/>
    <hyperlink ref="B5" location="Sustenna!A1" display="Invega Sustenna (paliperidone palmitate)" xr:uid="{00000000-0004-0000-0600-00001B000000}"/>
    <hyperlink ref="B22" location="abiraterone!A1" display="abiraterone" xr:uid="{00000000-0004-0000-0600-00001D000000}"/>
    <hyperlink ref="D29" location="'Old Drugs'!A1" display="Failures" xr:uid="{00000000-0004-0000-0600-00001E000000}"/>
    <hyperlink ref="B19" location="riplivirine!A1" display="TMC278 (riplivirine)" xr:uid="{00000000-0004-0000-0600-00001F000000}"/>
    <hyperlink ref="B6"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7" location="Imbruvica!A1" display="Imbruvica (ibrutinib)" xr:uid="{268527F9-59A2-4733-BAD5-F7029900B2FE}"/>
    <hyperlink ref="B12" location="Tecvayli!A1" display="Tecvayli (teclistamab)" xr:uid="{007DB709-BE65-41AD-8981-25F783498942}"/>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IW242"/>
  <sheetViews>
    <sheetView zoomScale="175" zoomScaleNormal="175" workbookViewId="0">
      <pane xSplit="2" ySplit="2" topLeftCell="CW3" activePane="bottomRight" state="frozen"/>
      <selection pane="topRight" activeCell="Q1" sqref="Q1"/>
      <selection pane="bottomLeft" activeCell="A3" sqref="A3"/>
      <selection pane="bottomRight" activeCell="DB10" sqref="DB10"/>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5703125" style="76" bestFit="1" customWidth="1"/>
    <col min="30" max="30" width="6.85546875" style="76" bestFit="1" customWidth="1"/>
    <col min="31" max="31" width="6.5703125" style="76" bestFit="1" customWidth="1"/>
    <col min="32" max="110" width="7.5703125" style="76" customWidth="1"/>
    <col min="112" max="116" width="1.28515625" style="76" customWidth="1"/>
    <col min="117" max="133" width="0.5703125" style="76" customWidth="1"/>
    <col min="134" max="143" width="7.85546875" style="76" customWidth="1"/>
    <col min="144" max="153" width="8.42578125" customWidth="1"/>
    <col min="154" max="154" width="11.28515625" bestFit="1" customWidth="1"/>
    <col min="155" max="155" width="10.7109375" customWidth="1"/>
    <col min="156" max="157" width="8.42578125" customWidth="1"/>
  </cols>
  <sheetData>
    <row r="1" spans="1:156" ht="12.75" customHeight="1" x14ac:dyDescent="0.2">
      <c r="A1" s="2" t="s">
        <v>156</v>
      </c>
      <c r="EN1" s="254"/>
      <c r="EO1" s="254"/>
      <c r="EP1" s="254"/>
      <c r="EQ1" s="254"/>
      <c r="ER1" s="254"/>
      <c r="ES1" s="254"/>
      <c r="ET1" s="254"/>
      <c r="EU1" s="254"/>
      <c r="EV1" s="254"/>
      <c r="EW1" s="254"/>
    </row>
    <row r="2" spans="1:156" ht="12.75" customHeight="1" x14ac:dyDescent="0.2">
      <c r="B2" s="266"/>
      <c r="C2" s="76" t="s">
        <v>267</v>
      </c>
      <c r="D2" s="76" t="s">
        <v>268</v>
      </c>
      <c r="E2" s="76" t="s">
        <v>269</v>
      </c>
      <c r="F2" s="76" t="s">
        <v>270</v>
      </c>
      <c r="G2" s="76" t="s">
        <v>271</v>
      </c>
      <c r="H2" s="76" t="s">
        <v>272</v>
      </c>
      <c r="I2" s="76" t="s">
        <v>273</v>
      </c>
      <c r="J2" s="76" t="s">
        <v>274</v>
      </c>
      <c r="K2" s="76" t="s">
        <v>275</v>
      </c>
      <c r="L2" s="76" t="s">
        <v>276</v>
      </c>
      <c r="M2" s="76" t="s">
        <v>277</v>
      </c>
      <c r="N2" s="76" t="s">
        <v>278</v>
      </c>
      <c r="O2" s="76" t="s">
        <v>279</v>
      </c>
      <c r="P2" s="76" t="s">
        <v>280</v>
      </c>
      <c r="Q2" s="76" t="s">
        <v>281</v>
      </c>
      <c r="R2" s="76" t="s">
        <v>282</v>
      </c>
      <c r="S2" s="76" t="s">
        <v>283</v>
      </c>
      <c r="T2" s="76" t="s">
        <v>284</v>
      </c>
      <c r="U2" s="76" t="s">
        <v>285</v>
      </c>
      <c r="V2" s="76" t="s">
        <v>286</v>
      </c>
      <c r="W2" s="76" t="s">
        <v>287</v>
      </c>
      <c r="X2" s="76" t="s">
        <v>288</v>
      </c>
      <c r="Y2" s="76" t="s">
        <v>289</v>
      </c>
      <c r="Z2" s="76" t="s">
        <v>290</v>
      </c>
      <c r="AA2" s="76" t="s">
        <v>291</v>
      </c>
      <c r="AB2" s="76" t="s">
        <v>292</v>
      </c>
      <c r="AC2" s="76" t="s">
        <v>293</v>
      </c>
      <c r="AD2" s="76" t="s">
        <v>294</v>
      </c>
      <c r="AE2" s="76" t="s">
        <v>295</v>
      </c>
      <c r="AF2" s="76" t="s">
        <v>296</v>
      </c>
      <c r="AG2" s="76" t="s">
        <v>297</v>
      </c>
      <c r="AH2" s="76" t="s">
        <v>298</v>
      </c>
      <c r="AI2" s="76" t="s">
        <v>299</v>
      </c>
      <c r="AJ2" s="76" t="s">
        <v>300</v>
      </c>
      <c r="AK2" s="76" t="s">
        <v>301</v>
      </c>
      <c r="AL2" s="76" t="s">
        <v>302</v>
      </c>
      <c r="AM2" s="76" t="s">
        <v>303</v>
      </c>
      <c r="AN2" s="76" t="s">
        <v>304</v>
      </c>
      <c r="AO2" s="76" t="s">
        <v>305</v>
      </c>
      <c r="AP2" s="76" t="s">
        <v>306</v>
      </c>
      <c r="AQ2" s="76" t="s">
        <v>307</v>
      </c>
      <c r="AR2" s="76" t="s">
        <v>308</v>
      </c>
      <c r="AS2" s="76" t="s">
        <v>309</v>
      </c>
      <c r="AT2" s="76" t="s">
        <v>310</v>
      </c>
      <c r="AU2" s="76" t="s">
        <v>263</v>
      </c>
      <c r="AV2" s="76" t="s">
        <v>311</v>
      </c>
      <c r="AW2" s="76" t="s">
        <v>312</v>
      </c>
      <c r="AX2" s="76" t="s">
        <v>313</v>
      </c>
      <c r="AY2" s="76" t="s">
        <v>314</v>
      </c>
      <c r="AZ2" s="76" t="s">
        <v>315</v>
      </c>
      <c r="BA2" s="76" t="s">
        <v>316</v>
      </c>
      <c r="BB2" s="76" t="s">
        <v>317</v>
      </c>
      <c r="BC2" s="76" t="s">
        <v>1307</v>
      </c>
      <c r="BD2" s="76" t="s">
        <v>1308</v>
      </c>
      <c r="BE2" s="76" t="s">
        <v>1309</v>
      </c>
      <c r="BF2" s="76" t="s">
        <v>1310</v>
      </c>
      <c r="BG2" s="76" t="s">
        <v>1454</v>
      </c>
      <c r="BH2" s="76" t="s">
        <v>1455</v>
      </c>
      <c r="BI2" s="76" t="s">
        <v>1456</v>
      </c>
      <c r="BJ2" s="76" t="s">
        <v>1457</v>
      </c>
      <c r="BK2" s="76" t="s">
        <v>1506</v>
      </c>
      <c r="BL2" s="76" t="s">
        <v>1507</v>
      </c>
      <c r="BM2" s="76" t="s">
        <v>1508</v>
      </c>
      <c r="BN2" s="76" t="s">
        <v>1509</v>
      </c>
      <c r="BO2" s="76" t="s">
        <v>1549</v>
      </c>
      <c r="BP2" s="76" t="s">
        <v>1550</v>
      </c>
      <c r="BQ2" s="76" t="s">
        <v>1551</v>
      </c>
      <c r="BR2" s="76" t="s">
        <v>1552</v>
      </c>
      <c r="BS2" s="76" t="s">
        <v>1576</v>
      </c>
      <c r="BT2" s="76" t="s">
        <v>1577</v>
      </c>
      <c r="BU2" s="76" t="s">
        <v>1578</v>
      </c>
      <c r="BV2" s="76" t="s">
        <v>1579</v>
      </c>
      <c r="BW2" s="76" t="s">
        <v>1651</v>
      </c>
      <c r="BX2" s="76" t="s">
        <v>1652</v>
      </c>
      <c r="BY2" s="76" t="s">
        <v>1653</v>
      </c>
      <c r="BZ2" s="76" t="s">
        <v>1654</v>
      </c>
      <c r="CA2" s="76" t="s">
        <v>1666</v>
      </c>
      <c r="CB2" s="76" t="s">
        <v>1667</v>
      </c>
      <c r="CC2" s="76" t="s">
        <v>1668</v>
      </c>
      <c r="CD2" s="76" t="s">
        <v>1669</v>
      </c>
      <c r="CE2" s="76" t="s">
        <v>1670</v>
      </c>
      <c r="CF2" s="76" t="s">
        <v>1671</v>
      </c>
      <c r="CG2" s="76" t="s">
        <v>1672</v>
      </c>
      <c r="CH2" s="76" t="s">
        <v>1673</v>
      </c>
      <c r="CI2" s="76" t="s">
        <v>1675</v>
      </c>
      <c r="CJ2" s="76" t="s">
        <v>1676</v>
      </c>
      <c r="CK2" s="76" t="s">
        <v>1677</v>
      </c>
      <c r="CL2" s="76" t="s">
        <v>1678</v>
      </c>
      <c r="CM2" s="76" t="s">
        <v>1674</v>
      </c>
      <c r="CN2" s="76" t="s">
        <v>1679</v>
      </c>
      <c r="CO2" s="76" t="s">
        <v>1680</v>
      </c>
      <c r="CP2" s="76" t="s">
        <v>1681</v>
      </c>
      <c r="CQ2" s="76" t="s">
        <v>1682</v>
      </c>
      <c r="CR2" s="76" t="s">
        <v>1683</v>
      </c>
      <c r="CS2" s="76" t="s">
        <v>1684</v>
      </c>
      <c r="CT2" s="76" t="s">
        <v>1685</v>
      </c>
      <c r="CU2" s="76" t="s">
        <v>1686</v>
      </c>
      <c r="CV2" s="76" t="s">
        <v>1687</v>
      </c>
      <c r="CW2" s="76" t="s">
        <v>1688</v>
      </c>
      <c r="CX2" s="76" t="s">
        <v>1689</v>
      </c>
      <c r="CY2" s="76" t="s">
        <v>1690</v>
      </c>
      <c r="CZ2" s="76" t="s">
        <v>1691</v>
      </c>
      <c r="DA2" s="76" t="s">
        <v>1692</v>
      </c>
      <c r="DB2" s="76" t="s">
        <v>1693</v>
      </c>
      <c r="DC2" s="76" t="s">
        <v>1694</v>
      </c>
      <c r="DD2" s="76" t="s">
        <v>1695</v>
      </c>
      <c r="DE2" s="76" t="s">
        <v>1696</v>
      </c>
      <c r="DF2" s="76" t="s">
        <v>1697</v>
      </c>
      <c r="DH2" s="267">
        <f t="shared" ref="DH2:DR2" si="0">+DI2-1</f>
        <v>1989</v>
      </c>
      <c r="DI2" s="267">
        <f t="shared" si="0"/>
        <v>1990</v>
      </c>
      <c r="DJ2" s="267">
        <f t="shared" si="0"/>
        <v>1991</v>
      </c>
      <c r="DK2" s="267">
        <f t="shared" si="0"/>
        <v>1992</v>
      </c>
      <c r="DL2" s="267">
        <f t="shared" si="0"/>
        <v>1993</v>
      </c>
      <c r="DM2" s="267">
        <f t="shared" si="0"/>
        <v>1994</v>
      </c>
      <c r="DN2" s="267">
        <f t="shared" si="0"/>
        <v>1995</v>
      </c>
      <c r="DO2" s="267">
        <f t="shared" si="0"/>
        <v>1996</v>
      </c>
      <c r="DP2" s="267">
        <f t="shared" si="0"/>
        <v>1997</v>
      </c>
      <c r="DQ2" s="267">
        <f t="shared" si="0"/>
        <v>1998</v>
      </c>
      <c r="DR2" s="267">
        <f t="shared" si="0"/>
        <v>1999</v>
      </c>
      <c r="DS2" s="267">
        <v>2000</v>
      </c>
      <c r="DT2" s="267">
        <v>2001</v>
      </c>
      <c r="DU2" s="267">
        <v>2002</v>
      </c>
      <c r="DV2" s="267">
        <v>2003</v>
      </c>
      <c r="DW2" s="267">
        <v>2004</v>
      </c>
      <c r="DX2" s="267">
        <v>2005</v>
      </c>
      <c r="DY2" s="267">
        <v>2006</v>
      </c>
      <c r="DZ2" s="267">
        <v>2007</v>
      </c>
      <c r="EA2" s="267">
        <v>2008</v>
      </c>
      <c r="EB2" s="267">
        <v>2009</v>
      </c>
      <c r="EC2" s="267">
        <v>2010</v>
      </c>
      <c r="ED2" s="267">
        <v>2011</v>
      </c>
      <c r="EE2" s="267">
        <v>2012</v>
      </c>
      <c r="EF2" s="267">
        <v>2013</v>
      </c>
      <c r="EG2" s="267">
        <v>2014</v>
      </c>
      <c r="EH2" s="267">
        <v>2015</v>
      </c>
      <c r="EI2" s="166">
        <v>2016</v>
      </c>
      <c r="EJ2" s="166">
        <v>2017</v>
      </c>
      <c r="EK2" s="166">
        <v>2018</v>
      </c>
      <c r="EL2" s="166">
        <v>2019</v>
      </c>
      <c r="EM2" s="166">
        <v>2020</v>
      </c>
      <c r="EN2" s="166">
        <f>+EM2+1</f>
        <v>2021</v>
      </c>
      <c r="EO2" s="166">
        <f t="shared" ref="EO2:EQ2" si="1">+EN2+1</f>
        <v>2022</v>
      </c>
      <c r="EP2" s="166">
        <f t="shared" si="1"/>
        <v>2023</v>
      </c>
      <c r="EQ2" s="166">
        <f t="shared" si="1"/>
        <v>2024</v>
      </c>
      <c r="ER2" s="166">
        <f t="shared" ref="ER2" si="2">+EQ2+1</f>
        <v>2025</v>
      </c>
      <c r="ES2" s="166">
        <f t="shared" ref="ES2" si="3">+ER2+1</f>
        <v>2026</v>
      </c>
      <c r="ET2" s="166">
        <f t="shared" ref="ET2" si="4">+ES2+1</f>
        <v>2027</v>
      </c>
      <c r="EU2" s="166">
        <f t="shared" ref="EU2" si="5">+ET2+1</f>
        <v>2028</v>
      </c>
      <c r="EV2" s="166">
        <f t="shared" ref="EV2" si="6">+EU2+1</f>
        <v>2029</v>
      </c>
      <c r="EW2" s="166">
        <f t="shared" ref="EW2" si="7">+EV2+1</f>
        <v>2030</v>
      </c>
      <c r="EY2" t="s">
        <v>1487</v>
      </c>
      <c r="EZ2" t="s">
        <v>318</v>
      </c>
    </row>
    <row r="3" spans="1:156" s="254" customFormat="1" ht="12.75" customHeight="1" x14ac:dyDescent="0.2">
      <c r="B3" t="s">
        <v>728</v>
      </c>
      <c r="C3" s="76"/>
      <c r="D3" s="76"/>
      <c r="E3" s="76"/>
      <c r="F3" s="76"/>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f>+BQ3*1.05</f>
        <v>1773.45</v>
      </c>
      <c r="BV3" s="243">
        <f>+BR3*1.05</f>
        <v>1797.6000000000001</v>
      </c>
      <c r="BW3" s="243">
        <f t="shared" ref="BW3:BZ3" si="8">+BS3*1.05</f>
        <v>1690.5</v>
      </c>
      <c r="BX3" s="243">
        <f t="shared" si="8"/>
        <v>1894.2</v>
      </c>
      <c r="BY3" s="243">
        <f t="shared" si="8"/>
        <v>1862.1225000000002</v>
      </c>
      <c r="BZ3" s="243">
        <f t="shared" si="8"/>
        <v>1887.4800000000002</v>
      </c>
      <c r="CA3" s="243"/>
      <c r="CB3" s="243"/>
      <c r="CC3" s="243"/>
      <c r="CD3" s="243"/>
      <c r="CE3" s="243"/>
      <c r="CF3" s="243"/>
      <c r="CG3" s="243"/>
      <c r="CH3" s="243"/>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f t="shared" ref="DB3:DF3" si="9">+CX3*0.8</f>
        <v>611.20000000000005</v>
      </c>
      <c r="DC3" s="243">
        <f t="shared" si="9"/>
        <v>530.4</v>
      </c>
      <c r="DD3" s="243">
        <f t="shared" si="9"/>
        <v>517.6</v>
      </c>
      <c r="DE3" s="243">
        <f t="shared" si="9"/>
        <v>446.40000000000003</v>
      </c>
      <c r="DF3" s="243">
        <f t="shared" si="9"/>
        <v>488.96000000000004</v>
      </c>
      <c r="DH3" s="235"/>
      <c r="DI3" s="235"/>
      <c r="DJ3" s="235"/>
      <c r="DK3" s="235"/>
      <c r="DL3" s="235"/>
      <c r="DM3" s="235"/>
      <c r="DN3" s="235"/>
      <c r="DO3" s="235"/>
      <c r="DP3" s="235"/>
      <c r="DQ3" s="235">
        <v>28</v>
      </c>
      <c r="DR3" s="235">
        <v>116</v>
      </c>
      <c r="DS3" s="235">
        <f>SUM(O3:R3)</f>
        <v>370</v>
      </c>
      <c r="DT3" s="235">
        <v>721</v>
      </c>
      <c r="DU3" s="235">
        <f>SUM(W3:Z3)</f>
        <v>1297</v>
      </c>
      <c r="DV3" s="235">
        <f>SUM(AA3:AD3)</f>
        <v>1730</v>
      </c>
      <c r="DW3" s="235">
        <v>2145</v>
      </c>
      <c r="DX3" s="235">
        <v>2535</v>
      </c>
      <c r="DY3" s="235">
        <f>SUM(AM3:AP3)</f>
        <v>3014</v>
      </c>
      <c r="DZ3" s="235">
        <f>SUM(AQ3:AT3)</f>
        <v>3327</v>
      </c>
      <c r="EA3" s="235">
        <f>SUM(AU3:AX3)</f>
        <v>3748</v>
      </c>
      <c r="EB3" s="235">
        <f>SUM(AY3:BB3)</f>
        <v>4304</v>
      </c>
      <c r="EC3" s="235">
        <f>SUM(BC3:BF3)</f>
        <v>4610</v>
      </c>
      <c r="ED3" s="235">
        <f>SUM(BG3:BJ3)</f>
        <v>5492</v>
      </c>
      <c r="EE3" s="235">
        <f>SUM(BK3:BN3)</f>
        <v>6139</v>
      </c>
      <c r="EF3" s="235">
        <f>SUM(BO3:BR3)</f>
        <v>6673</v>
      </c>
      <c r="EG3" s="235">
        <f>SUM(BS3:BV3)</f>
        <v>6985.05</v>
      </c>
      <c r="EH3" s="235">
        <f>EG3*1.03</f>
        <v>7194.6015000000007</v>
      </c>
      <c r="EI3" s="235">
        <f>+EH3</f>
        <v>7194.6015000000007</v>
      </c>
      <c r="EJ3" s="235">
        <f t="shared" ref="EJ3:EL3" si="10">EI3*0.95</f>
        <v>6834.8714250000003</v>
      </c>
      <c r="EK3" s="235">
        <f t="shared" si="10"/>
        <v>6493.1278537500002</v>
      </c>
      <c r="EL3" s="235">
        <f t="shared" si="10"/>
        <v>6168.4714610624997</v>
      </c>
      <c r="EM3" s="235">
        <f>SUM(CQ3:CT3)</f>
        <v>3747</v>
      </c>
      <c r="EN3" s="235">
        <f>SUM(CU3:CX3)</f>
        <v>3190</v>
      </c>
      <c r="EO3" s="235">
        <f>SUM(CY3:DB3)</f>
        <v>2479.1999999999998</v>
      </c>
      <c r="EP3" s="235">
        <f t="shared" ref="EP3" si="11">EO3*0.95</f>
        <v>2355.2399999999998</v>
      </c>
      <c r="EQ3" s="235">
        <f t="shared" ref="EQ3" si="12">EP3*0.95</f>
        <v>2237.4779999999996</v>
      </c>
      <c r="ER3" s="235">
        <f t="shared" ref="ER3" si="13">EQ3*0.95</f>
        <v>2125.6040999999996</v>
      </c>
      <c r="ES3" s="235">
        <f t="shared" ref="ES3" si="14">ER3*0.95</f>
        <v>2019.3238949999995</v>
      </c>
      <c r="ET3" s="235">
        <f t="shared" ref="ET3" si="15">ES3*0.95</f>
        <v>1918.3577002499994</v>
      </c>
      <c r="EU3" s="235">
        <f t="shared" ref="EU3" si="16">ET3*0.95</f>
        <v>1822.4398152374993</v>
      </c>
      <c r="EV3" s="235">
        <f t="shared" ref="EV3" si="17">EU3*0.95</f>
        <v>1731.3178244756243</v>
      </c>
      <c r="EW3" s="235">
        <f t="shared" ref="EW3" si="18">EV3*0.95</f>
        <v>1644.751933251843</v>
      </c>
      <c r="EY3" t="s">
        <v>1488</v>
      </c>
      <c r="EZ3" t="s">
        <v>1490</v>
      </c>
    </row>
    <row r="4" spans="1:156" ht="12.75" customHeight="1" x14ac:dyDescent="0.2">
      <c r="B4" t="s">
        <v>734</v>
      </c>
      <c r="AE4" s="243"/>
      <c r="AF4" s="243"/>
      <c r="AG4" s="243"/>
      <c r="AH4" s="243"/>
      <c r="AI4" s="243"/>
      <c r="AJ4" s="243"/>
      <c r="AK4" s="243"/>
      <c r="AL4" s="243"/>
      <c r="AM4" s="243"/>
      <c r="AN4" s="243"/>
      <c r="AO4" s="243"/>
      <c r="AP4" s="243"/>
      <c r="AQ4" s="243"/>
      <c r="AR4" s="243"/>
      <c r="AS4" s="243"/>
      <c r="AT4" s="243"/>
      <c r="AU4" s="243"/>
      <c r="AV4" s="243"/>
      <c r="AW4" s="243"/>
      <c r="AX4" s="243"/>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f>+BQ4*1.2</f>
        <v>319.2</v>
      </c>
      <c r="BV4" s="243">
        <f t="shared" ref="BV4:BZ4" si="19">+BR4*1.2</f>
        <v>304.8</v>
      </c>
      <c r="BW4" s="243">
        <f t="shared" si="19"/>
        <v>310.8</v>
      </c>
      <c r="BX4" s="243">
        <f t="shared" si="19"/>
        <v>338.4</v>
      </c>
      <c r="BY4" s="243">
        <f t="shared" si="19"/>
        <v>383.03999999999996</v>
      </c>
      <c r="BZ4" s="243">
        <f t="shared" si="19"/>
        <v>365.76</v>
      </c>
      <c r="CA4" s="243"/>
      <c r="CB4" s="243"/>
      <c r="CC4" s="243"/>
      <c r="CD4" s="243"/>
      <c r="CE4" s="243"/>
      <c r="CF4" s="243"/>
      <c r="CG4" s="243"/>
      <c r="CH4" s="243"/>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f t="shared" ref="DB4:DF4" si="20">+CW4</f>
        <v>571</v>
      </c>
      <c r="DC4" s="243">
        <f t="shared" si="20"/>
        <v>559</v>
      </c>
      <c r="DD4" s="243">
        <f t="shared" si="20"/>
        <v>571</v>
      </c>
      <c r="DE4" s="243">
        <f t="shared" si="20"/>
        <v>566</v>
      </c>
      <c r="DF4" s="243">
        <f t="shared" si="20"/>
        <v>545</v>
      </c>
      <c r="DH4" s="235"/>
      <c r="DI4" s="235"/>
      <c r="DJ4" s="235"/>
      <c r="DK4" s="235"/>
      <c r="DL4" s="235"/>
      <c r="DM4" s="235"/>
      <c r="DN4" s="235"/>
      <c r="DO4" s="235"/>
      <c r="DP4" s="235"/>
      <c r="DQ4" s="235"/>
      <c r="DR4" s="235"/>
      <c r="DS4" s="235"/>
      <c r="DT4" s="235"/>
      <c r="DU4" s="235"/>
      <c r="DV4" s="235"/>
      <c r="DW4" s="235"/>
      <c r="DX4" s="235"/>
      <c r="DY4" s="235"/>
      <c r="DZ4" s="235"/>
      <c r="EA4" s="235"/>
      <c r="EB4" s="235"/>
      <c r="EC4" s="235"/>
      <c r="ED4" s="235">
        <f>SUM(BG4:BJ4)</f>
        <v>410</v>
      </c>
      <c r="EE4" s="235">
        <f>SUM(BK4:BN4)</f>
        <v>607</v>
      </c>
      <c r="EF4" s="235">
        <f>SUM(BO4:BR4)</f>
        <v>932</v>
      </c>
      <c r="EG4" s="235">
        <f>SUM(BS4:BV4)</f>
        <v>1165</v>
      </c>
      <c r="EH4" s="235">
        <f>+EG4*1.1</f>
        <v>1281.5</v>
      </c>
      <c r="EI4" s="235">
        <f t="shared" ref="EI4:EL4" si="21">EH4*1.05</f>
        <v>1345.575</v>
      </c>
      <c r="EJ4" s="235">
        <f t="shared" si="21"/>
        <v>1412.8537500000002</v>
      </c>
      <c r="EK4" s="235">
        <f t="shared" si="21"/>
        <v>1483.4964375000002</v>
      </c>
      <c r="EL4" s="235">
        <f t="shared" si="21"/>
        <v>1557.6712593750003</v>
      </c>
      <c r="EM4" s="235">
        <f>SUM(CQ4:CT4)</f>
        <v>2243</v>
      </c>
      <c r="EN4" s="235">
        <f t="shared" ref="EN4:EN7" si="22">SUM(CU4:CX4)</f>
        <v>2276</v>
      </c>
      <c r="EO4" s="235">
        <f>SUM(CY4:DB4)</f>
        <v>2253</v>
      </c>
      <c r="EP4" s="235">
        <f>EO4*1.01</f>
        <v>2275.5300000000002</v>
      </c>
      <c r="EQ4" s="235">
        <f t="shared" ref="EQ4:EW4" si="23">EP4*1.01</f>
        <v>2298.2853</v>
      </c>
      <c r="ER4" s="235">
        <f t="shared" si="23"/>
        <v>2321.268153</v>
      </c>
      <c r="ES4" s="235">
        <f t="shared" si="23"/>
        <v>2344.4808345299998</v>
      </c>
      <c r="ET4" s="235">
        <f t="shared" si="23"/>
        <v>2367.9256428752997</v>
      </c>
      <c r="EU4" s="235">
        <f t="shared" si="23"/>
        <v>2391.6048993040527</v>
      </c>
      <c r="EV4" s="235">
        <f t="shared" si="23"/>
        <v>2415.5209482970931</v>
      </c>
      <c r="EW4" s="235">
        <f t="shared" si="23"/>
        <v>2439.6761577800639</v>
      </c>
      <c r="EX4" s="254"/>
      <c r="EY4" t="s">
        <v>1489</v>
      </c>
      <c r="EZ4" t="s">
        <v>1491</v>
      </c>
    </row>
    <row r="5" spans="1:156" ht="12.75" customHeight="1" x14ac:dyDescent="0.2">
      <c r="B5" t="s">
        <v>1708</v>
      </c>
      <c r="AE5" s="243"/>
      <c r="AF5" s="243"/>
      <c r="AG5" s="243"/>
      <c r="AH5" s="243"/>
      <c r="AI5" s="243"/>
      <c r="AJ5" s="243"/>
      <c r="AK5" s="243"/>
      <c r="AL5" s="243"/>
      <c r="AM5" s="243"/>
      <c r="AN5" s="243"/>
      <c r="AO5" s="243"/>
      <c r="AP5" s="243"/>
      <c r="AQ5" s="243"/>
      <c r="AR5" s="243"/>
      <c r="AS5" s="243"/>
      <c r="AT5" s="243"/>
      <c r="AU5" s="243"/>
      <c r="AV5" s="243"/>
      <c r="AW5" s="243"/>
      <c r="AX5" s="243"/>
      <c r="BS5" s="243"/>
      <c r="BT5" s="243"/>
      <c r="BU5" s="243"/>
      <c r="BV5" s="243"/>
      <c r="BW5" s="243"/>
      <c r="BX5" s="243"/>
      <c r="BY5" s="243"/>
      <c r="BZ5" s="243"/>
      <c r="CA5" s="243"/>
      <c r="CB5" s="243"/>
      <c r="CC5" s="243"/>
      <c r="CD5" s="243"/>
      <c r="CE5" s="243"/>
      <c r="CF5" s="243"/>
      <c r="CG5" s="243"/>
      <c r="CH5" s="243"/>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f t="shared" ref="DB5:DF5" si="24">++CX5*1.35</f>
        <v>935.55000000000007</v>
      </c>
      <c r="DC5" s="243">
        <f t="shared" si="24"/>
        <v>796.5</v>
      </c>
      <c r="DD5" s="243">
        <f t="shared" si="24"/>
        <v>805.95</v>
      </c>
      <c r="DE5" s="243">
        <f t="shared" si="24"/>
        <v>984.15000000000009</v>
      </c>
      <c r="DF5" s="243">
        <f t="shared" si="24"/>
        <v>1262.9925000000001</v>
      </c>
      <c r="DH5" s="235"/>
      <c r="DI5" s="235"/>
      <c r="DJ5" s="235"/>
      <c r="DK5" s="235"/>
      <c r="DL5" s="235"/>
      <c r="DM5" s="235"/>
      <c r="DN5" s="235"/>
      <c r="DO5" s="235"/>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f>SUM(CQ5:CT5)</f>
        <v>1347</v>
      </c>
      <c r="EN5" s="235">
        <f t="shared" si="22"/>
        <v>2127</v>
      </c>
      <c r="EO5" s="235">
        <f>SUM(CY5:DB5)</f>
        <v>2851.55</v>
      </c>
      <c r="EP5" s="235">
        <f>+EO5*1.2</f>
        <v>3421.86</v>
      </c>
      <c r="EQ5" s="235">
        <f>+EP5*1.1</f>
        <v>3764.0460000000003</v>
      </c>
      <c r="ER5" s="235">
        <f>+EQ5*1.05</f>
        <v>3952.2483000000007</v>
      </c>
      <c r="ES5" s="235">
        <f t="shared" ref="ES5:EW5" si="25">+ER5*1.05</f>
        <v>4149.8607150000007</v>
      </c>
      <c r="ET5" s="235">
        <f t="shared" si="25"/>
        <v>4357.3537507500014</v>
      </c>
      <c r="EU5" s="235">
        <f t="shared" si="25"/>
        <v>4575.2214382875018</v>
      </c>
      <c r="EV5" s="235">
        <f t="shared" si="25"/>
        <v>4803.9825102018767</v>
      </c>
      <c r="EW5" s="235">
        <f t="shared" si="25"/>
        <v>5044.1816357119706</v>
      </c>
      <c r="EX5" s="254"/>
    </row>
    <row r="6" spans="1:156" x14ac:dyDescent="0.2">
      <c r="B6" t="s">
        <v>532</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f>+BQ6*1.25</f>
        <v>462.5</v>
      </c>
      <c r="BV6" s="243">
        <f t="shared" ref="BV6:BZ6" si="26">+BR6*1.25</f>
        <v>521.25</v>
      </c>
      <c r="BW6" s="243">
        <f t="shared" si="26"/>
        <v>570</v>
      </c>
      <c r="BX6" s="243">
        <f t="shared" si="26"/>
        <v>660</v>
      </c>
      <c r="BY6" s="243">
        <f t="shared" si="26"/>
        <v>578.125</v>
      </c>
      <c r="BZ6" s="243">
        <f t="shared" si="26"/>
        <v>651.5625</v>
      </c>
      <c r="CA6" s="243"/>
      <c r="CB6" s="243"/>
      <c r="CC6" s="243"/>
      <c r="CD6" s="243"/>
      <c r="CE6" s="243"/>
      <c r="CF6" s="243"/>
      <c r="CG6" s="243"/>
      <c r="CH6" s="243"/>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f t="shared" ref="DB6:DF6" si="27">+CX6*1.01</f>
        <v>2357.34</v>
      </c>
      <c r="DC6" s="243">
        <f t="shared" si="27"/>
        <v>2310.88</v>
      </c>
      <c r="DD6" s="243">
        <f t="shared" si="27"/>
        <v>2624.9900000000002</v>
      </c>
      <c r="DE6" s="243">
        <f t="shared" si="27"/>
        <v>2473.4900000000002</v>
      </c>
      <c r="DF6" s="243">
        <f t="shared" si="27"/>
        <v>2380.9134000000004</v>
      </c>
      <c r="EA6" s="235"/>
      <c r="EB6" s="235"/>
      <c r="EC6" s="235"/>
      <c r="ED6" s="235">
        <f>SUM(BG6:BJ6)</f>
        <v>738</v>
      </c>
      <c r="EE6" s="235">
        <f>SUM(BK6:BN6)</f>
        <v>1025</v>
      </c>
      <c r="EF6" s="235">
        <f>SUM(BO6:BR6)</f>
        <v>1504</v>
      </c>
      <c r="EG6" s="235">
        <f>SUM(BS6:BV6)</f>
        <v>1967.75</v>
      </c>
      <c r="EH6" s="235">
        <f t="shared" ref="EH6:EI6" si="28">EG6*1.15</f>
        <v>2262.9124999999999</v>
      </c>
      <c r="EI6" s="235">
        <f t="shared" si="28"/>
        <v>2602.3493749999998</v>
      </c>
      <c r="EJ6" s="235">
        <f>+EI6*1.01</f>
        <v>2628.3728687499997</v>
      </c>
      <c r="EK6" s="235">
        <f t="shared" ref="EK6:EL6" si="29">+EJ6*1.01</f>
        <v>2654.6565974374998</v>
      </c>
      <c r="EL6" s="235">
        <f t="shared" si="29"/>
        <v>2681.2031634118748</v>
      </c>
      <c r="EM6" s="235">
        <f>SUM(CQ6:CT6)</f>
        <v>7707</v>
      </c>
      <c r="EN6" s="235">
        <f t="shared" si="22"/>
        <v>9134</v>
      </c>
      <c r="EO6" s="235">
        <f>SUM(CY6:DB6)</f>
        <v>9693.34</v>
      </c>
      <c r="EP6" s="235">
        <f>+EO6*1.01</f>
        <v>9790.2734</v>
      </c>
      <c r="EQ6" s="235">
        <f>+EP6*1.01</f>
        <v>9888.1761339999994</v>
      </c>
      <c r="ER6" s="235">
        <f>+EQ6*0.95</f>
        <v>9393.7673272999982</v>
      </c>
      <c r="ES6" s="235">
        <f t="shared" ref="ES6:EW6" si="30">+ER6*0.95</f>
        <v>8924.0789609349977</v>
      </c>
      <c r="ET6" s="235">
        <f t="shared" si="30"/>
        <v>8477.8750128882475</v>
      </c>
      <c r="EU6" s="235">
        <f t="shared" si="30"/>
        <v>8053.9812622438349</v>
      </c>
      <c r="EV6" s="235">
        <f t="shared" si="30"/>
        <v>7651.2821991316432</v>
      </c>
      <c r="EW6" s="235">
        <f t="shared" si="30"/>
        <v>7268.7180891750604</v>
      </c>
      <c r="EZ6" t="s">
        <v>1330</v>
      </c>
    </row>
    <row r="7" spans="1:156" x14ac:dyDescent="0.2">
      <c r="B7" t="s">
        <v>1702</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c r="BT7" s="243"/>
      <c r="BU7" s="243"/>
      <c r="BV7" s="243"/>
      <c r="BW7" s="243"/>
      <c r="BX7" s="243"/>
      <c r="BY7" s="243"/>
      <c r="BZ7" s="243"/>
      <c r="CA7" s="243"/>
      <c r="CB7" s="243"/>
      <c r="CC7" s="243"/>
      <c r="CD7" s="243"/>
      <c r="CE7" s="243"/>
      <c r="CF7" s="243"/>
      <c r="CG7" s="243"/>
      <c r="CH7" s="243"/>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f t="shared" ref="DB7:DF7" si="31">+DA7</f>
        <v>5</v>
      </c>
      <c r="DC7" s="243">
        <f t="shared" si="31"/>
        <v>5</v>
      </c>
      <c r="DD7" s="243">
        <f t="shared" si="31"/>
        <v>5</v>
      </c>
      <c r="DE7" s="243">
        <f t="shared" si="31"/>
        <v>5</v>
      </c>
      <c r="DF7" s="243">
        <f t="shared" si="31"/>
        <v>5</v>
      </c>
      <c r="EA7" s="235"/>
      <c r="EB7" s="235"/>
      <c r="EC7" s="235"/>
      <c r="ED7" s="235"/>
      <c r="EE7" s="235"/>
      <c r="EF7" s="235"/>
      <c r="EG7" s="235"/>
      <c r="EH7" s="235"/>
      <c r="EI7" s="235"/>
      <c r="EJ7" s="235"/>
      <c r="EK7" s="235"/>
      <c r="EL7" s="235"/>
      <c r="EM7" s="235">
        <f>SUM(CQ7:CT7)</f>
        <v>11</v>
      </c>
      <c r="EN7" s="235">
        <f t="shared" si="22"/>
        <v>25</v>
      </c>
      <c r="EO7" s="235">
        <f>SUM(CY7:DB7)</f>
        <v>19</v>
      </c>
      <c r="EP7" s="235">
        <f>+EO7</f>
        <v>19</v>
      </c>
      <c r="EQ7" s="235">
        <f t="shared" ref="EQ7:EW7" si="32">+EP7</f>
        <v>19</v>
      </c>
      <c r="ER7" s="235">
        <f t="shared" si="32"/>
        <v>19</v>
      </c>
      <c r="ES7" s="235">
        <f t="shared" si="32"/>
        <v>19</v>
      </c>
      <c r="ET7" s="235">
        <f t="shared" si="32"/>
        <v>19</v>
      </c>
      <c r="EU7" s="235">
        <f t="shared" si="32"/>
        <v>19</v>
      </c>
      <c r="EV7" s="235">
        <f t="shared" si="32"/>
        <v>19</v>
      </c>
      <c r="EW7" s="235">
        <f t="shared" si="32"/>
        <v>19</v>
      </c>
    </row>
    <row r="8" spans="1:156" s="254" customFormat="1" hidden="1" x14ac:dyDescent="0.2">
      <c r="B8" t="s">
        <v>729</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641</v>
      </c>
      <c r="AR8" s="237" t="s">
        <v>640</v>
      </c>
      <c r="AS8" s="237" t="s">
        <v>639</v>
      </c>
      <c r="AT8" s="237" t="s">
        <v>638</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H8" s="270" t="s">
        <v>122</v>
      </c>
      <c r="DI8" s="271"/>
      <c r="DJ8" s="271"/>
      <c r="DK8" s="271"/>
      <c r="DL8" s="271"/>
      <c r="DM8" s="235">
        <v>175</v>
      </c>
      <c r="DN8" s="235">
        <v>445</v>
      </c>
      <c r="DO8" s="235">
        <v>690</v>
      </c>
      <c r="DP8" s="235">
        <f>SUM(C8:F8)</f>
        <v>856</v>
      </c>
      <c r="DQ8" s="235">
        <f>SUM(G8:J8)</f>
        <v>1014</v>
      </c>
      <c r="DR8" s="235">
        <f>SUM(K8:N8)</f>
        <v>1328</v>
      </c>
      <c r="DS8" s="235">
        <f>SUM(O8:R8)</f>
        <v>1604</v>
      </c>
      <c r="DT8" s="235">
        <f>SUM(S8:V8)</f>
        <v>1845</v>
      </c>
      <c r="DU8" s="235">
        <f>SUM(W8:Z8)</f>
        <v>2146</v>
      </c>
      <c r="DV8" s="235">
        <f>SUM(AA8:AD8)</f>
        <v>2513</v>
      </c>
      <c r="DW8" s="235">
        <f>SUM(AE8:AH8)</f>
        <v>3050</v>
      </c>
      <c r="DX8" s="235">
        <f>SUM(AI8:AL8)</f>
        <v>3551</v>
      </c>
      <c r="DY8" s="235">
        <f>SUM(AM8:AP8)</f>
        <v>4183</v>
      </c>
      <c r="DZ8" s="272" t="s">
        <v>636</v>
      </c>
      <c r="EA8" s="272" t="s">
        <v>1492</v>
      </c>
      <c r="EB8" s="272" t="s">
        <v>1493</v>
      </c>
      <c r="EC8" s="237" t="s">
        <v>1494</v>
      </c>
      <c r="ED8" s="236" t="s">
        <v>1495</v>
      </c>
      <c r="EE8" s="76"/>
      <c r="EF8" s="76"/>
      <c r="EG8" s="76"/>
      <c r="EH8" s="76"/>
      <c r="EI8" s="76"/>
      <c r="EJ8" s="76"/>
      <c r="EK8" s="76"/>
      <c r="EL8" s="76"/>
      <c r="EM8" s="76"/>
    </row>
    <row r="9" spans="1:156" s="254" customFormat="1" hidden="1" x14ac:dyDescent="0.2">
      <c r="B9" t="s">
        <v>324</v>
      </c>
      <c r="C9" s="76"/>
      <c r="D9" s="76"/>
      <c r="E9" s="76"/>
      <c r="F9" s="76"/>
      <c r="G9" s="76"/>
      <c r="H9" s="76"/>
      <c r="I9" s="76"/>
      <c r="J9" s="76"/>
      <c r="K9" s="76"/>
      <c r="L9" s="76"/>
      <c r="M9" s="76"/>
      <c r="N9" s="76"/>
      <c r="O9" s="76"/>
      <c r="P9" s="76"/>
      <c r="Q9" s="76"/>
      <c r="R9" s="76"/>
      <c r="S9" s="76"/>
      <c r="T9" s="76"/>
      <c r="U9" s="76"/>
      <c r="V9" s="76"/>
      <c r="W9" s="76"/>
      <c r="X9" s="76"/>
      <c r="Y9" s="76"/>
      <c r="Z9" s="76"/>
      <c r="AA9" s="236" t="s">
        <v>928</v>
      </c>
      <c r="AB9" s="236" t="s">
        <v>929</v>
      </c>
      <c r="AC9" s="237" t="s">
        <v>930</v>
      </c>
      <c r="AD9" s="237" t="s">
        <v>931</v>
      </c>
      <c r="AE9" s="237" t="s">
        <v>940</v>
      </c>
      <c r="AF9" s="237" t="s">
        <v>941</v>
      </c>
      <c r="AG9" s="238" t="s">
        <v>941</v>
      </c>
      <c r="AH9" s="238" t="s">
        <v>942</v>
      </c>
      <c r="AI9" s="238" t="s">
        <v>945</v>
      </c>
      <c r="AJ9" s="237" t="s">
        <v>946</v>
      </c>
      <c r="AK9" s="237" t="s">
        <v>947</v>
      </c>
      <c r="AL9" s="237" t="s">
        <v>948</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H9" s="235"/>
      <c r="DI9" s="235"/>
      <c r="DJ9" s="235"/>
      <c r="DK9" s="235"/>
      <c r="DL9" s="235"/>
      <c r="DM9" s="235"/>
      <c r="DN9" s="235"/>
      <c r="DO9" s="235"/>
      <c r="DP9" s="235"/>
      <c r="DQ9" s="235"/>
      <c r="DR9" s="235"/>
      <c r="DS9" s="235"/>
      <c r="DT9" s="235"/>
      <c r="DU9" s="235"/>
      <c r="DV9" s="244" t="s">
        <v>933</v>
      </c>
      <c r="DW9" s="244" t="s">
        <v>939</v>
      </c>
      <c r="DX9" s="244" t="s">
        <v>944</v>
      </c>
      <c r="DY9" s="235"/>
      <c r="DZ9" s="235">
        <f>SUM(AQ9:AT9)</f>
        <v>3420</v>
      </c>
      <c r="EA9" s="235">
        <f>SUM(AU9:AX9)</f>
        <v>2126</v>
      </c>
      <c r="EB9" s="235">
        <f>SUM(AY9:BB9)</f>
        <v>899</v>
      </c>
      <c r="EC9" s="235">
        <f t="shared" ref="EC9:EC17" si="33">SUM(BC9:BF9)</f>
        <v>527</v>
      </c>
      <c r="ED9" s="235">
        <f t="shared" ref="ED9" si="34">SUM(BG9:BJ9)</f>
        <v>542</v>
      </c>
      <c r="EE9" s="76"/>
      <c r="EF9" s="76"/>
      <c r="EG9" s="76"/>
      <c r="EH9" s="76"/>
      <c r="EI9" s="76"/>
      <c r="EJ9" s="76"/>
      <c r="EK9" s="76"/>
      <c r="EL9" s="76"/>
      <c r="EM9" s="76"/>
      <c r="EZ9"/>
    </row>
    <row r="10" spans="1:156" s="254" customFormat="1" x14ac:dyDescent="0.2">
      <c r="B10" t="s">
        <v>1276</v>
      </c>
      <c r="C10" s="76"/>
      <c r="D10" s="76"/>
      <c r="E10" s="76"/>
      <c r="F10" s="76"/>
      <c r="G10" s="76"/>
      <c r="H10" s="76"/>
      <c r="I10" s="76"/>
      <c r="J10" s="76"/>
      <c r="K10" s="76"/>
      <c r="L10" s="76"/>
      <c r="M10" s="76"/>
      <c r="N10" s="76"/>
      <c r="O10" s="76"/>
      <c r="P10" s="76"/>
      <c r="Q10" s="76"/>
      <c r="R10" s="76"/>
      <c r="S10" s="76"/>
      <c r="T10" s="76"/>
      <c r="U10" s="76"/>
      <c r="V10" s="76"/>
      <c r="W10" s="76"/>
      <c r="X10" s="76"/>
      <c r="Y10" s="236" t="s">
        <v>990</v>
      </c>
      <c r="Z10" s="236" t="s">
        <v>991</v>
      </c>
      <c r="AA10" s="237" t="s">
        <v>924</v>
      </c>
      <c r="AB10" s="237" t="s">
        <v>925</v>
      </c>
      <c r="AC10" s="237" t="s">
        <v>926</v>
      </c>
      <c r="AD10" s="237" t="s">
        <v>927</v>
      </c>
      <c r="AE10" s="237" t="s">
        <v>934</v>
      </c>
      <c r="AF10" s="237" t="s">
        <v>935</v>
      </c>
      <c r="AG10" s="238" t="s">
        <v>936</v>
      </c>
      <c r="AH10" s="238" t="s">
        <v>937</v>
      </c>
      <c r="AI10" s="237" t="s">
        <v>949</v>
      </c>
      <c r="AJ10" s="237" t="s">
        <v>950</v>
      </c>
      <c r="AK10" s="237" t="s">
        <v>951</v>
      </c>
      <c r="AL10" s="237" t="s">
        <v>952</v>
      </c>
      <c r="AM10" s="237" t="s">
        <v>993</v>
      </c>
      <c r="AN10" s="237" t="s">
        <v>994</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f>+BQ10*0.95</f>
        <v>309.7</v>
      </c>
      <c r="BV10" s="243">
        <f t="shared" ref="BV10:BZ10" si="35">+BR10*0.95</f>
        <v>304.95</v>
      </c>
      <c r="BW10" s="243">
        <f t="shared" si="35"/>
        <v>294.5</v>
      </c>
      <c r="BX10" s="243">
        <f t="shared" si="35"/>
        <v>286.89999999999998</v>
      </c>
      <c r="BY10" s="243">
        <f t="shared" si="35"/>
        <v>294.21499999999997</v>
      </c>
      <c r="BZ10" s="243">
        <f t="shared" si="35"/>
        <v>289.70249999999999</v>
      </c>
      <c r="CA10" s="243"/>
      <c r="CB10" s="243"/>
      <c r="CC10" s="243"/>
      <c r="CD10" s="243"/>
      <c r="CE10" s="243"/>
      <c r="CF10" s="243"/>
      <c r="CG10" s="243"/>
      <c r="CH10" s="243"/>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129</v>
      </c>
      <c r="CZ10" s="243">
        <v>125</v>
      </c>
      <c r="DA10" s="243">
        <v>119</v>
      </c>
      <c r="DB10" s="243">
        <f t="shared" ref="DB10:DF10" si="36">CX10</f>
        <v>140</v>
      </c>
      <c r="DC10" s="243">
        <f t="shared" si="36"/>
        <v>129</v>
      </c>
      <c r="DD10" s="243">
        <f t="shared" si="36"/>
        <v>125</v>
      </c>
      <c r="DE10" s="243">
        <f t="shared" si="36"/>
        <v>119</v>
      </c>
      <c r="DF10" s="243">
        <f t="shared" si="36"/>
        <v>140</v>
      </c>
      <c r="DH10" s="235"/>
      <c r="DI10" s="235"/>
      <c r="DJ10" s="235"/>
      <c r="DK10" s="235"/>
      <c r="DL10" s="235"/>
      <c r="DM10" s="235"/>
      <c r="DN10" s="235"/>
      <c r="DO10" s="235"/>
      <c r="DP10" s="235"/>
      <c r="DQ10" s="235"/>
      <c r="DR10" s="235"/>
      <c r="DS10" s="235"/>
      <c r="DT10" s="235"/>
      <c r="DU10" s="244" t="s">
        <v>992</v>
      </c>
      <c r="DV10" s="244" t="s">
        <v>932</v>
      </c>
      <c r="DW10" s="244" t="s">
        <v>938</v>
      </c>
      <c r="DX10" s="244" t="s">
        <v>943</v>
      </c>
      <c r="DY10" s="235"/>
      <c r="DZ10" s="235">
        <f>SUM(AQ10:AT10)</f>
        <v>1128</v>
      </c>
      <c r="EA10" s="235">
        <f>SUM(AU10:AX10)</f>
        <v>1309</v>
      </c>
      <c r="EB10" s="235">
        <f>SUM(AY10:BB10)</f>
        <v>1425</v>
      </c>
      <c r="EC10" s="235">
        <f t="shared" si="33"/>
        <v>1500</v>
      </c>
      <c r="ED10" s="235">
        <f>SUM(BG10:BJ10)</f>
        <v>1583</v>
      </c>
      <c r="EE10" s="235">
        <f>SUM(BK10:BN10)</f>
        <v>1425</v>
      </c>
      <c r="EF10" s="235">
        <f>SUM(BO10:BR10)</f>
        <v>1318</v>
      </c>
      <c r="EG10" s="235">
        <f>SUM(BS10:BV10)</f>
        <v>1226.6500000000001</v>
      </c>
      <c r="EH10" s="235">
        <f t="shared" ref="EH10:EP10" si="37">+EG10*0.95</f>
        <v>1165.3175000000001</v>
      </c>
      <c r="EI10" s="235">
        <f t="shared" si="37"/>
        <v>1107.0516250000001</v>
      </c>
      <c r="EJ10" s="235">
        <f t="shared" si="37"/>
        <v>1051.6990437500001</v>
      </c>
      <c r="EK10" s="235">
        <f t="shared" si="37"/>
        <v>999.11409156249999</v>
      </c>
      <c r="EL10" s="235">
        <f t="shared" si="37"/>
        <v>949.15838698437494</v>
      </c>
      <c r="EM10" s="235">
        <f>SUM(CQ10:CT10)</f>
        <v>642</v>
      </c>
      <c r="EN10" s="235">
        <f t="shared" ref="EN10:EN13" si="38">SUM(CU10:CX10)</f>
        <v>592</v>
      </c>
      <c r="EO10" s="235">
        <f>SUM(CY10:DB10)</f>
        <v>513</v>
      </c>
      <c r="EP10" s="235">
        <f t="shared" si="37"/>
        <v>487.34999999999997</v>
      </c>
      <c r="EQ10" s="235">
        <f t="shared" ref="EQ10" si="39">+EP10*0.95</f>
        <v>462.98249999999996</v>
      </c>
      <c r="ER10" s="235">
        <f t="shared" ref="ER10" si="40">+EQ10*0.95</f>
        <v>439.83337499999993</v>
      </c>
      <c r="ES10" s="235">
        <f t="shared" ref="ES10" si="41">+ER10*0.95</f>
        <v>417.8417062499999</v>
      </c>
      <c r="ET10" s="235">
        <f t="shared" ref="ET10" si="42">+ES10*0.95</f>
        <v>396.9496209374999</v>
      </c>
      <c r="EU10" s="235">
        <f t="shared" ref="EU10" si="43">+ET10*0.95</f>
        <v>377.10213989062487</v>
      </c>
      <c r="EV10" s="235">
        <f t="shared" ref="EV10" si="44">+EU10*0.95</f>
        <v>358.24703289609363</v>
      </c>
      <c r="EW10" s="235">
        <f t="shared" ref="EW10" si="45">+EV10*0.95</f>
        <v>340.33468125128894</v>
      </c>
      <c r="EZ10"/>
    </row>
    <row r="11" spans="1:156" s="254" customFormat="1" x14ac:dyDescent="0.2">
      <c r="B11" t="s">
        <v>852</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642</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+BQ11*1.2</f>
        <v>565.19999999999993</v>
      </c>
      <c r="BV11" s="243">
        <f t="shared" ref="BV11:BZ11" si="46">+BR11*1.2</f>
        <v>604.79999999999995</v>
      </c>
      <c r="BW11" s="243">
        <f t="shared" si="46"/>
        <v>645.6</v>
      </c>
      <c r="BX11" s="243">
        <f t="shared" si="46"/>
        <v>662.4</v>
      </c>
      <c r="BY11" s="243">
        <f t="shared" si="46"/>
        <v>678.2399999999999</v>
      </c>
      <c r="BZ11" s="243">
        <f t="shared" si="46"/>
        <v>725.75999999999988</v>
      </c>
      <c r="CA11" s="243"/>
      <c r="CB11" s="243"/>
      <c r="CC11" s="243"/>
      <c r="CD11" s="243"/>
      <c r="CE11" s="243"/>
      <c r="CF11" s="243"/>
      <c r="CG11" s="243"/>
      <c r="CH11" s="243"/>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f t="shared" ref="DB11:DF11" si="47">CX11*1.01</f>
        <v>1039.29</v>
      </c>
      <c r="DC11" s="243">
        <f t="shared" si="47"/>
        <v>1058.48</v>
      </c>
      <c r="DD11" s="243">
        <f t="shared" si="47"/>
        <v>1064.54</v>
      </c>
      <c r="DE11" s="243">
        <f t="shared" si="47"/>
        <v>1041.31</v>
      </c>
      <c r="DF11" s="243">
        <f t="shared" si="47"/>
        <v>1049.6829</v>
      </c>
      <c r="DH11" s="235"/>
      <c r="DI11" s="235"/>
      <c r="DJ11" s="235"/>
      <c r="DK11" s="235"/>
      <c r="DL11" s="235"/>
      <c r="DM11" s="235"/>
      <c r="DN11" s="235"/>
      <c r="DO11" s="235"/>
      <c r="DP11" s="235"/>
      <c r="DQ11" s="235"/>
      <c r="DR11" s="235"/>
      <c r="DS11" s="235"/>
      <c r="DT11" s="235"/>
      <c r="DU11" s="235"/>
      <c r="DV11" s="235"/>
      <c r="DW11" s="235"/>
      <c r="DX11" s="235"/>
      <c r="DY11" s="244" t="s">
        <v>953</v>
      </c>
      <c r="DZ11" s="244" t="s">
        <v>923</v>
      </c>
      <c r="EA11" s="235">
        <f>SUM(AU11:AX11)</f>
        <v>326</v>
      </c>
      <c r="EB11" s="235">
        <f>SUM(AY11:BB11)</f>
        <v>393</v>
      </c>
      <c r="EC11" s="235">
        <f t="shared" si="33"/>
        <v>424</v>
      </c>
      <c r="ED11" s="235">
        <f>SUM(BG11:BJ11)</f>
        <v>600</v>
      </c>
      <c r="EE11" s="235">
        <f>SUM(BK11:BN11)</f>
        <v>1346</v>
      </c>
      <c r="EF11" s="235">
        <f>SUM(BO11:BR11)</f>
        <v>1831</v>
      </c>
      <c r="EG11" s="235">
        <f>SUM(BS11:BV11)</f>
        <v>2260</v>
      </c>
      <c r="EH11" s="235">
        <f t="shared" ref="EH11:EQ11" si="48">+EG11*1.02</f>
        <v>2305.1999999999998</v>
      </c>
      <c r="EI11" s="235">
        <f t="shared" si="48"/>
        <v>2351.3039999999996</v>
      </c>
      <c r="EJ11" s="235">
        <f t="shared" si="48"/>
        <v>2398.3300799999997</v>
      </c>
      <c r="EK11" s="235">
        <f t="shared" si="48"/>
        <v>2446.2966815999998</v>
      </c>
      <c r="EL11" s="235">
        <f t="shared" si="48"/>
        <v>2495.222615232</v>
      </c>
      <c r="EM11" s="235">
        <f>SUM(CQ11:CT11)</f>
        <v>3653</v>
      </c>
      <c r="EN11" s="235">
        <f t="shared" si="38"/>
        <v>4022</v>
      </c>
      <c r="EO11" s="235">
        <f>SUM(CY11:DB11)</f>
        <v>4172.29</v>
      </c>
      <c r="EP11" s="235">
        <f t="shared" si="48"/>
        <v>4255.7358000000004</v>
      </c>
      <c r="EQ11" s="235">
        <f t="shared" si="48"/>
        <v>4340.8505160000004</v>
      </c>
      <c r="ER11" s="235">
        <f>+EQ11*0.8</f>
        <v>3472.6804128000003</v>
      </c>
      <c r="ES11" s="235">
        <f t="shared" ref="ES11:EW11" si="49">+ER11*0.8</f>
        <v>2778.1443302400003</v>
      </c>
      <c r="ET11" s="235">
        <f t="shared" si="49"/>
        <v>2222.5154641920003</v>
      </c>
      <c r="EU11" s="235">
        <f t="shared" si="49"/>
        <v>1778.0123713536004</v>
      </c>
      <c r="EV11" s="235">
        <f t="shared" si="49"/>
        <v>1422.4098970828804</v>
      </c>
      <c r="EW11" s="235">
        <f t="shared" si="49"/>
        <v>1137.9279176663044</v>
      </c>
      <c r="EZ11"/>
    </row>
    <row r="12" spans="1:156" s="254" customFormat="1" x14ac:dyDescent="0.2">
      <c r="B12" t="s">
        <v>573</v>
      </c>
      <c r="C12" s="76"/>
      <c r="D12" s="76"/>
      <c r="E12" s="76"/>
      <c r="F12" s="76"/>
      <c r="G12" s="76"/>
      <c r="H12" s="76"/>
      <c r="I12" s="76"/>
      <c r="J12" s="76"/>
      <c r="K12" s="76"/>
      <c r="L12" s="76"/>
      <c r="M12" s="76"/>
      <c r="N12" s="76"/>
      <c r="O12" s="76"/>
      <c r="P12" s="76"/>
      <c r="Q12" s="76"/>
      <c r="R12" s="76"/>
      <c r="S12" s="236" t="s">
        <v>642</v>
      </c>
      <c r="T12" s="236" t="s">
        <v>406</v>
      </c>
      <c r="U12" s="236" t="s">
        <v>407</v>
      </c>
      <c r="V12" s="236" t="s">
        <v>408</v>
      </c>
      <c r="W12" s="236" t="s">
        <v>409</v>
      </c>
      <c r="X12" s="236" t="s">
        <v>410</v>
      </c>
      <c r="Y12" s="236" t="s">
        <v>409</v>
      </c>
      <c r="Z12" s="236" t="s">
        <v>411</v>
      </c>
      <c r="AA12" s="236" t="s">
        <v>412</v>
      </c>
      <c r="AB12" s="236" t="s">
        <v>413</v>
      </c>
      <c r="AC12" s="236" t="s">
        <v>414</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f>+BT12-5</f>
        <v>140</v>
      </c>
      <c r="BV12" s="243">
        <f t="shared" ref="BV12:BZ12" si="50">+BU12-5</f>
        <v>135</v>
      </c>
      <c r="BW12" s="243">
        <f t="shared" si="50"/>
        <v>130</v>
      </c>
      <c r="BX12" s="243">
        <f t="shared" si="50"/>
        <v>125</v>
      </c>
      <c r="BY12" s="243">
        <f t="shared" si="50"/>
        <v>120</v>
      </c>
      <c r="BZ12" s="243">
        <f t="shared" si="50"/>
        <v>115</v>
      </c>
      <c r="CA12" s="243"/>
      <c r="CB12" s="243"/>
      <c r="CC12" s="243"/>
      <c r="CD12" s="243"/>
      <c r="CE12" s="243"/>
      <c r="CF12" s="243"/>
      <c r="CG12" s="243"/>
      <c r="CH12" s="243"/>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f t="shared" ref="DB12:DF13" si="51">CX12</f>
        <v>178</v>
      </c>
      <c r="DC12" s="243">
        <f t="shared" si="51"/>
        <v>157</v>
      </c>
      <c r="DD12" s="243">
        <f t="shared" si="51"/>
        <v>161</v>
      </c>
      <c r="DE12" s="243">
        <f t="shared" si="51"/>
        <v>158</v>
      </c>
      <c r="DF12" s="243">
        <f t="shared" si="51"/>
        <v>178</v>
      </c>
      <c r="DH12" s="244" t="s">
        <v>122</v>
      </c>
      <c r="DI12" s="235"/>
      <c r="DJ12" s="235"/>
      <c r="DK12" s="235"/>
      <c r="DL12" s="235"/>
      <c r="DM12" s="235"/>
      <c r="DN12" s="235"/>
      <c r="DO12" s="235"/>
      <c r="DP12" s="235"/>
      <c r="DQ12" s="235"/>
      <c r="DR12" s="235"/>
      <c r="DS12" s="235">
        <v>68</v>
      </c>
      <c r="DT12" s="235">
        <v>299</v>
      </c>
      <c r="DU12" s="235">
        <v>341</v>
      </c>
      <c r="DV12" s="235">
        <v>504.4</v>
      </c>
      <c r="DW12" s="235">
        <v>695</v>
      </c>
      <c r="DX12" s="235">
        <v>774</v>
      </c>
      <c r="DY12" s="235">
        <f>SUM(AM12:AP12)</f>
        <v>929</v>
      </c>
      <c r="DZ12" s="235">
        <f>SUM(AQ12:AT12)</f>
        <v>1027</v>
      </c>
      <c r="EA12" s="235">
        <f>SUM(AU12:AX12)</f>
        <v>1247</v>
      </c>
      <c r="EB12" s="235">
        <f>SUM(AY12:BB12)</f>
        <v>1326</v>
      </c>
      <c r="EC12" s="235">
        <f>SUM(BC12:BF12)</f>
        <v>1319</v>
      </c>
      <c r="ED12" s="235">
        <f>SUM(BG12:BJ12)</f>
        <v>1268</v>
      </c>
      <c r="EE12" s="235">
        <f>SUM(BK12:BN12)</f>
        <v>1073</v>
      </c>
      <c r="EF12" s="235">
        <f>SUM(BO12:BR12)</f>
        <v>782</v>
      </c>
      <c r="EG12" s="235">
        <f>SUM(BS12:BV12)</f>
        <v>570</v>
      </c>
      <c r="EH12" s="235">
        <f>EG12*0.2</f>
        <v>114</v>
      </c>
      <c r="EI12" s="235">
        <f>EH12*0.5</f>
        <v>57</v>
      </c>
      <c r="EJ12" s="235">
        <f t="shared" ref="EJ12:EL12" si="52">EI12*0.5</f>
        <v>28.5</v>
      </c>
      <c r="EK12" s="235">
        <f t="shared" si="52"/>
        <v>14.25</v>
      </c>
      <c r="EL12" s="235">
        <f t="shared" si="52"/>
        <v>7.125</v>
      </c>
      <c r="EM12" s="235">
        <f>SUM(CQ12:CT12)</f>
        <v>622</v>
      </c>
      <c r="EN12" s="235">
        <f t="shared" si="38"/>
        <v>667</v>
      </c>
      <c r="EO12" s="235">
        <f>SUM(CY12:DB12)</f>
        <v>654</v>
      </c>
      <c r="EP12" s="235">
        <f t="shared" ref="EP12" si="53">EO12*0.5</f>
        <v>327</v>
      </c>
      <c r="EQ12" s="235">
        <f t="shared" ref="EQ12" si="54">EP12*0.5</f>
        <v>163.5</v>
      </c>
      <c r="ER12" s="235">
        <f t="shared" ref="ER12" si="55">EQ12*0.5</f>
        <v>81.75</v>
      </c>
      <c r="ES12" s="235">
        <f t="shared" ref="ES12" si="56">ER12*0.5</f>
        <v>40.875</v>
      </c>
      <c r="ET12" s="235">
        <f t="shared" ref="ET12" si="57">ES12*0.5</f>
        <v>20.4375</v>
      </c>
      <c r="EU12" s="235">
        <f t="shared" ref="EU12" si="58">ET12*0.5</f>
        <v>10.21875</v>
      </c>
      <c r="EV12" s="235">
        <f t="shared" ref="EV12" si="59">EU12*0.5</f>
        <v>5.109375</v>
      </c>
      <c r="EW12" s="235">
        <f t="shared" ref="EW12" si="60">EV12*0.5</f>
        <v>2.5546875</v>
      </c>
      <c r="EZ12" t="s">
        <v>1327</v>
      </c>
    </row>
    <row r="13" spans="1:156" s="254" customFormat="1" x14ac:dyDescent="0.2">
      <c r="B13" t="s">
        <v>1705</v>
      </c>
      <c r="C13" s="76"/>
      <c r="D13" s="76"/>
      <c r="E13" s="76"/>
      <c r="F13" s="76"/>
      <c r="G13" s="76"/>
      <c r="H13" s="76"/>
      <c r="I13" s="76"/>
      <c r="J13" s="76"/>
      <c r="K13" s="76"/>
      <c r="L13" s="76"/>
      <c r="M13" s="76"/>
      <c r="N13" s="76"/>
      <c r="O13" s="76"/>
      <c r="P13" s="76"/>
      <c r="Q13" s="76"/>
      <c r="R13" s="76"/>
      <c r="S13" s="236"/>
      <c r="T13" s="236"/>
      <c r="U13" s="236"/>
      <c r="V13" s="236"/>
      <c r="W13" s="236"/>
      <c r="X13" s="236"/>
      <c r="Y13" s="236"/>
      <c r="Z13" s="236"/>
      <c r="AA13" s="236"/>
      <c r="AB13" s="236"/>
      <c r="AC13" s="236"/>
      <c r="AD13" s="243"/>
      <c r="AE13" s="243"/>
      <c r="AF13" s="243"/>
      <c r="AG13" s="243"/>
      <c r="AH13" s="243"/>
      <c r="AI13" s="243"/>
      <c r="AJ13" s="243"/>
      <c r="AK13" s="243"/>
      <c r="AL13" s="243"/>
      <c r="AM13" s="243"/>
      <c r="AN13" s="243"/>
      <c r="AO13" s="243"/>
      <c r="AP13" s="243"/>
      <c r="AQ13" s="243"/>
      <c r="AR13" s="243"/>
      <c r="AS13" s="243"/>
      <c r="AT13" s="243"/>
      <c r="AU13" s="243"/>
      <c r="AV13" s="243"/>
      <c r="AW13" s="243"/>
      <c r="AX13" s="243"/>
      <c r="AY13" s="243"/>
      <c r="AZ13" s="243"/>
      <c r="BA13" s="243"/>
      <c r="BB13" s="243"/>
      <c r="BC13" s="243"/>
      <c r="BD13" s="243"/>
      <c r="BE13" s="243"/>
      <c r="BF13" s="243"/>
      <c r="BG13" s="243"/>
      <c r="BH13" s="243"/>
      <c r="BI13" s="243"/>
      <c r="BJ13" s="243"/>
      <c r="BK13" s="243"/>
      <c r="BL13" s="243"/>
      <c r="BM13" s="243"/>
      <c r="BN13" s="243"/>
      <c r="BO13" s="243"/>
      <c r="BP13" s="243"/>
      <c r="BQ13" s="243"/>
      <c r="BR13" s="243"/>
      <c r="BS13" s="243"/>
      <c r="BT13" s="243"/>
      <c r="BU13" s="243"/>
      <c r="BV13" s="243"/>
      <c r="BW13" s="243"/>
      <c r="BX13" s="243"/>
      <c r="BY13" s="243"/>
      <c r="BZ13" s="243"/>
      <c r="CA13" s="243"/>
      <c r="CB13" s="243"/>
      <c r="CC13" s="243"/>
      <c r="CD13" s="243"/>
      <c r="CE13" s="243"/>
      <c r="CF13" s="243"/>
      <c r="CG13" s="243"/>
      <c r="CH13" s="243"/>
      <c r="CI13" s="243">
        <v>494</v>
      </c>
      <c r="CJ13" s="243">
        <v>437</v>
      </c>
      <c r="CK13" s="243">
        <v>409</v>
      </c>
      <c r="CL13" s="243">
        <v>409</v>
      </c>
      <c r="CM13" s="243">
        <v>446</v>
      </c>
      <c r="CN13" s="243">
        <v>401</v>
      </c>
      <c r="CO13" s="243">
        <v>384</v>
      </c>
      <c r="CP13" s="243">
        <v>383</v>
      </c>
      <c r="CQ13" s="243">
        <v>435</v>
      </c>
      <c r="CR13" s="243">
        <v>406</v>
      </c>
      <c r="CS13" s="243">
        <v>377</v>
      </c>
      <c r="CT13" s="243">
        <v>414</v>
      </c>
      <c r="CU13" s="243">
        <v>422</v>
      </c>
      <c r="CV13" s="243">
        <v>464</v>
      </c>
      <c r="CW13" s="243">
        <v>388</v>
      </c>
      <c r="CX13" s="243">
        <v>445</v>
      </c>
      <c r="CY13" s="243">
        <v>408</v>
      </c>
      <c r="CZ13" s="243">
        <v>393</v>
      </c>
      <c r="DA13" s="243">
        <v>374</v>
      </c>
      <c r="DB13" s="243">
        <f t="shared" si="51"/>
        <v>445</v>
      </c>
      <c r="DC13" s="243">
        <f t="shared" si="51"/>
        <v>408</v>
      </c>
      <c r="DD13" s="243">
        <f t="shared" si="51"/>
        <v>393</v>
      </c>
      <c r="DE13" s="243">
        <f t="shared" si="51"/>
        <v>374</v>
      </c>
      <c r="DF13" s="243">
        <f t="shared" si="51"/>
        <v>445</v>
      </c>
      <c r="DH13" s="244"/>
      <c r="DI13" s="235"/>
      <c r="DJ13" s="235"/>
      <c r="DK13" s="235"/>
      <c r="DL13" s="235"/>
      <c r="DM13" s="235"/>
      <c r="DN13" s="235"/>
      <c r="DO13" s="235"/>
      <c r="DP13" s="235"/>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f>SUM(CQ13:CT13)</f>
        <v>1632</v>
      </c>
      <c r="EN13" s="235">
        <f t="shared" si="38"/>
        <v>1719</v>
      </c>
      <c r="EO13" s="235">
        <f>SUM(CY13:DB13)</f>
        <v>1620</v>
      </c>
      <c r="EP13" s="235">
        <f>+EO13*0.9</f>
        <v>1458</v>
      </c>
      <c r="EQ13" s="235">
        <f t="shared" ref="EQ13:EW13" si="61">+EP13*0.9</f>
        <v>1312.2</v>
      </c>
      <c r="ER13" s="235">
        <f t="shared" si="61"/>
        <v>1180.98</v>
      </c>
      <c r="ES13" s="235">
        <f t="shared" si="61"/>
        <v>1062.8820000000001</v>
      </c>
      <c r="ET13" s="235">
        <f t="shared" si="61"/>
        <v>956.5938000000001</v>
      </c>
      <c r="EU13" s="235">
        <f t="shared" si="61"/>
        <v>860.93442000000016</v>
      </c>
      <c r="EV13" s="235">
        <f t="shared" si="61"/>
        <v>774.84097800000018</v>
      </c>
      <c r="EW13" s="235">
        <f t="shared" si="61"/>
        <v>697.35688020000021</v>
      </c>
      <c r="EZ13"/>
    </row>
    <row r="14" spans="1:156" s="254" customFormat="1" hidden="1" x14ac:dyDescent="0.2">
      <c r="B14" t="s">
        <v>187</v>
      </c>
      <c r="C14" s="76">
        <f>48+14</f>
        <v>62</v>
      </c>
      <c r="D14" s="76">
        <f>42+17</f>
        <v>59</v>
      </c>
      <c r="E14" s="76">
        <f>49+18</f>
        <v>67</v>
      </c>
      <c r="F14" s="76">
        <f>49+22</f>
        <v>71</v>
      </c>
      <c r="G14" s="76">
        <f>55+21</f>
        <v>76</v>
      </c>
      <c r="H14" s="76">
        <f>59+26</f>
        <v>85</v>
      </c>
      <c r="I14" s="76">
        <f>69+31</f>
        <v>100</v>
      </c>
      <c r="J14" s="76">
        <f>61+41</f>
        <v>102</v>
      </c>
      <c r="K14" s="76">
        <f>76+42</f>
        <v>118</v>
      </c>
      <c r="L14" s="76">
        <f>86+45</f>
        <v>131</v>
      </c>
      <c r="M14" s="76">
        <f>87+50</f>
        <v>137</v>
      </c>
      <c r="N14" s="76">
        <f>76+54</f>
        <v>130</v>
      </c>
      <c r="O14" s="76">
        <f>99+56</f>
        <v>155</v>
      </c>
      <c r="P14" s="76">
        <f>121+62</f>
        <v>183</v>
      </c>
      <c r="Q14" s="76">
        <f>94+63</f>
        <v>157</v>
      </c>
      <c r="R14" s="76">
        <f>92+69</f>
        <v>161</v>
      </c>
      <c r="S14" s="76">
        <f>124+74</f>
        <v>198</v>
      </c>
      <c r="T14" s="76">
        <f>161+80</f>
        <v>241</v>
      </c>
      <c r="U14" s="76">
        <f>125+85</f>
        <v>210</v>
      </c>
      <c r="V14" s="76">
        <f>132+94</f>
        <v>226</v>
      </c>
      <c r="W14" s="76">
        <f>187+94</f>
        <v>281</v>
      </c>
      <c r="X14" s="76">
        <f>192+111</f>
        <v>303</v>
      </c>
      <c r="Y14" s="76">
        <f>178+121</f>
        <v>299</v>
      </c>
      <c r="Z14" s="76">
        <f>188+132</f>
        <v>320</v>
      </c>
      <c r="AA14" s="76">
        <f>252+143</f>
        <v>395</v>
      </c>
      <c r="AB14" s="76">
        <f>215+166</f>
        <v>381</v>
      </c>
      <c r="AC14" s="76">
        <f>262+161</f>
        <v>423</v>
      </c>
      <c r="AD14" s="76">
        <f>248+184</f>
        <v>432</v>
      </c>
      <c r="AE14" s="243">
        <f>267+188</f>
        <v>455</v>
      </c>
      <c r="AF14" s="243">
        <f>359+198</f>
        <v>557</v>
      </c>
      <c r="AG14" s="243">
        <f>324+213</f>
        <v>537</v>
      </c>
      <c r="AH14" s="243">
        <f>317+218</f>
        <v>535</v>
      </c>
      <c r="AI14" s="243">
        <f>194+256</f>
        <v>450</v>
      </c>
      <c r="AJ14" s="243">
        <f>116+266</f>
        <v>382</v>
      </c>
      <c r="AK14" s="243">
        <f>142+252</f>
        <v>394</v>
      </c>
      <c r="AL14" s="243">
        <f>130+229</f>
        <v>359</v>
      </c>
      <c r="AM14" s="243">
        <f>110+215</f>
        <v>325</v>
      </c>
      <c r="AN14" s="243">
        <f>121+215</f>
        <v>336</v>
      </c>
      <c r="AO14" s="243">
        <v>342</v>
      </c>
      <c r="AP14" s="243">
        <v>292</v>
      </c>
      <c r="AQ14" s="243">
        <v>303</v>
      </c>
      <c r="AR14" s="243">
        <v>289</v>
      </c>
      <c r="AS14" s="243">
        <v>309</v>
      </c>
      <c r="AT14" s="243">
        <v>264</v>
      </c>
      <c r="AU14" s="243">
        <v>233</v>
      </c>
      <c r="AV14" s="243">
        <v>272</v>
      </c>
      <c r="AW14" s="243">
        <f>54+205</f>
        <v>259</v>
      </c>
      <c r="AX14" s="243">
        <v>272</v>
      </c>
      <c r="AY14" s="243">
        <v>231</v>
      </c>
      <c r="AZ14" s="243">
        <v>218</v>
      </c>
      <c r="BA14" s="243">
        <v>206</v>
      </c>
      <c r="BB14" s="243">
        <v>233</v>
      </c>
      <c r="BC14" s="243">
        <v>184</v>
      </c>
      <c r="BD14" s="243">
        <v>184</v>
      </c>
      <c r="BE14" s="243">
        <v>184</v>
      </c>
      <c r="BF14" s="243">
        <v>196</v>
      </c>
      <c r="BG14" s="243">
        <v>127</v>
      </c>
      <c r="BH14" s="243">
        <v>167</v>
      </c>
      <c r="BI14" s="243">
        <v>155</v>
      </c>
      <c r="BJ14" s="243">
        <v>140</v>
      </c>
      <c r="BK14" s="243"/>
      <c r="BL14" s="243"/>
      <c r="BM14" s="243"/>
      <c r="BN14" s="243"/>
      <c r="BO14" s="243"/>
      <c r="BP14" s="243"/>
      <c r="BQ14" s="243"/>
      <c r="BR14" s="243"/>
      <c r="BS14" s="243"/>
      <c r="BT14" s="243"/>
      <c r="BU14" s="243"/>
      <c r="BV14" s="243"/>
      <c r="BW14" s="243"/>
      <c r="BX14" s="243"/>
      <c r="BY14" s="243"/>
      <c r="BZ14" s="243"/>
      <c r="CA14" s="243"/>
      <c r="CB14" s="243"/>
      <c r="CC14" s="243"/>
      <c r="CD14" s="243"/>
      <c r="CE14" s="243"/>
      <c r="CF14" s="243"/>
      <c r="CG14" s="243"/>
      <c r="CH14" s="243"/>
      <c r="CI14" s="243"/>
      <c r="CJ14" s="243"/>
      <c r="CK14" s="243"/>
      <c r="CL14" s="243"/>
      <c r="CM14" s="243"/>
      <c r="CN14" s="243"/>
      <c r="CO14" s="243"/>
      <c r="CP14" s="243"/>
      <c r="CQ14" s="243"/>
      <c r="CR14" s="243"/>
      <c r="CS14" s="243"/>
      <c r="CT14" s="243"/>
      <c r="CU14" s="243"/>
      <c r="CV14" s="243"/>
      <c r="CW14" s="243"/>
      <c r="CX14" s="243"/>
      <c r="CY14" s="243"/>
      <c r="CZ14" s="243"/>
      <c r="DA14" s="243"/>
      <c r="DB14" s="243"/>
      <c r="DC14" s="243"/>
      <c r="DD14" s="243"/>
      <c r="DE14" s="243"/>
      <c r="DF14" s="243"/>
      <c r="DH14" s="271"/>
      <c r="DI14" s="271"/>
      <c r="DJ14" s="271"/>
      <c r="DK14" s="271"/>
      <c r="DL14" s="271"/>
      <c r="DM14" s="271"/>
      <c r="DN14" s="235">
        <v>132</v>
      </c>
      <c r="DO14" s="235">
        <v>170</v>
      </c>
      <c r="DP14" s="235">
        <f>SUM(C14:F14)</f>
        <v>259</v>
      </c>
      <c r="DQ14" s="235">
        <f>SUM(G14:J14)</f>
        <v>363</v>
      </c>
      <c r="DR14" s="235">
        <f>SUM(K14:N14)</f>
        <v>516</v>
      </c>
      <c r="DS14" s="235">
        <f>SUM(O14:R14)</f>
        <v>656</v>
      </c>
      <c r="DT14" s="235">
        <f>SUM(S14:V14)</f>
        <v>875</v>
      </c>
      <c r="DU14" s="235">
        <f>SUM(W14:Z14)</f>
        <v>1203</v>
      </c>
      <c r="DV14" s="235">
        <f>SUM(AA14:AD14)</f>
        <v>1631</v>
      </c>
      <c r="DW14" s="235">
        <f>SUM(AE14:AH14)</f>
        <v>2084</v>
      </c>
      <c r="DX14" s="235">
        <v>1585</v>
      </c>
      <c r="DY14" s="235">
        <f>SUM(AM14:AP14)</f>
        <v>1295</v>
      </c>
      <c r="DZ14" s="235">
        <f>SUM(AQ14:AT14)</f>
        <v>1165</v>
      </c>
      <c r="EA14" s="235">
        <f>SUM(AU14:AX14)</f>
        <v>1036</v>
      </c>
      <c r="EB14" s="235">
        <f>SUM(AY14:BB14)</f>
        <v>888</v>
      </c>
      <c r="EC14" s="235">
        <f>SUM(BC14:BF14)</f>
        <v>748</v>
      </c>
      <c r="ED14" s="235">
        <f>SUM(BG14:BJ14)</f>
        <v>589</v>
      </c>
      <c r="EE14" s="235"/>
      <c r="EF14" s="235"/>
      <c r="EG14" s="235"/>
      <c r="EH14" s="235"/>
      <c r="EI14" s="235"/>
      <c r="EJ14" s="235"/>
      <c r="EK14" s="235"/>
      <c r="EL14" s="235"/>
      <c r="EM14" s="235"/>
      <c r="EN14" s="235"/>
      <c r="EO14" s="235"/>
      <c r="EP14" s="235"/>
      <c r="EQ14" s="235"/>
      <c r="ER14" s="235"/>
      <c r="ES14" s="235"/>
      <c r="ET14" s="235"/>
      <c r="EU14" s="235"/>
      <c r="EV14" s="235"/>
      <c r="EW14" s="235"/>
      <c r="EZ14" t="s">
        <v>109</v>
      </c>
    </row>
    <row r="15" spans="1:156" s="254" customFormat="1" hidden="1" x14ac:dyDescent="0.2">
      <c r="B15" t="s">
        <v>330</v>
      </c>
      <c r="C15" s="76"/>
      <c r="D15" s="76"/>
      <c r="E15" s="76"/>
      <c r="F15" s="76"/>
      <c r="G15" s="76"/>
      <c r="H15" s="76"/>
      <c r="I15" s="76"/>
      <c r="J15" s="76"/>
      <c r="K15" s="76"/>
      <c r="L15" s="76"/>
      <c r="M15" s="76"/>
      <c r="N15" s="76"/>
      <c r="O15" s="76"/>
      <c r="P15" s="76"/>
      <c r="Q15" s="76">
        <v>77</v>
      </c>
      <c r="R15" s="76"/>
      <c r="S15" s="76">
        <v>123</v>
      </c>
      <c r="T15" s="76">
        <v>119</v>
      </c>
      <c r="U15" s="76">
        <v>169</v>
      </c>
      <c r="V15" s="76">
        <v>145</v>
      </c>
      <c r="W15" s="76">
        <f>104+56</f>
        <v>160</v>
      </c>
      <c r="X15" s="76">
        <f>105+62</f>
        <v>167</v>
      </c>
      <c r="Y15" s="76">
        <f>124+63</f>
        <v>187</v>
      </c>
      <c r="Z15" s="76">
        <f>109+74</f>
        <v>183</v>
      </c>
      <c r="AA15" s="76">
        <f>140+83</f>
        <v>223</v>
      </c>
      <c r="AB15" s="76">
        <f>127+97</f>
        <v>224</v>
      </c>
      <c r="AC15" s="76">
        <f>152+98</f>
        <v>250</v>
      </c>
      <c r="AD15" s="76">
        <f>151+119</f>
        <v>270</v>
      </c>
      <c r="AE15" s="243">
        <f>123+125</f>
        <v>248</v>
      </c>
      <c r="AF15" s="243">
        <f>131+132</f>
        <v>263</v>
      </c>
      <c r="AG15" s="243">
        <f>148+129</f>
        <v>277</v>
      </c>
      <c r="AH15" s="243">
        <f>179+151</f>
        <v>330</v>
      </c>
      <c r="AI15" s="243">
        <f>126+152</f>
        <v>278</v>
      </c>
      <c r="AJ15" s="243">
        <f>128+153</f>
        <v>281</v>
      </c>
      <c r="AK15" s="243">
        <f>154+146</f>
        <v>300</v>
      </c>
      <c r="AL15" s="243">
        <f>150+159</f>
        <v>309</v>
      </c>
      <c r="AM15" s="243">
        <f>146+160</f>
        <v>306</v>
      </c>
      <c r="AN15" s="243">
        <f>145+163</f>
        <v>308</v>
      </c>
      <c r="AO15" s="243">
        <v>307</v>
      </c>
      <c r="AP15" s="243">
        <v>318</v>
      </c>
      <c r="AQ15" s="243">
        <v>336</v>
      </c>
      <c r="AR15" s="243">
        <v>336</v>
      </c>
      <c r="AS15" s="243">
        <v>338</v>
      </c>
      <c r="AT15" s="243">
        <v>347</v>
      </c>
      <c r="AU15" s="243">
        <v>277</v>
      </c>
      <c r="AV15" s="243">
        <v>325</v>
      </c>
      <c r="AW15" s="243">
        <v>282</v>
      </c>
      <c r="AX15" s="243">
        <v>274</v>
      </c>
      <c r="AY15" s="243">
        <v>263</v>
      </c>
      <c r="AZ15" s="243">
        <v>260</v>
      </c>
      <c r="BA15" s="243">
        <v>261</v>
      </c>
      <c r="BB15" s="243">
        <v>312</v>
      </c>
      <c r="BC15" s="243">
        <v>260</v>
      </c>
      <c r="BD15" s="243">
        <v>254</v>
      </c>
      <c r="BE15" s="243">
        <v>240</v>
      </c>
      <c r="BF15" s="243">
        <v>252</v>
      </c>
      <c r="BG15" s="243">
        <v>239</v>
      </c>
      <c r="BH15" s="243">
        <v>247</v>
      </c>
      <c r="BI15" s="243">
        <v>235</v>
      </c>
      <c r="BJ15" s="243">
        <v>254</v>
      </c>
      <c r="BK15" s="243">
        <v>222</v>
      </c>
      <c r="BL15" s="243">
        <v>232</v>
      </c>
      <c r="BM15" s="243">
        <v>195</v>
      </c>
      <c r="BN15" s="243">
        <v>186</v>
      </c>
      <c r="BO15" s="243">
        <v>152</v>
      </c>
      <c r="BP15" s="243">
        <v>156</v>
      </c>
      <c r="BQ15" s="243">
        <v>133</v>
      </c>
      <c r="BR15" s="243">
        <v>29</v>
      </c>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H15" s="235"/>
      <c r="DI15" s="235"/>
      <c r="DJ15" s="235"/>
      <c r="DK15" s="235"/>
      <c r="DL15" s="235"/>
      <c r="DM15" s="235"/>
      <c r="DN15" s="235"/>
      <c r="DO15" s="235"/>
      <c r="DP15" s="235"/>
      <c r="DQ15" s="235"/>
      <c r="DR15" s="235">
        <v>65</v>
      </c>
      <c r="DS15" s="235">
        <v>297</v>
      </c>
      <c r="DT15" s="235">
        <f>SUM(S15:V15)</f>
        <v>556</v>
      </c>
      <c r="DU15" s="235">
        <f>SUM(W15:Z15)</f>
        <v>697</v>
      </c>
      <c r="DV15" s="235">
        <f>SUM(AA15:AD15)</f>
        <v>967</v>
      </c>
      <c r="DW15" s="235">
        <f>SUM(AE15:AH15)</f>
        <v>1118</v>
      </c>
      <c r="DX15" s="235">
        <v>1169</v>
      </c>
      <c r="DY15" s="235">
        <f>SUM(AM15:AP15)</f>
        <v>1239</v>
      </c>
      <c r="DZ15" s="235">
        <f t="shared" ref="DZ15:DZ16" si="62">SUM(AQ15:AT15)</f>
        <v>1357</v>
      </c>
      <c r="EA15" s="235">
        <f t="shared" ref="EA15:EA17" si="63">SUM(AU15:AX15)</f>
        <v>1158</v>
      </c>
      <c r="EB15" s="235">
        <f t="shared" ref="EB15:EB17" si="64">SUM(AY15:BB15)</f>
        <v>1096</v>
      </c>
      <c r="EC15" s="235">
        <f t="shared" si="33"/>
        <v>1006</v>
      </c>
      <c r="ED15" s="235">
        <f t="shared" ref="ED15:ED34" si="65">SUM(BG15:BJ15)</f>
        <v>975</v>
      </c>
      <c r="EE15" s="235">
        <f t="shared" ref="EE15:EE17" si="66">SUM(BK15:BN15)</f>
        <v>835</v>
      </c>
      <c r="EF15" s="235">
        <f>SUM(BO15:BR15)</f>
        <v>470</v>
      </c>
      <c r="EG15" s="235"/>
      <c r="EH15" s="76"/>
      <c r="EI15" s="76"/>
      <c r="EJ15" s="76"/>
      <c r="EK15" s="76"/>
      <c r="EL15" s="76"/>
      <c r="EM15" s="76"/>
      <c r="EN15"/>
      <c r="EO15"/>
      <c r="EP15"/>
      <c r="EQ15"/>
      <c r="ER15"/>
      <c r="ES15"/>
      <c r="ET15"/>
      <c r="EU15"/>
      <c r="EV15"/>
      <c r="EW15"/>
      <c r="EZ15" t="s">
        <v>331</v>
      </c>
    </row>
    <row r="16" spans="1:156" hidden="1" x14ac:dyDescent="0.2">
      <c r="B16" t="s">
        <v>326</v>
      </c>
      <c r="K16" s="76">
        <f>20+9</f>
        <v>29</v>
      </c>
      <c r="L16" s="76">
        <f>27+12</f>
        <v>39</v>
      </c>
      <c r="M16" s="76">
        <f>30+13</f>
        <v>43</v>
      </c>
      <c r="N16" s="76">
        <f>25+17</f>
        <v>42</v>
      </c>
      <c r="O16" s="76">
        <f>54+18</f>
        <v>72</v>
      </c>
      <c r="P16" s="76">
        <f>68+21</f>
        <v>89</v>
      </c>
      <c r="Q16" s="76">
        <f>54+21</f>
        <v>75</v>
      </c>
      <c r="R16" s="76">
        <f>49+24</f>
        <v>73</v>
      </c>
      <c r="S16" s="76">
        <f>80+27</f>
        <v>107</v>
      </c>
      <c r="T16" s="76">
        <f>100+29</f>
        <v>129</v>
      </c>
      <c r="U16" s="76">
        <f>68+30</f>
        <v>98</v>
      </c>
      <c r="V16" s="76">
        <f>110+33</f>
        <v>143</v>
      </c>
      <c r="W16" s="76">
        <f>117+32</f>
        <v>149</v>
      </c>
      <c r="X16" s="76">
        <f>109+39</f>
        <v>148</v>
      </c>
      <c r="Y16" s="76">
        <f>143+41</f>
        <v>184</v>
      </c>
      <c r="Z16" s="76">
        <f>159+47</f>
        <v>206</v>
      </c>
      <c r="AA16" s="76">
        <f>181+50</f>
        <v>231</v>
      </c>
      <c r="AB16" s="76">
        <f>205+58</f>
        <v>263</v>
      </c>
      <c r="AC16" s="76">
        <f>192+60</f>
        <v>252</v>
      </c>
      <c r="AD16" s="76">
        <f>226+70</f>
        <v>296</v>
      </c>
      <c r="AE16" s="243">
        <f>254+75</f>
        <v>329</v>
      </c>
      <c r="AF16" s="243">
        <f>257+78</f>
        <v>335</v>
      </c>
      <c r="AG16" s="243">
        <f>287+79</f>
        <v>366</v>
      </c>
      <c r="AH16" s="243">
        <f>293+88</f>
        <v>381</v>
      </c>
      <c r="AI16" s="243">
        <f>310+96</f>
        <v>406</v>
      </c>
      <c r="AJ16" s="243">
        <f>334+97</f>
        <v>431</v>
      </c>
      <c r="AK16" s="243">
        <f>327+102</f>
        <v>429</v>
      </c>
      <c r="AL16" s="243">
        <f>319+94</f>
        <v>413</v>
      </c>
      <c r="AM16" s="243">
        <f>373+98</f>
        <v>471</v>
      </c>
      <c r="AN16" s="243">
        <f>393+102</f>
        <v>495</v>
      </c>
      <c r="AO16" s="243">
        <v>533</v>
      </c>
      <c r="AP16" s="243">
        <v>529</v>
      </c>
      <c r="AQ16" s="243">
        <v>610</v>
      </c>
      <c r="AR16" s="243">
        <v>578</v>
      </c>
      <c r="AS16" s="243">
        <v>613</v>
      </c>
      <c r="AT16" s="243">
        <v>652</v>
      </c>
      <c r="AU16" s="243">
        <v>646</v>
      </c>
      <c r="AV16" s="243">
        <v>677</v>
      </c>
      <c r="AW16" s="243">
        <v>728</v>
      </c>
      <c r="AX16" s="243">
        <v>680</v>
      </c>
      <c r="AY16" s="243">
        <v>602</v>
      </c>
      <c r="AZ16" s="243">
        <v>182</v>
      </c>
      <c r="BA16" s="243">
        <v>175</v>
      </c>
      <c r="BB16" s="243">
        <v>192</v>
      </c>
      <c r="BC16" s="243">
        <v>148</v>
      </c>
      <c r="BD16" s="243">
        <v>142</v>
      </c>
      <c r="BE16" s="243">
        <v>127</v>
      </c>
      <c r="BF16" s="243">
        <v>121</v>
      </c>
      <c r="BG16" s="243">
        <v>129</v>
      </c>
      <c r="BH16" s="243">
        <v>121</v>
      </c>
      <c r="BI16" s="243">
        <v>117</v>
      </c>
      <c r="BJ16" s="243">
        <v>121</v>
      </c>
      <c r="BK16" s="243"/>
      <c r="BL16" s="243"/>
      <c r="BM16" s="243"/>
      <c r="BN16" s="243"/>
      <c r="BO16" s="243"/>
      <c r="BP16" s="243"/>
      <c r="BQ16" s="243"/>
      <c r="BR16" s="243"/>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H16" s="235"/>
      <c r="DI16" s="235"/>
      <c r="DJ16" s="235"/>
      <c r="DK16" s="235"/>
      <c r="DL16" s="235"/>
      <c r="DM16" s="235"/>
      <c r="DN16" s="235"/>
      <c r="DO16" s="235"/>
      <c r="DP16" s="235">
        <v>35</v>
      </c>
      <c r="DQ16" s="235">
        <f>65+22</f>
        <v>87</v>
      </c>
      <c r="DR16" s="235">
        <f>SUM(K16:N16)</f>
        <v>153</v>
      </c>
      <c r="DS16" s="235">
        <f>SUM(O16:R16)</f>
        <v>309</v>
      </c>
      <c r="DT16" s="235">
        <f>SUM(S16:V16)</f>
        <v>477</v>
      </c>
      <c r="DU16" s="235">
        <f>SUM(W16:Z16)</f>
        <v>687</v>
      </c>
      <c r="DV16" s="235">
        <f>SUM(AA16:AD16)</f>
        <v>1042</v>
      </c>
      <c r="DW16" s="235">
        <f>SUM(AE16:AH16)</f>
        <v>1411</v>
      </c>
      <c r="DX16" s="235">
        <v>1680</v>
      </c>
      <c r="DY16" s="235">
        <f>SUM(AM16:AP16)</f>
        <v>2028</v>
      </c>
      <c r="DZ16" s="235">
        <f t="shared" si="62"/>
        <v>2453</v>
      </c>
      <c r="EA16" s="235">
        <f t="shared" si="63"/>
        <v>2731</v>
      </c>
      <c r="EB16" s="235">
        <f t="shared" si="64"/>
        <v>1151</v>
      </c>
      <c r="EC16" s="235">
        <f t="shared" si="33"/>
        <v>538</v>
      </c>
      <c r="ED16" s="235">
        <f t="shared" si="65"/>
        <v>488</v>
      </c>
      <c r="EE16" s="235"/>
      <c r="EF16" s="235"/>
      <c r="EG16" s="235"/>
      <c r="EX16" s="254"/>
    </row>
    <row r="17" spans="2:156" x14ac:dyDescent="0.2">
      <c r="B17" t="s">
        <v>1237</v>
      </c>
      <c r="W17" s="268"/>
      <c r="X17" s="268"/>
      <c r="Y17" s="268"/>
      <c r="Z17" s="268"/>
      <c r="AA17" s="268"/>
      <c r="AB17" s="268"/>
      <c r="AC17" s="268"/>
      <c r="AD17" s="268"/>
      <c r="AE17" s="269"/>
      <c r="AF17" s="243"/>
      <c r="AG17" s="243"/>
      <c r="AH17" s="243"/>
      <c r="AI17" s="243"/>
      <c r="AJ17" s="243"/>
      <c r="AK17" s="243"/>
      <c r="AL17" s="243"/>
      <c r="AM17" s="243"/>
      <c r="AN17" s="243"/>
      <c r="AO17" s="243"/>
      <c r="AP17" s="243"/>
      <c r="AQ17" s="243"/>
      <c r="AR17" s="243"/>
      <c r="AS17" s="243"/>
      <c r="AT17" s="243"/>
      <c r="AU17" s="243">
        <v>74</v>
      </c>
      <c r="AV17" s="243">
        <v>88</v>
      </c>
      <c r="AW17" s="243">
        <v>79</v>
      </c>
      <c r="AX17" s="243">
        <v>93</v>
      </c>
      <c r="AY17" s="243">
        <v>122</v>
      </c>
      <c r="AZ17" s="243">
        <v>140</v>
      </c>
      <c r="BA17" s="243">
        <v>151</v>
      </c>
      <c r="BB17" s="243">
        <v>179</v>
      </c>
      <c r="BC17" s="243">
        <v>187</v>
      </c>
      <c r="BD17" s="243">
        <v>204</v>
      </c>
      <c r="BE17" s="243">
        <v>230</v>
      </c>
      <c r="BF17" s="243">
        <v>236</v>
      </c>
      <c r="BG17" s="243">
        <v>266</v>
      </c>
      <c r="BH17" s="243">
        <v>313</v>
      </c>
      <c r="BI17" s="243">
        <v>316</v>
      </c>
      <c r="BJ17" s="243">
        <v>316</v>
      </c>
      <c r="BK17" s="243">
        <v>324</v>
      </c>
      <c r="BL17" s="243">
        <v>373</v>
      </c>
      <c r="BM17" s="243">
        <v>364</v>
      </c>
      <c r="BN17" s="243">
        <v>353</v>
      </c>
      <c r="BO17" s="243">
        <v>367</v>
      </c>
      <c r="BP17" s="243">
        <v>435</v>
      </c>
      <c r="BQ17" s="243">
        <v>410</v>
      </c>
      <c r="BR17" s="243">
        <v>461</v>
      </c>
      <c r="BS17" s="243">
        <v>445</v>
      </c>
      <c r="BT17" s="243">
        <v>492</v>
      </c>
      <c r="BU17" s="243">
        <f>+BQ17*1.12</f>
        <v>459.20000000000005</v>
      </c>
      <c r="BV17" s="243">
        <f t="shared" ref="BV17:BZ17" si="67">+BR17*1.12</f>
        <v>516.32000000000005</v>
      </c>
      <c r="BW17" s="243">
        <f t="shared" si="67"/>
        <v>498.40000000000003</v>
      </c>
      <c r="BX17" s="243">
        <f t="shared" si="67"/>
        <v>551.04000000000008</v>
      </c>
      <c r="BY17" s="243">
        <f t="shared" si="67"/>
        <v>514.30400000000009</v>
      </c>
      <c r="BZ17" s="243">
        <f t="shared" si="67"/>
        <v>578.27840000000015</v>
      </c>
      <c r="CA17" s="243"/>
      <c r="CB17" s="243"/>
      <c r="CC17" s="243"/>
      <c r="CD17" s="243"/>
      <c r="CE17" s="243"/>
      <c r="CF17" s="243"/>
      <c r="CG17" s="243"/>
      <c r="CH17" s="243"/>
      <c r="CI17" s="243">
        <v>478</v>
      </c>
      <c r="CJ17" s="243">
        <v>492</v>
      </c>
      <c r="CK17" s="243">
        <v>490</v>
      </c>
      <c r="CL17" s="243">
        <v>495</v>
      </c>
      <c r="CM17" s="243">
        <v>523</v>
      </c>
      <c r="CN17" s="243">
        <v>535</v>
      </c>
      <c r="CO17" s="243">
        <v>508</v>
      </c>
      <c r="CP17" s="243">
        <v>544</v>
      </c>
      <c r="CQ17" s="243">
        <v>579</v>
      </c>
      <c r="CR17" s="243">
        <v>510</v>
      </c>
      <c r="CS17" s="243">
        <v>526</v>
      </c>
      <c r="CT17" s="243">
        <v>569</v>
      </c>
      <c r="CU17" s="243">
        <v>546</v>
      </c>
      <c r="CV17" s="243">
        <v>505</v>
      </c>
      <c r="CW17" s="243">
        <v>517</v>
      </c>
      <c r="CX17" s="243">
        <v>515</v>
      </c>
      <c r="CY17" s="243">
        <v>501</v>
      </c>
      <c r="CZ17" s="243">
        <v>464</v>
      </c>
      <c r="DA17" s="243">
        <v>485</v>
      </c>
      <c r="DB17" s="243">
        <f t="shared" ref="DB17:DF17" si="68">+CX17*0.9</f>
        <v>463.5</v>
      </c>
      <c r="DC17" s="243">
        <f t="shared" si="68"/>
        <v>450.90000000000003</v>
      </c>
      <c r="DD17" s="243">
        <f t="shared" si="68"/>
        <v>417.6</v>
      </c>
      <c r="DE17" s="243">
        <f t="shared" si="68"/>
        <v>436.5</v>
      </c>
      <c r="DF17" s="243">
        <f t="shared" si="68"/>
        <v>417.15000000000003</v>
      </c>
      <c r="EA17" s="235">
        <f t="shared" si="63"/>
        <v>334</v>
      </c>
      <c r="EB17" s="235">
        <f t="shared" si="64"/>
        <v>592</v>
      </c>
      <c r="EC17" s="235">
        <f t="shared" si="33"/>
        <v>857</v>
      </c>
      <c r="ED17" s="235">
        <f t="shared" si="65"/>
        <v>1211</v>
      </c>
      <c r="EE17" s="235">
        <f t="shared" si="66"/>
        <v>1414</v>
      </c>
      <c r="EF17" s="235">
        <f>SUM(BO17:BR17)</f>
        <v>1673</v>
      </c>
      <c r="EG17" s="235">
        <f>SUM(BS17:BV17)</f>
        <v>1912.52</v>
      </c>
      <c r="EH17" s="235">
        <f>EG17</f>
        <v>1912.52</v>
      </c>
      <c r="EI17" s="235">
        <f>EH17*0.5</f>
        <v>956.26</v>
      </c>
      <c r="EJ17" s="235">
        <f>+EI17*0.1</f>
        <v>95.626000000000005</v>
      </c>
      <c r="EK17" s="235">
        <f t="shared" ref="EK17:EL17" si="69">+EJ17*0.1</f>
        <v>9.5626000000000015</v>
      </c>
      <c r="EL17" s="235">
        <f t="shared" si="69"/>
        <v>0.95626000000000022</v>
      </c>
      <c r="EM17" s="235">
        <f>SUM(CQ17:CT17)</f>
        <v>2184</v>
      </c>
      <c r="EN17" s="235">
        <f t="shared" ref="EN17:EN55" si="70">SUM(CU17:CX17)</f>
        <v>2083</v>
      </c>
      <c r="EO17" s="235">
        <f>SUM(CY17:DB17)</f>
        <v>1913.5</v>
      </c>
      <c r="EP17" s="235">
        <f>+EO17*0.5</f>
        <v>956.75</v>
      </c>
      <c r="EQ17" s="235">
        <f t="shared" ref="EQ17:EW17" si="71">+EP17*0.5</f>
        <v>478.375</v>
      </c>
      <c r="ER17" s="235">
        <f t="shared" si="71"/>
        <v>239.1875</v>
      </c>
      <c r="ES17" s="235">
        <f t="shared" si="71"/>
        <v>119.59375</v>
      </c>
      <c r="ET17" s="235">
        <f t="shared" si="71"/>
        <v>59.796875</v>
      </c>
      <c r="EU17" s="235">
        <f t="shared" si="71"/>
        <v>29.8984375</v>
      </c>
      <c r="EV17" s="235">
        <f t="shared" si="71"/>
        <v>14.94921875</v>
      </c>
      <c r="EW17" s="235">
        <f t="shared" si="71"/>
        <v>7.474609375</v>
      </c>
      <c r="EX17" s="254"/>
      <c r="EZ17" t="s">
        <v>1329</v>
      </c>
    </row>
    <row r="18" spans="2:156" ht="12.75" customHeight="1" x14ac:dyDescent="0.2">
      <c r="B18" t="s">
        <v>1647</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c r="AV18" s="243"/>
      <c r="AW18" s="243"/>
      <c r="AX18" s="243"/>
      <c r="AY18" s="243"/>
      <c r="AZ18" s="243"/>
      <c r="BA18" s="243"/>
      <c r="BB18" s="243"/>
      <c r="BC18" s="243"/>
      <c r="BD18" s="243"/>
      <c r="BE18" s="243"/>
      <c r="BF18" s="243"/>
      <c r="BG18" s="243"/>
      <c r="BH18" s="243"/>
      <c r="BO18" s="243">
        <v>43</v>
      </c>
      <c r="BP18" s="243">
        <v>56</v>
      </c>
      <c r="BQ18" s="243">
        <v>64</v>
      </c>
      <c r="BR18" s="243">
        <v>73</v>
      </c>
      <c r="BS18" s="243">
        <v>81</v>
      </c>
      <c r="BT18" s="243">
        <v>92</v>
      </c>
      <c r="BU18" s="243">
        <f t="shared" ref="BU18:BV18" si="72">+BT18+10</f>
        <v>102</v>
      </c>
      <c r="BV18" s="243">
        <f t="shared" si="72"/>
        <v>112</v>
      </c>
      <c r="BW18" s="243">
        <f t="shared" ref="BW18" si="73">+BV18+10</f>
        <v>122</v>
      </c>
      <c r="BX18" s="243">
        <f t="shared" ref="BX18" si="74">+BW18+10</f>
        <v>132</v>
      </c>
      <c r="BY18" s="243">
        <f t="shared" ref="BY18" si="75">+BX18+10</f>
        <v>142</v>
      </c>
      <c r="BZ18" s="243">
        <f t="shared" ref="BZ18" si="76">+BY18+10</f>
        <v>152</v>
      </c>
      <c r="CA18" s="243"/>
      <c r="CB18" s="243"/>
      <c r="CC18" s="243"/>
      <c r="CD18" s="243"/>
      <c r="CE18" s="243"/>
      <c r="CF18" s="243"/>
      <c r="CG18" s="243"/>
      <c r="CH18" s="243"/>
      <c r="CI18" s="243">
        <v>210</v>
      </c>
      <c r="CJ18" s="243">
        <v>211</v>
      </c>
      <c r="CK18" s="243">
        <v>202</v>
      </c>
      <c r="CL18" s="243">
        <v>193</v>
      </c>
      <c r="CM18" s="243">
        <v>211</v>
      </c>
      <c r="CN18" s="243">
        <v>210</v>
      </c>
      <c r="CO18" s="243">
        <v>218</v>
      </c>
      <c r="CP18" s="243">
        <v>222</v>
      </c>
      <c r="CQ18" s="243">
        <v>224</v>
      </c>
      <c r="CR18" s="243">
        <v>256</v>
      </c>
      <c r="CS18" s="243">
        <v>236</v>
      </c>
      <c r="CT18" s="243">
        <v>248</v>
      </c>
      <c r="CU18" s="243">
        <v>243</v>
      </c>
      <c r="CV18" s="243">
        <v>262</v>
      </c>
      <c r="CW18" s="243">
        <v>259</v>
      </c>
      <c r="CX18" s="243">
        <v>230</v>
      </c>
      <c r="CY18" s="243">
        <v>248</v>
      </c>
      <c r="CZ18" s="243">
        <v>225</v>
      </c>
      <c r="DA18" s="243">
        <v>245</v>
      </c>
      <c r="DB18" s="243">
        <f t="shared" ref="DB18:DF18" si="77">+CX18</f>
        <v>230</v>
      </c>
      <c r="DC18" s="243">
        <f t="shared" si="77"/>
        <v>248</v>
      </c>
      <c r="DD18" s="243">
        <f t="shared" si="77"/>
        <v>225</v>
      </c>
      <c r="DE18" s="243">
        <f t="shared" si="77"/>
        <v>245</v>
      </c>
      <c r="DF18" s="243">
        <f t="shared" si="77"/>
        <v>230</v>
      </c>
      <c r="EA18" s="235"/>
      <c r="EB18" s="235"/>
      <c r="EC18" s="235"/>
      <c r="ED18" s="235"/>
      <c r="EE18" s="235"/>
      <c r="EF18" s="235"/>
      <c r="EG18" s="235">
        <f>SUM(BS18:BV18)</f>
        <v>387</v>
      </c>
      <c r="EH18" s="235">
        <f>+EG18*1.05</f>
        <v>406.35</v>
      </c>
      <c r="EI18" s="235">
        <f t="shared" ref="EI18:EP18" si="78">+EH18*1.05</f>
        <v>426.66750000000002</v>
      </c>
      <c r="EJ18" s="235">
        <f t="shared" si="78"/>
        <v>448.00087500000006</v>
      </c>
      <c r="EK18" s="235">
        <f t="shared" si="78"/>
        <v>470.40091875000007</v>
      </c>
      <c r="EL18" s="235">
        <f t="shared" si="78"/>
        <v>493.92096468750009</v>
      </c>
      <c r="EM18" s="235">
        <f>SUM(CQ18:CT18)</f>
        <v>964</v>
      </c>
      <c r="EN18" s="235">
        <f t="shared" si="70"/>
        <v>994</v>
      </c>
      <c r="EO18" s="235">
        <f>SUM(CY18:DB18)</f>
        <v>948</v>
      </c>
      <c r="EP18" s="235">
        <f t="shared" si="78"/>
        <v>995.40000000000009</v>
      </c>
      <c r="EQ18" s="235">
        <f>+EP18*0.5</f>
        <v>497.70000000000005</v>
      </c>
      <c r="ER18" s="235">
        <f t="shared" ref="ER18:EW18" si="79">+EQ18*0.5</f>
        <v>248.85000000000002</v>
      </c>
      <c r="ES18" s="235">
        <f t="shared" si="79"/>
        <v>124.42500000000001</v>
      </c>
      <c r="ET18" s="235">
        <f t="shared" si="79"/>
        <v>62.212500000000006</v>
      </c>
      <c r="EU18" s="235">
        <f t="shared" si="79"/>
        <v>31.106250000000003</v>
      </c>
      <c r="EV18" s="235">
        <f t="shared" si="79"/>
        <v>15.553125000000001</v>
      </c>
      <c r="EW18" s="235">
        <f t="shared" si="79"/>
        <v>7.7765625000000007</v>
      </c>
      <c r="EX18" s="254"/>
    </row>
    <row r="19" spans="2:156" ht="12.75" customHeight="1" x14ac:dyDescent="0.2">
      <c r="B19" t="s">
        <v>1703</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c r="BP19" s="243"/>
      <c r="BQ19" s="243"/>
      <c r="BR19" s="243"/>
      <c r="BS19" s="243"/>
      <c r="BT19" s="243"/>
      <c r="BU19" s="243"/>
      <c r="BV19" s="243"/>
      <c r="BW19" s="243"/>
      <c r="BX19" s="243"/>
      <c r="BY19" s="243"/>
      <c r="BZ19" s="243"/>
      <c r="CA19" s="243"/>
      <c r="CB19" s="243"/>
      <c r="CC19" s="243"/>
      <c r="CD19" s="243"/>
      <c r="CE19" s="243"/>
      <c r="CF19" s="243"/>
      <c r="CG19" s="243"/>
      <c r="CH19" s="243"/>
      <c r="CI19" s="243">
        <v>0</v>
      </c>
      <c r="CJ19" s="243">
        <v>0</v>
      </c>
      <c r="CK19" s="243">
        <v>0</v>
      </c>
      <c r="CL19" s="243">
        <v>0</v>
      </c>
      <c r="CM19" s="243">
        <v>0</v>
      </c>
      <c r="CN19" s="243">
        <v>0</v>
      </c>
      <c r="CO19" s="243">
        <v>0</v>
      </c>
      <c r="CP19" s="243">
        <v>0</v>
      </c>
      <c r="CQ19" s="243">
        <v>0</v>
      </c>
      <c r="CR19" s="243">
        <v>0</v>
      </c>
      <c r="CS19" s="243">
        <v>0</v>
      </c>
      <c r="CT19" s="243">
        <v>0</v>
      </c>
      <c r="CU19" s="243">
        <v>100</v>
      </c>
      <c r="CV19" s="243">
        <v>164</v>
      </c>
      <c r="CW19" s="243">
        <v>502</v>
      </c>
      <c r="CX19" s="243">
        <v>1619</v>
      </c>
      <c r="CY19" s="243">
        <v>457</v>
      </c>
      <c r="CZ19" s="243">
        <v>544</v>
      </c>
      <c r="DA19" s="243">
        <v>489</v>
      </c>
      <c r="DB19" s="243">
        <v>0</v>
      </c>
      <c r="DC19" s="243">
        <v>0</v>
      </c>
      <c r="DD19" s="243">
        <v>0</v>
      </c>
      <c r="DE19" s="243">
        <v>0</v>
      </c>
      <c r="DF19" s="243">
        <v>0</v>
      </c>
      <c r="EA19" s="235"/>
      <c r="EB19" s="235"/>
      <c r="EC19" s="235"/>
      <c r="ED19" s="235"/>
      <c r="EE19" s="235"/>
      <c r="EF19" s="235"/>
      <c r="EG19" s="235"/>
      <c r="EH19" s="235"/>
      <c r="EI19" s="235"/>
      <c r="EJ19" s="235"/>
      <c r="EK19" s="235"/>
      <c r="EL19" s="235"/>
      <c r="EM19" s="235">
        <f>SUM(CQ19:CT19)</f>
        <v>0</v>
      </c>
      <c r="EN19" s="235">
        <f t="shared" si="70"/>
        <v>2385</v>
      </c>
      <c r="EO19" s="235">
        <f t="shared" ref="EO19:EO26" si="80">SUM(CY19:DB19)</f>
        <v>1490</v>
      </c>
      <c r="EP19" s="235">
        <v>0</v>
      </c>
      <c r="EQ19" s="235">
        <v>0</v>
      </c>
      <c r="ER19" s="235">
        <v>0</v>
      </c>
      <c r="ES19" s="235">
        <v>0</v>
      </c>
      <c r="ET19" s="235">
        <v>0</v>
      </c>
      <c r="EU19" s="235">
        <v>0</v>
      </c>
      <c r="EV19" s="235">
        <v>0</v>
      </c>
      <c r="EW19" s="235">
        <v>0</v>
      </c>
      <c r="EX19" s="254"/>
    </row>
    <row r="20" spans="2:156" s="254" customFormat="1" hidden="1" x14ac:dyDescent="0.2">
      <c r="B20" t="s">
        <v>155</v>
      </c>
      <c r="C20" s="76">
        <f>93+5</f>
        <v>98</v>
      </c>
      <c r="D20" s="76">
        <f>65+5</f>
        <v>70</v>
      </c>
      <c r="E20" s="76">
        <f>86+5</f>
        <v>91</v>
      </c>
      <c r="F20" s="76">
        <f>80+5</f>
        <v>85</v>
      </c>
      <c r="G20" s="76">
        <f>126+5</f>
        <v>131</v>
      </c>
      <c r="H20" s="76">
        <f>112+9</f>
        <v>121</v>
      </c>
      <c r="I20" s="76">
        <f>75+7</f>
        <v>82</v>
      </c>
      <c r="J20" s="76">
        <f>130+8</f>
        <v>138</v>
      </c>
      <c r="K20" s="76">
        <f>198+9</f>
        <v>207</v>
      </c>
      <c r="L20" s="76">
        <f>157+8</f>
        <v>165</v>
      </c>
      <c r="M20" s="76">
        <f>168+9</f>
        <v>177</v>
      </c>
      <c r="N20" s="76">
        <f>203+10</f>
        <v>213</v>
      </c>
      <c r="O20" s="76">
        <f>319+14</f>
        <v>333</v>
      </c>
      <c r="P20" s="76">
        <f>249+11</f>
        <v>260</v>
      </c>
      <c r="Q20" s="76">
        <f>238+11</f>
        <v>249</v>
      </c>
      <c r="R20" s="76">
        <f>235+12</f>
        <v>247</v>
      </c>
      <c r="S20" s="76">
        <f>240+16</f>
        <v>256</v>
      </c>
      <c r="T20" s="76">
        <f>232+12</f>
        <v>244</v>
      </c>
      <c r="U20" s="76">
        <f>220+15</f>
        <v>235</v>
      </c>
      <c r="V20" s="76">
        <f>301+16</f>
        <v>317</v>
      </c>
      <c r="W20" s="76">
        <f>263+16</f>
        <v>279</v>
      </c>
      <c r="X20" s="76">
        <f>201+15</f>
        <v>216</v>
      </c>
      <c r="Y20" s="76">
        <f>228+16</f>
        <v>244</v>
      </c>
      <c r="Z20" s="76">
        <f>279+14</f>
        <v>293</v>
      </c>
      <c r="AA20" s="76">
        <f>284+14</f>
        <v>298</v>
      </c>
      <c r="AB20" s="76">
        <f>258+15</f>
        <v>273</v>
      </c>
      <c r="AC20" s="76">
        <f>238+15</f>
        <v>253</v>
      </c>
      <c r="AD20" s="76">
        <f>310+16</f>
        <v>326</v>
      </c>
      <c r="AE20" s="243">
        <f>364+19</f>
        <v>383</v>
      </c>
      <c r="AF20" s="243">
        <f>253+16</f>
        <v>269</v>
      </c>
      <c r="AG20" s="243">
        <f>256+14</f>
        <v>270</v>
      </c>
      <c r="AH20" s="243">
        <f>357+17</f>
        <v>374</v>
      </c>
      <c r="AI20" s="243">
        <f>421+19</f>
        <v>440</v>
      </c>
      <c r="AJ20" s="243">
        <f>306+14</f>
        <v>320</v>
      </c>
      <c r="AK20" s="243">
        <f>322+10</f>
        <v>332</v>
      </c>
      <c r="AL20" s="243">
        <f>390+11</f>
        <v>401</v>
      </c>
      <c r="AM20" s="243">
        <f>387+14</f>
        <v>401</v>
      </c>
      <c r="AN20" s="243">
        <f>328+15</f>
        <v>343</v>
      </c>
      <c r="AO20" s="243">
        <v>347</v>
      </c>
      <c r="AP20" s="243">
        <v>439</v>
      </c>
      <c r="AQ20" s="243">
        <f>475+5</f>
        <v>480</v>
      </c>
      <c r="AR20" s="243">
        <f>357+6</f>
        <v>363</v>
      </c>
      <c r="AS20" s="243">
        <v>371</v>
      </c>
      <c r="AT20" s="243">
        <v>432</v>
      </c>
      <c r="AU20" s="243">
        <v>496</v>
      </c>
      <c r="AV20" s="243">
        <v>351</v>
      </c>
      <c r="AW20" s="243">
        <v>333</v>
      </c>
      <c r="AX20" s="243">
        <v>411</v>
      </c>
      <c r="AY20" s="243">
        <v>425</v>
      </c>
      <c r="AZ20" s="243">
        <v>362</v>
      </c>
      <c r="BA20" s="243">
        <v>311</v>
      </c>
      <c r="BB20" s="243">
        <v>452</v>
      </c>
      <c r="BC20" s="243">
        <v>371</v>
      </c>
      <c r="BD20" s="243">
        <v>300</v>
      </c>
      <c r="BE20" s="243">
        <v>286</v>
      </c>
      <c r="BF20" s="243">
        <v>400</v>
      </c>
      <c r="BG20" s="243">
        <v>434</v>
      </c>
      <c r="BH20" s="243">
        <v>159</v>
      </c>
      <c r="BI20" s="243">
        <v>25</v>
      </c>
      <c r="BJ20" s="243">
        <v>5</v>
      </c>
      <c r="BK20" s="243">
        <v>29</v>
      </c>
      <c r="BL20" s="243">
        <v>16</v>
      </c>
      <c r="BM20" s="243">
        <v>20</v>
      </c>
      <c r="BN20" s="243">
        <v>10</v>
      </c>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c r="CT20" s="243"/>
      <c r="CU20" s="243"/>
      <c r="CV20" s="243"/>
      <c r="CW20" s="243"/>
      <c r="CX20" s="243"/>
      <c r="CY20" s="243"/>
      <c r="CZ20" s="243">
        <v>0</v>
      </c>
      <c r="DA20" s="243">
        <v>0</v>
      </c>
      <c r="DB20" s="243">
        <v>0</v>
      </c>
      <c r="DC20" s="243">
        <v>0</v>
      </c>
      <c r="DD20" s="243">
        <v>0</v>
      </c>
      <c r="DE20" s="243">
        <v>0</v>
      </c>
      <c r="DF20" s="243">
        <v>0</v>
      </c>
      <c r="DH20" s="271"/>
      <c r="DI20" s="271"/>
      <c r="DJ20" s="271"/>
      <c r="DK20" s="271"/>
      <c r="DL20" s="271"/>
      <c r="DM20" s="271"/>
      <c r="DN20" s="235">
        <v>199</v>
      </c>
      <c r="DO20" s="235">
        <v>190</v>
      </c>
      <c r="DP20" s="235">
        <f>SUM(C20:F20)</f>
        <v>344</v>
      </c>
      <c r="DQ20" s="235">
        <f>SUM(G20:J20)</f>
        <v>472</v>
      </c>
      <c r="DR20" s="235">
        <f>SUM(K20:N20)</f>
        <v>762</v>
      </c>
      <c r="DS20" s="235">
        <f>SUM(O20:R20)</f>
        <v>1089</v>
      </c>
      <c r="DT20" s="235">
        <f>SUM(S20:V20)</f>
        <v>1052</v>
      </c>
      <c r="DU20" s="235">
        <f>SUM(W20:Z20)</f>
        <v>1032</v>
      </c>
      <c r="DV20" s="235">
        <f>SUM(AA20:AD20)</f>
        <v>1150</v>
      </c>
      <c r="DW20" s="235">
        <f>SUM(AE20:AH20)</f>
        <v>1296</v>
      </c>
      <c r="DX20" s="235">
        <f>SUM(AI20:AL20)</f>
        <v>1493</v>
      </c>
      <c r="DY20" s="235">
        <f>SUM(AM20:AP20)</f>
        <v>1530</v>
      </c>
      <c r="DZ20" s="235">
        <f>SUM(AQ20:AT20)</f>
        <v>1646</v>
      </c>
      <c r="EA20" s="235">
        <f>SUM(AU20:AX20)</f>
        <v>1591</v>
      </c>
      <c r="EB20" s="235">
        <f t="shared" ref="EB20" si="81">SUM(AY20:BB20)</f>
        <v>1550</v>
      </c>
      <c r="EC20" s="235">
        <f>SUM(BC20:BF20)</f>
        <v>1357</v>
      </c>
      <c r="ED20" s="235">
        <f>SUM(BG20:BJ20)</f>
        <v>623</v>
      </c>
      <c r="EE20" s="235">
        <f>SUM(BK20:BN20)</f>
        <v>75</v>
      </c>
      <c r="EF20" s="76"/>
      <c r="EG20" s="76"/>
      <c r="EH20" s="76"/>
      <c r="EI20" s="76"/>
      <c r="EJ20" s="76"/>
      <c r="EK20" s="76"/>
      <c r="EL20" s="76"/>
      <c r="EM20" s="235">
        <f t="shared" ref="EM20:EM55" si="82">SUM(CQ20:CT20)</f>
        <v>0</v>
      </c>
      <c r="EN20" s="235">
        <f t="shared" si="70"/>
        <v>0</v>
      </c>
      <c r="EO20" s="235">
        <f t="shared" si="80"/>
        <v>0</v>
      </c>
      <c r="EZ20"/>
    </row>
    <row r="21" spans="2:156" s="254" customFormat="1" ht="12.75" hidden="1" customHeight="1" x14ac:dyDescent="0.2">
      <c r="B21" t="s">
        <v>218</v>
      </c>
      <c r="C21" s="76"/>
      <c r="D21" s="76"/>
      <c r="E21" s="76"/>
      <c r="F21" s="76"/>
      <c r="G21" s="76"/>
      <c r="H21" s="76"/>
      <c r="I21" s="76"/>
      <c r="J21" s="76"/>
      <c r="K21" s="76"/>
      <c r="L21" s="76"/>
      <c r="M21" s="76"/>
      <c r="N21" s="76"/>
      <c r="O21" s="76"/>
      <c r="P21" s="76"/>
      <c r="Q21" s="76"/>
      <c r="R21" s="76"/>
      <c r="S21" s="76"/>
      <c r="T21" s="76"/>
      <c r="U21" s="76"/>
      <c r="V21" s="76"/>
      <c r="W21" s="268"/>
      <c r="X21" s="268"/>
      <c r="Y21" s="268"/>
      <c r="Z21" s="268"/>
      <c r="AA21" s="268"/>
      <c r="AB21" s="268"/>
      <c r="AC21" s="268"/>
      <c r="AD21" s="268"/>
      <c r="AE21" s="269"/>
      <c r="AF21" s="243"/>
      <c r="AG21" s="243"/>
      <c r="AH21" s="243"/>
      <c r="AI21" s="243"/>
      <c r="AJ21" s="243"/>
      <c r="AK21" s="243"/>
      <c r="AL21" s="243"/>
      <c r="AM21" s="243"/>
      <c r="AN21" s="243"/>
      <c r="AO21" s="243"/>
      <c r="AP21" s="243"/>
      <c r="AQ21" s="243"/>
      <c r="AR21" s="243"/>
      <c r="AS21" s="243"/>
      <c r="AT21" s="243"/>
      <c r="AU21" s="243"/>
      <c r="AV21" s="243"/>
      <c r="AW21" s="243"/>
      <c r="AX21" s="243"/>
      <c r="AY21" s="76"/>
      <c r="AZ21" s="76"/>
      <c r="BA21" s="76"/>
      <c r="BB21" s="76"/>
      <c r="BC21" s="76"/>
      <c r="BD21" s="76"/>
      <c r="BE21" s="76"/>
      <c r="BF21" s="76"/>
      <c r="BG21" s="243">
        <v>69</v>
      </c>
      <c r="BH21" s="243">
        <v>79</v>
      </c>
      <c r="BI21" s="243">
        <v>83</v>
      </c>
      <c r="BJ21" s="243">
        <v>83</v>
      </c>
      <c r="BK21" s="243">
        <v>80</v>
      </c>
      <c r="BL21" s="243">
        <v>91</v>
      </c>
      <c r="BM21" s="243">
        <v>94</v>
      </c>
      <c r="BN21" s="243">
        <v>84</v>
      </c>
      <c r="BO21" s="243">
        <v>89</v>
      </c>
      <c r="BP21" s="243">
        <v>103</v>
      </c>
      <c r="BQ21" s="243">
        <v>92</v>
      </c>
      <c r="BR21" s="243">
        <v>95</v>
      </c>
      <c r="BS21" s="76"/>
      <c r="BT21" s="76"/>
      <c r="BU21" s="76"/>
      <c r="BV21" s="76"/>
      <c r="BW21" s="76"/>
      <c r="BX21" s="76"/>
      <c r="BY21" s="76"/>
      <c r="BZ21" s="76"/>
      <c r="CA21" s="76"/>
      <c r="CB21" s="76"/>
      <c r="CC21" s="76"/>
      <c r="CD21" s="76"/>
      <c r="CE21" s="76"/>
      <c r="CF21" s="76"/>
      <c r="CG21" s="76"/>
      <c r="CH21" s="76"/>
      <c r="CI21" s="76"/>
      <c r="CJ21" s="76"/>
      <c r="CK21" s="76"/>
      <c r="CL21" s="76"/>
      <c r="CM21" s="76"/>
      <c r="CN21" s="76"/>
      <c r="CO21" s="76"/>
      <c r="CP21" s="76"/>
      <c r="CQ21" s="76"/>
      <c r="CR21" s="76"/>
      <c r="CS21" s="76"/>
      <c r="CT21" s="76"/>
      <c r="CU21" s="76"/>
      <c r="CV21" s="76"/>
      <c r="CW21" s="76"/>
      <c r="CX21" s="76"/>
      <c r="CY21" s="76"/>
      <c r="CZ21" s="243">
        <v>0</v>
      </c>
      <c r="DA21" s="243">
        <v>0</v>
      </c>
      <c r="DB21" s="243">
        <v>0</v>
      </c>
      <c r="DC21" s="243">
        <v>0</v>
      </c>
      <c r="DD21" s="243">
        <v>0</v>
      </c>
      <c r="DE21" s="243">
        <v>0</v>
      </c>
      <c r="DF21" s="243">
        <v>0</v>
      </c>
      <c r="DH21" s="76"/>
      <c r="DI21" s="76"/>
      <c r="DJ21" s="76"/>
      <c r="DK21" s="76"/>
      <c r="DL21" s="76"/>
      <c r="DM21" s="76"/>
      <c r="DN21" s="76"/>
      <c r="DO21" s="76"/>
      <c r="DP21" s="76"/>
      <c r="DQ21" s="76"/>
      <c r="DR21" s="76"/>
      <c r="DS21" s="76"/>
      <c r="DT21" s="76"/>
      <c r="DU21" s="76"/>
      <c r="DV21" s="76"/>
      <c r="DW21" s="76"/>
      <c r="DX21" s="76"/>
      <c r="DY21" s="76"/>
      <c r="DZ21" s="76"/>
      <c r="EA21" s="239"/>
      <c r="EB21" s="235"/>
      <c r="EC21" s="235"/>
      <c r="ED21" s="235">
        <f>SUM(BG21:BJ21)</f>
        <v>314</v>
      </c>
      <c r="EE21" s="235">
        <f>SUM(BK21:BN21)</f>
        <v>349</v>
      </c>
      <c r="EF21" s="235">
        <f>SUM(BO21:BR21)</f>
        <v>379</v>
      </c>
      <c r="EG21" s="235">
        <f>SUM(BS21:BV21)</f>
        <v>0</v>
      </c>
      <c r="EH21" s="235">
        <f t="shared" ref="EH21" si="83">EG21*1.1</f>
        <v>0</v>
      </c>
      <c r="EI21" s="235">
        <f>+EH21*0.1</f>
        <v>0</v>
      </c>
      <c r="EJ21" s="235">
        <f>+EI21*0.1</f>
        <v>0</v>
      </c>
      <c r="EK21" s="235">
        <f t="shared" ref="EK21:EL21" si="84">+EJ21*0.1</f>
        <v>0</v>
      </c>
      <c r="EL21" s="235">
        <f t="shared" si="84"/>
        <v>0</v>
      </c>
      <c r="EM21" s="235">
        <f t="shared" si="82"/>
        <v>0</v>
      </c>
      <c r="EN21" s="235">
        <f t="shared" si="70"/>
        <v>0</v>
      </c>
      <c r="EO21" s="235">
        <f t="shared" si="80"/>
        <v>0</v>
      </c>
      <c r="EP21" s="235">
        <f>+EO21*0.1</f>
        <v>0</v>
      </c>
      <c r="EQ21" s="235">
        <f>+EP21*0.1</f>
        <v>0</v>
      </c>
      <c r="ER21" s="235"/>
      <c r="ES21" s="235"/>
      <c r="ET21" s="235"/>
      <c r="EU21" s="235"/>
      <c r="EV21" s="235"/>
      <c r="EW21" s="235"/>
      <c r="EZ21" t="s">
        <v>1328</v>
      </c>
    </row>
    <row r="22" spans="2:156" s="254" customFormat="1" ht="12.75" hidden="1" customHeight="1" x14ac:dyDescent="0.2">
      <c r="B22" t="s">
        <v>1645</v>
      </c>
      <c r="C22" s="76"/>
      <c r="D22" s="76"/>
      <c r="E22" s="76"/>
      <c r="F22" s="76"/>
      <c r="G22" s="76"/>
      <c r="H22" s="76"/>
      <c r="I22" s="76"/>
      <c r="J22" s="76"/>
      <c r="K22" s="76"/>
      <c r="L22" s="76"/>
      <c r="M22" s="76"/>
      <c r="N22" s="76"/>
      <c r="O22" s="76"/>
      <c r="P22" s="76"/>
      <c r="Q22" s="76"/>
      <c r="R22" s="76"/>
      <c r="S22" s="76"/>
      <c r="T22" s="76"/>
      <c r="U22" s="76"/>
      <c r="V22" s="76"/>
      <c r="W22" s="268"/>
      <c r="X22" s="268"/>
      <c r="Y22" s="268"/>
      <c r="Z22" s="268"/>
      <c r="AA22" s="268"/>
      <c r="AB22" s="268"/>
      <c r="AC22" s="268"/>
      <c r="AD22" s="268"/>
      <c r="AE22" s="269"/>
      <c r="AF22" s="243"/>
      <c r="AG22" s="243"/>
      <c r="AH22" s="243"/>
      <c r="AI22" s="243"/>
      <c r="AJ22" s="243"/>
      <c r="AK22" s="243"/>
      <c r="AL22" s="243"/>
      <c r="AM22" s="243"/>
      <c r="AN22" s="243"/>
      <c r="AO22" s="243"/>
      <c r="AP22" s="243"/>
      <c r="AQ22" s="243"/>
      <c r="AR22" s="243"/>
      <c r="AS22" s="243"/>
      <c r="AT22" s="243"/>
      <c r="AU22" s="243"/>
      <c r="AV22" s="243"/>
      <c r="AW22" s="243"/>
      <c r="AX22" s="243"/>
      <c r="AY22" s="76"/>
      <c r="AZ22" s="76"/>
      <c r="BA22" s="76"/>
      <c r="BB22" s="76"/>
      <c r="BC22" s="76"/>
      <c r="BD22" s="76"/>
      <c r="BE22" s="76"/>
      <c r="BF22" s="76"/>
      <c r="BG22" s="243"/>
      <c r="BH22" s="243"/>
      <c r="BI22" s="76"/>
      <c r="BJ22" s="76"/>
      <c r="BK22" s="76"/>
      <c r="BL22" s="76"/>
      <c r="BM22" s="76"/>
      <c r="BN22" s="76"/>
      <c r="BO22" s="76"/>
      <c r="BP22" s="76"/>
      <c r="BQ22" s="76"/>
      <c r="BR22" s="243">
        <v>23</v>
      </c>
      <c r="BS22" s="243">
        <v>354</v>
      </c>
      <c r="BT22" s="243">
        <v>831</v>
      </c>
      <c r="BU22" s="243">
        <f t="shared" ref="BU22:BV22" si="85">+BT22+25</f>
        <v>856</v>
      </c>
      <c r="BV22" s="243">
        <f t="shared" si="85"/>
        <v>881</v>
      </c>
      <c r="BW22" s="243">
        <f>+BV22</f>
        <v>881</v>
      </c>
      <c r="BX22" s="243">
        <f>+BW22</f>
        <v>881</v>
      </c>
      <c r="BY22" s="243">
        <f>+BX22</f>
        <v>881</v>
      </c>
      <c r="BZ22" s="243">
        <f>+BY22</f>
        <v>881</v>
      </c>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v>0</v>
      </c>
      <c r="DA22" s="243">
        <v>0</v>
      </c>
      <c r="DB22" s="243">
        <v>0</v>
      </c>
      <c r="DC22" s="243">
        <v>0</v>
      </c>
      <c r="DD22" s="243">
        <v>0</v>
      </c>
      <c r="DE22" s="243">
        <v>0</v>
      </c>
      <c r="DF22" s="243">
        <v>0</v>
      </c>
      <c r="DH22" s="76"/>
      <c r="DI22" s="76"/>
      <c r="DJ22" s="76"/>
      <c r="DK22" s="76"/>
      <c r="DL22" s="76"/>
      <c r="DM22" s="76"/>
      <c r="DN22" s="76"/>
      <c r="DO22" s="76"/>
      <c r="DP22" s="76"/>
      <c r="DQ22" s="76"/>
      <c r="DR22" s="76"/>
      <c r="DS22" s="76"/>
      <c r="DT22" s="76"/>
      <c r="DU22" s="76"/>
      <c r="DV22" s="76"/>
      <c r="DW22" s="76"/>
      <c r="DX22" s="76"/>
      <c r="DY22" s="76"/>
      <c r="DZ22" s="76"/>
      <c r="EA22" s="239"/>
      <c r="EB22" s="235"/>
      <c r="EC22" s="235"/>
      <c r="ED22" s="235"/>
      <c r="EE22" s="235"/>
      <c r="EF22" s="235"/>
      <c r="EG22" s="235">
        <f>SUM(BS22:BV22)</f>
        <v>2922</v>
      </c>
      <c r="EH22" s="235">
        <f>+EG22</f>
        <v>2922</v>
      </c>
      <c r="EI22" s="235"/>
      <c r="EJ22" s="235"/>
      <c r="EK22" s="235"/>
      <c r="EL22" s="235"/>
      <c r="EM22" s="235">
        <f t="shared" si="82"/>
        <v>0</v>
      </c>
      <c r="EN22" s="235">
        <f t="shared" si="70"/>
        <v>0</v>
      </c>
      <c r="EO22" s="235">
        <f t="shared" si="80"/>
        <v>0</v>
      </c>
      <c r="EP22" s="235"/>
      <c r="EQ22" s="235"/>
      <c r="ER22" s="235"/>
      <c r="ES22" s="235"/>
      <c r="ET22" s="235"/>
      <c r="EU22" s="235"/>
      <c r="EV22" s="235"/>
      <c r="EW22" s="235"/>
      <c r="EZ22"/>
    </row>
    <row r="23" spans="2:156" s="254" customFormat="1" ht="12.75" hidden="1" customHeight="1" x14ac:dyDescent="0.2">
      <c r="B23" t="s">
        <v>1504</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76"/>
      <c r="BH23" s="76"/>
      <c r="BI23" s="76"/>
      <c r="BJ23" s="76"/>
      <c r="BK23" s="243">
        <v>132</v>
      </c>
      <c r="BL23" s="243">
        <v>102</v>
      </c>
      <c r="BM23" s="243">
        <v>71</v>
      </c>
      <c r="BN23" s="243">
        <v>138</v>
      </c>
      <c r="BO23" s="243">
        <v>162</v>
      </c>
      <c r="BP23" s="243">
        <v>172</v>
      </c>
      <c r="BQ23" s="243">
        <v>76</v>
      </c>
      <c r="BR23" s="243">
        <v>107</v>
      </c>
      <c r="BS23" s="243">
        <v>86</v>
      </c>
      <c r="BT23" s="243">
        <v>97</v>
      </c>
      <c r="BU23" s="243">
        <f>+BQ23*0.5</f>
        <v>38</v>
      </c>
      <c r="BV23" s="243">
        <f t="shared" ref="BV23:BZ23" si="86">+BR23*0.5</f>
        <v>53.5</v>
      </c>
      <c r="BW23" s="243">
        <f t="shared" si="86"/>
        <v>43</v>
      </c>
      <c r="BX23" s="243">
        <f t="shared" si="86"/>
        <v>48.5</v>
      </c>
      <c r="BY23" s="243">
        <f t="shared" si="86"/>
        <v>19</v>
      </c>
      <c r="BZ23" s="243">
        <f t="shared" si="86"/>
        <v>26.75</v>
      </c>
      <c r="CA23" s="243"/>
      <c r="CB23" s="243"/>
      <c r="CC23" s="243"/>
      <c r="CD23" s="243"/>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v>0</v>
      </c>
      <c r="DA23" s="243">
        <v>0</v>
      </c>
      <c r="DB23" s="243">
        <v>0</v>
      </c>
      <c r="DC23" s="243">
        <v>0</v>
      </c>
      <c r="DD23" s="243">
        <v>0</v>
      </c>
      <c r="DE23" s="243">
        <v>0</v>
      </c>
      <c r="DF23" s="243">
        <v>0</v>
      </c>
      <c r="DH23" s="76"/>
      <c r="DI23" s="76"/>
      <c r="DJ23" s="76"/>
      <c r="DK23" s="76"/>
      <c r="DL23" s="76"/>
      <c r="DM23" s="76"/>
      <c r="DN23" s="76"/>
      <c r="DO23" s="76"/>
      <c r="DP23" s="76"/>
      <c r="DQ23" s="76"/>
      <c r="DR23" s="76"/>
      <c r="DS23" s="76"/>
      <c r="DT23" s="76"/>
      <c r="DU23" s="76"/>
      <c r="DV23" s="76"/>
      <c r="DW23" s="76"/>
      <c r="DX23" s="76" t="s">
        <v>635</v>
      </c>
      <c r="DY23" s="76" t="s">
        <v>634</v>
      </c>
      <c r="DZ23" s="76" t="s">
        <v>76</v>
      </c>
      <c r="EA23" s="76" t="s">
        <v>76</v>
      </c>
      <c r="EB23" s="235" t="s">
        <v>76</v>
      </c>
      <c r="EC23" s="235"/>
      <c r="ED23" s="235">
        <f>SUM(BG23:BJ23)</f>
        <v>0</v>
      </c>
      <c r="EE23" s="235">
        <f>SUM(BK23:BN23)</f>
        <v>443</v>
      </c>
      <c r="EF23" s="235">
        <f>SUM(BO23:BR23)</f>
        <v>517</v>
      </c>
      <c r="EG23" s="235">
        <f>SUM(BS23:BV23)</f>
        <v>274.5</v>
      </c>
      <c r="EH23" s="235">
        <f>+EG23*0.1</f>
        <v>27.450000000000003</v>
      </c>
      <c r="EI23" s="235">
        <f t="shared" ref="EI23:EL23" si="87">+EH23*0.1</f>
        <v>2.7450000000000006</v>
      </c>
      <c r="EJ23" s="235">
        <f t="shared" si="87"/>
        <v>0.27450000000000008</v>
      </c>
      <c r="EK23" s="235">
        <f t="shared" si="87"/>
        <v>2.7450000000000009E-2</v>
      </c>
      <c r="EL23" s="235">
        <f t="shared" si="87"/>
        <v>2.7450000000000009E-3</v>
      </c>
      <c r="EM23" s="235">
        <f t="shared" si="82"/>
        <v>0</v>
      </c>
      <c r="EN23" s="235">
        <f t="shared" si="70"/>
        <v>0</v>
      </c>
      <c r="EO23" s="235">
        <f t="shared" si="80"/>
        <v>0</v>
      </c>
      <c r="EP23" s="235">
        <f>+EO23*0.1</f>
        <v>0</v>
      </c>
      <c r="EQ23" s="235">
        <f>+EP23*0.1</f>
        <v>0</v>
      </c>
      <c r="ER23" s="235"/>
      <c r="ES23" s="235"/>
      <c r="ET23" s="235"/>
      <c r="EU23" s="235"/>
      <c r="EV23" s="235"/>
      <c r="EW23" s="235"/>
      <c r="EZ23"/>
    </row>
    <row r="24" spans="2:156" ht="12.75" customHeight="1" x14ac:dyDescent="0.2">
      <c r="B24" t="s">
        <v>1704</v>
      </c>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243"/>
      <c r="AZ24" s="243"/>
      <c r="BA24" s="243"/>
      <c r="BB24" s="243"/>
      <c r="BC24" s="243"/>
      <c r="BD24" s="243"/>
      <c r="BE24" s="243"/>
      <c r="BF24" s="243"/>
      <c r="BG24" s="243"/>
      <c r="BH24" s="243"/>
      <c r="BO24" s="243"/>
      <c r="BP24" s="243"/>
      <c r="BQ24" s="243"/>
      <c r="BR24" s="243"/>
      <c r="BS24" s="243"/>
      <c r="BT24" s="243"/>
      <c r="BU24" s="243"/>
      <c r="BV24" s="243"/>
      <c r="BW24" s="243"/>
      <c r="BX24" s="243"/>
      <c r="BY24" s="243"/>
      <c r="BZ24" s="243"/>
      <c r="CA24" s="243"/>
      <c r="CB24" s="243"/>
      <c r="CC24" s="243"/>
      <c r="CD24" s="243"/>
      <c r="CE24" s="243"/>
      <c r="CF24" s="243"/>
      <c r="CG24" s="243"/>
      <c r="CH24" s="243"/>
      <c r="CI24" s="243">
        <v>142</v>
      </c>
      <c r="CJ24" s="243">
        <v>146</v>
      </c>
      <c r="CK24" s="243">
        <v>131</v>
      </c>
      <c r="CL24" s="243">
        <v>114</v>
      </c>
      <c r="CM24" s="243">
        <v>112</v>
      </c>
      <c r="CN24" s="243">
        <v>117</v>
      </c>
      <c r="CO24" s="243">
        <v>113</v>
      </c>
      <c r="CP24" s="243">
        <v>99</v>
      </c>
      <c r="CQ24" s="243">
        <v>116</v>
      </c>
      <c r="CR24" s="243">
        <v>113</v>
      </c>
      <c r="CS24" s="243">
        <v>102</v>
      </c>
      <c r="CT24" s="243">
        <v>96</v>
      </c>
      <c r="CU24" s="243">
        <v>108</v>
      </c>
      <c r="CV24" s="243">
        <v>88</v>
      </c>
      <c r="CW24" s="243">
        <v>110</v>
      </c>
      <c r="CX24" s="243">
        <v>74</v>
      </c>
      <c r="CY24" s="243">
        <v>91</v>
      </c>
      <c r="CZ24" s="243">
        <v>83</v>
      </c>
      <c r="DA24" s="243">
        <v>77</v>
      </c>
      <c r="DB24" s="243">
        <v>0</v>
      </c>
      <c r="DC24" s="243">
        <v>0</v>
      </c>
      <c r="DD24" s="243">
        <v>0</v>
      </c>
      <c r="DE24" s="243">
        <v>0</v>
      </c>
      <c r="DF24" s="243">
        <v>0</v>
      </c>
      <c r="EA24" s="235"/>
      <c r="EB24" s="235"/>
      <c r="EC24" s="235"/>
      <c r="ED24" s="235"/>
      <c r="EE24" s="235"/>
      <c r="EF24" s="235"/>
      <c r="EG24" s="235"/>
      <c r="EH24" s="235"/>
      <c r="EI24" s="235"/>
      <c r="EJ24" s="235"/>
      <c r="EK24" s="235"/>
      <c r="EL24" s="235"/>
      <c r="EM24" s="235">
        <f t="shared" si="82"/>
        <v>427</v>
      </c>
      <c r="EN24" s="235">
        <f t="shared" si="70"/>
        <v>380</v>
      </c>
      <c r="EO24" s="235">
        <f t="shared" si="80"/>
        <v>251</v>
      </c>
      <c r="EP24" s="235">
        <f>+EO24</f>
        <v>251</v>
      </c>
      <c r="EQ24" s="235">
        <f t="shared" ref="EQ24:EW24" si="88">+EP24</f>
        <v>251</v>
      </c>
      <c r="ER24" s="235">
        <f t="shared" si="88"/>
        <v>251</v>
      </c>
      <c r="ES24" s="235">
        <f t="shared" si="88"/>
        <v>251</v>
      </c>
      <c r="ET24" s="235">
        <f t="shared" si="88"/>
        <v>251</v>
      </c>
      <c r="EU24" s="235">
        <f t="shared" si="88"/>
        <v>251</v>
      </c>
      <c r="EV24" s="235">
        <f t="shared" si="88"/>
        <v>251</v>
      </c>
      <c r="EW24" s="235">
        <f t="shared" si="88"/>
        <v>251</v>
      </c>
      <c r="EX24" s="254"/>
    </row>
    <row r="25" spans="2:156" ht="12.75" customHeight="1" x14ac:dyDescent="0.2">
      <c r="B25" t="s">
        <v>1582</v>
      </c>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O25" s="243"/>
      <c r="BP25" s="243"/>
      <c r="BQ25" s="243"/>
      <c r="BR25" s="243"/>
      <c r="BS25" s="243"/>
      <c r="BT25" s="243"/>
      <c r="BU25" s="243"/>
      <c r="BV25" s="243"/>
      <c r="BW25" s="243"/>
      <c r="BX25" s="243"/>
      <c r="BY25" s="243"/>
      <c r="BZ25" s="243"/>
      <c r="CA25" s="243"/>
      <c r="CB25" s="243"/>
      <c r="CC25" s="243"/>
      <c r="CD25" s="243"/>
      <c r="CE25" s="243"/>
      <c r="CF25" s="243"/>
      <c r="CG25" s="243"/>
      <c r="CH25" s="243"/>
      <c r="CI25" s="243">
        <v>587</v>
      </c>
      <c r="CJ25" s="243">
        <v>620</v>
      </c>
      <c r="CK25" s="243">
        <v>705</v>
      </c>
      <c r="CL25" s="243">
        <v>703</v>
      </c>
      <c r="CM25" s="243">
        <v>784</v>
      </c>
      <c r="CN25" s="243">
        <v>831</v>
      </c>
      <c r="CO25" s="243">
        <v>921</v>
      </c>
      <c r="CP25" s="243">
        <v>875</v>
      </c>
      <c r="CQ25" s="243">
        <v>1031</v>
      </c>
      <c r="CR25" s="243">
        <v>949</v>
      </c>
      <c r="CS25" s="243">
        <v>1031</v>
      </c>
      <c r="CT25" s="243">
        <v>1117</v>
      </c>
      <c r="CU25" s="243">
        <v>1125</v>
      </c>
      <c r="CV25" s="243">
        <v>1116</v>
      </c>
      <c r="CW25" s="243">
        <v>1066</v>
      </c>
      <c r="CX25" s="243">
        <v>1062</v>
      </c>
      <c r="CY25" s="243">
        <v>1038</v>
      </c>
      <c r="CZ25" s="243">
        <v>970</v>
      </c>
      <c r="DA25" s="243">
        <v>911</v>
      </c>
      <c r="DB25" s="243">
        <f t="shared" ref="DB25:DF25" si="89">CX25*0.9</f>
        <v>955.80000000000007</v>
      </c>
      <c r="DC25" s="243">
        <f t="shared" si="89"/>
        <v>934.2</v>
      </c>
      <c r="DD25" s="243">
        <f t="shared" si="89"/>
        <v>873</v>
      </c>
      <c r="DE25" s="243">
        <f t="shared" si="89"/>
        <v>819.9</v>
      </c>
      <c r="DF25" s="243">
        <f t="shared" si="89"/>
        <v>860.22</v>
      </c>
      <c r="EA25" s="235"/>
      <c r="EB25" s="235"/>
      <c r="EC25" s="235"/>
      <c r="ED25" s="235"/>
      <c r="EE25" s="235"/>
      <c r="EF25" s="235"/>
      <c r="EG25" s="235"/>
      <c r="EH25" s="235"/>
      <c r="EI25" s="235"/>
      <c r="EJ25" s="235"/>
      <c r="EK25" s="235"/>
      <c r="EL25" s="235"/>
      <c r="EM25" s="235">
        <f t="shared" si="82"/>
        <v>4128</v>
      </c>
      <c r="EN25" s="235">
        <f t="shared" si="70"/>
        <v>4369</v>
      </c>
      <c r="EO25" s="235">
        <f t="shared" si="80"/>
        <v>3874.8</v>
      </c>
      <c r="EP25" s="235">
        <f>+EO25*0.95</f>
        <v>3681.06</v>
      </c>
      <c r="EQ25" s="235">
        <f t="shared" ref="EQ25:EW25" si="90">+EP25*0.95</f>
        <v>3497.0069999999996</v>
      </c>
      <c r="ER25" s="235">
        <f t="shared" si="90"/>
        <v>3322.1566499999994</v>
      </c>
      <c r="ES25" s="235">
        <f t="shared" si="90"/>
        <v>3156.0488174999991</v>
      </c>
      <c r="ET25" s="235">
        <f t="shared" si="90"/>
        <v>2998.2463766249989</v>
      </c>
      <c r="EU25" s="235">
        <f t="shared" si="90"/>
        <v>2848.3340577937488</v>
      </c>
      <c r="EV25" s="235">
        <f t="shared" si="90"/>
        <v>2705.9173549040611</v>
      </c>
      <c r="EW25" s="235">
        <f t="shared" si="90"/>
        <v>2570.6214871588577</v>
      </c>
      <c r="EX25" s="254"/>
    </row>
    <row r="26" spans="2:156" ht="12.75" customHeight="1" x14ac:dyDescent="0.2">
      <c r="B26" t="s">
        <v>1698</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c r="BU26" s="243"/>
      <c r="BV26" s="243"/>
      <c r="BW26" s="243"/>
      <c r="BX26" s="243"/>
      <c r="BY26" s="243"/>
      <c r="BZ26" s="243"/>
      <c r="CA26" s="243"/>
      <c r="CB26" s="243"/>
      <c r="CC26" s="243"/>
      <c r="CD26" s="243"/>
      <c r="CE26" s="243"/>
      <c r="CF26" s="243"/>
      <c r="CG26" s="243"/>
      <c r="CH26" s="243"/>
      <c r="CI26" s="243">
        <v>432</v>
      </c>
      <c r="CJ26" s="243">
        <v>511</v>
      </c>
      <c r="CK26" s="243">
        <v>498</v>
      </c>
      <c r="CL26" s="243">
        <v>584</v>
      </c>
      <c r="CM26" s="243">
        <v>629</v>
      </c>
      <c r="CN26" s="243">
        <v>774</v>
      </c>
      <c r="CO26" s="243">
        <v>765</v>
      </c>
      <c r="CP26" s="243">
        <v>830</v>
      </c>
      <c r="CQ26" s="243">
        <v>937</v>
      </c>
      <c r="CR26" s="243">
        <v>901</v>
      </c>
      <c r="CS26" s="243">
        <v>1099</v>
      </c>
      <c r="CT26" s="243">
        <v>1253</v>
      </c>
      <c r="CU26" s="243">
        <v>1365</v>
      </c>
      <c r="CV26" s="243">
        <v>1433</v>
      </c>
      <c r="CW26" s="243">
        <v>1580</v>
      </c>
      <c r="CX26" s="243">
        <v>1645</v>
      </c>
      <c r="CY26" s="243">
        <v>1856</v>
      </c>
      <c r="CZ26" s="243">
        <v>1986</v>
      </c>
      <c r="DA26" s="243">
        <v>2052</v>
      </c>
      <c r="DB26" s="243">
        <f t="shared" ref="DB26:DF26" si="91">CX26*1.2</f>
        <v>1974</v>
      </c>
      <c r="DC26" s="243">
        <f t="shared" si="91"/>
        <v>2227.1999999999998</v>
      </c>
      <c r="DD26" s="243">
        <f t="shared" si="91"/>
        <v>2383.1999999999998</v>
      </c>
      <c r="DE26" s="243">
        <f t="shared" si="91"/>
        <v>2462.4</v>
      </c>
      <c r="DF26" s="243">
        <f t="shared" si="91"/>
        <v>2368.7999999999997</v>
      </c>
      <c r="EA26" s="235"/>
      <c r="EB26" s="235"/>
      <c r="EC26" s="235"/>
      <c r="ED26" s="235"/>
      <c r="EE26" s="235"/>
      <c r="EF26" s="235"/>
      <c r="EG26" s="235"/>
      <c r="EH26" s="235"/>
      <c r="EI26" s="235"/>
      <c r="EJ26" s="235"/>
      <c r="EK26" s="235"/>
      <c r="EL26" s="235"/>
      <c r="EM26" s="235">
        <f t="shared" si="82"/>
        <v>4190</v>
      </c>
      <c r="EN26" s="235">
        <f t="shared" si="70"/>
        <v>6023</v>
      </c>
      <c r="EO26" s="235">
        <f t="shared" si="80"/>
        <v>7868</v>
      </c>
      <c r="EP26" s="235">
        <f>+EO26*1.2</f>
        <v>9441.6</v>
      </c>
      <c r="EQ26" s="235">
        <f>+EP26*1.1</f>
        <v>10385.760000000002</v>
      </c>
      <c r="ER26" s="235">
        <f>+EQ26*1.05</f>
        <v>10905.048000000003</v>
      </c>
      <c r="ES26" s="235">
        <f>+ER26*1.02</f>
        <v>11123.148960000002</v>
      </c>
      <c r="ET26" s="235">
        <f t="shared" ref="ET26:EW26" si="92">+ES26*1.02</f>
        <v>11345.611939200002</v>
      </c>
      <c r="EU26" s="235">
        <f t="shared" si="92"/>
        <v>11572.524177984002</v>
      </c>
      <c r="EV26" s="235">
        <f t="shared" si="92"/>
        <v>11803.974661543682</v>
      </c>
      <c r="EW26" s="235">
        <f t="shared" si="92"/>
        <v>12040.054154774556</v>
      </c>
      <c r="EX26" s="254"/>
    </row>
    <row r="27" spans="2:156" s="254" customFormat="1" ht="12.75" customHeight="1" x14ac:dyDescent="0.2">
      <c r="B27" t="s">
        <v>1501</v>
      </c>
      <c r="C27" s="76"/>
      <c r="D27" s="76"/>
      <c r="E27" s="76"/>
      <c r="F27" s="76"/>
      <c r="G27" s="76"/>
      <c r="H27" s="76"/>
      <c r="I27" s="76"/>
      <c r="J27" s="76"/>
      <c r="K27" s="76"/>
      <c r="L27" s="76"/>
      <c r="M27" s="76"/>
      <c r="N27" s="76"/>
      <c r="O27" s="76"/>
      <c r="P27" s="76"/>
      <c r="Q27" s="76"/>
      <c r="R27" s="76"/>
      <c r="S27" s="76"/>
      <c r="T27" s="76"/>
      <c r="U27" s="76"/>
      <c r="V27" s="76"/>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76"/>
      <c r="AZ27" s="76"/>
      <c r="BA27" s="76"/>
      <c r="BB27" s="76"/>
      <c r="BC27" s="76"/>
      <c r="BD27" s="76"/>
      <c r="BE27" s="76"/>
      <c r="BF27" s="76"/>
      <c r="BG27" s="76">
        <v>5</v>
      </c>
      <c r="BH27" s="76"/>
      <c r="BI27" s="243">
        <v>95</v>
      </c>
      <c r="BJ27" s="76"/>
      <c r="BK27" s="243">
        <v>200</v>
      </c>
      <c r="BL27" s="243">
        <v>232</v>
      </c>
      <c r="BM27" s="243">
        <v>265</v>
      </c>
      <c r="BN27" s="243">
        <v>264</v>
      </c>
      <c r="BO27" s="243">
        <v>344</v>
      </c>
      <c r="BP27" s="243">
        <v>395</v>
      </c>
      <c r="BQ27" s="243">
        <v>464</v>
      </c>
      <c r="BR27" s="243">
        <v>495</v>
      </c>
      <c r="BS27" s="243">
        <v>512</v>
      </c>
      <c r="BT27" s="243">
        <v>562</v>
      </c>
      <c r="BU27" s="243">
        <f>+BT27+50</f>
        <v>612</v>
      </c>
      <c r="BV27" s="243">
        <f t="shared" ref="BV27:BZ27" si="93">+BU27+50</f>
        <v>662</v>
      </c>
      <c r="BW27" s="243">
        <f t="shared" si="93"/>
        <v>712</v>
      </c>
      <c r="BX27" s="243">
        <f t="shared" si="93"/>
        <v>762</v>
      </c>
      <c r="BY27" s="243">
        <f t="shared" si="93"/>
        <v>812</v>
      </c>
      <c r="BZ27" s="243">
        <f t="shared" si="93"/>
        <v>862</v>
      </c>
      <c r="CA27" s="243"/>
      <c r="CB27" s="243"/>
      <c r="CC27" s="243"/>
      <c r="CD27" s="243"/>
      <c r="CE27" s="243"/>
      <c r="CF27" s="243"/>
      <c r="CG27" s="243"/>
      <c r="CH27" s="243"/>
      <c r="CI27" s="243">
        <v>845</v>
      </c>
      <c r="CJ27" s="243">
        <v>909</v>
      </c>
      <c r="CK27" s="243">
        <v>958</v>
      </c>
      <c r="CL27" s="243">
        <v>786</v>
      </c>
      <c r="CM27" s="243">
        <v>679</v>
      </c>
      <c r="CN27" s="243">
        <v>698</v>
      </c>
      <c r="CO27" s="243">
        <v>741</v>
      </c>
      <c r="CP27" s="243">
        <v>677</v>
      </c>
      <c r="CQ27" s="243">
        <v>690</v>
      </c>
      <c r="CR27" s="243">
        <v>568</v>
      </c>
      <c r="CS27" s="243">
        <v>590</v>
      </c>
      <c r="CT27" s="243">
        <v>622</v>
      </c>
      <c r="CU27" s="243">
        <v>638</v>
      </c>
      <c r="CV27" s="243">
        <v>563</v>
      </c>
      <c r="CW27" s="243">
        <v>548</v>
      </c>
      <c r="CX27" s="243">
        <v>548</v>
      </c>
      <c r="CY27" s="243">
        <v>539</v>
      </c>
      <c r="CZ27" s="243">
        <v>505</v>
      </c>
      <c r="DA27" s="243">
        <v>456</v>
      </c>
      <c r="DB27" s="243">
        <f t="shared" ref="DB27:DF27" si="94">+CW27*0.8</f>
        <v>438.40000000000003</v>
      </c>
      <c r="DC27" s="243">
        <f t="shared" si="94"/>
        <v>438.40000000000003</v>
      </c>
      <c r="DD27" s="243">
        <f t="shared" si="94"/>
        <v>431.20000000000005</v>
      </c>
      <c r="DE27" s="243">
        <f t="shared" si="94"/>
        <v>404</v>
      </c>
      <c r="DF27" s="243">
        <f t="shared" si="94"/>
        <v>364.8</v>
      </c>
      <c r="DH27" s="76"/>
      <c r="DI27" s="76"/>
      <c r="DJ27" s="76"/>
      <c r="DK27" s="76"/>
      <c r="DL27" s="76"/>
      <c r="DM27" s="76"/>
      <c r="DN27" s="76"/>
      <c r="DO27" s="76"/>
      <c r="DP27" s="76"/>
      <c r="DQ27" s="76"/>
      <c r="DR27" s="76"/>
      <c r="DS27" s="76"/>
      <c r="DT27" s="76"/>
      <c r="DU27" s="76"/>
      <c r="DV27" s="76"/>
      <c r="DW27" s="76"/>
      <c r="DX27" s="76"/>
      <c r="DY27" s="76"/>
      <c r="DZ27" s="76"/>
      <c r="EA27" s="76"/>
      <c r="EB27" s="235"/>
      <c r="EC27" s="235"/>
      <c r="ED27" s="235">
        <f t="shared" ref="ED27" si="95">SUM(BG27:BJ27)</f>
        <v>100</v>
      </c>
      <c r="EE27" s="235">
        <f t="shared" ref="EE27" si="96">SUM(BK27:BN27)</f>
        <v>961</v>
      </c>
      <c r="EF27" s="235">
        <f>SUM(BO27:BR27)</f>
        <v>1698</v>
      </c>
      <c r="EG27" s="235">
        <f>+EF27*1.2</f>
        <v>2037.6</v>
      </c>
      <c r="EH27" s="235">
        <f>+EG27*1.05</f>
        <v>2139.48</v>
      </c>
      <c r="EI27" s="235">
        <f>+EH27*1.05</f>
        <v>2246.4540000000002</v>
      </c>
      <c r="EJ27" s="235">
        <f>+EI27*0.1</f>
        <v>224.64540000000002</v>
      </c>
      <c r="EK27" s="235">
        <f t="shared" ref="EK27:EL27" si="97">+EJ27*0.1</f>
        <v>22.464540000000003</v>
      </c>
      <c r="EL27" s="235">
        <f t="shared" si="97"/>
        <v>2.2464540000000004</v>
      </c>
      <c r="EM27" s="235">
        <f t="shared" si="82"/>
        <v>2470</v>
      </c>
      <c r="EN27" s="235">
        <f t="shared" si="70"/>
        <v>2297</v>
      </c>
      <c r="EO27" s="235">
        <f>SUM(CY27:DB27)</f>
        <v>1938.4</v>
      </c>
      <c r="EP27" s="235">
        <f>+EO27*0.5</f>
        <v>969.2</v>
      </c>
      <c r="EQ27" s="235">
        <f t="shared" ref="EQ27:EW27" si="98">+EP27*0.5</f>
        <v>484.6</v>
      </c>
      <c r="ER27" s="235">
        <f t="shared" si="98"/>
        <v>242.3</v>
      </c>
      <c r="ES27" s="235">
        <f t="shared" si="98"/>
        <v>121.15</v>
      </c>
      <c r="ET27" s="235">
        <f t="shared" si="98"/>
        <v>60.575000000000003</v>
      </c>
      <c r="EU27" s="235">
        <f t="shared" si="98"/>
        <v>30.287500000000001</v>
      </c>
      <c r="EV27" s="235">
        <f t="shared" si="98"/>
        <v>15.143750000000001</v>
      </c>
      <c r="EW27" s="235">
        <f t="shared" si="98"/>
        <v>7.5718750000000004</v>
      </c>
      <c r="EZ27" t="s">
        <v>1409</v>
      </c>
    </row>
    <row r="28" spans="2:156" s="254" customFormat="1" ht="12.75" customHeight="1" x14ac:dyDescent="0.2">
      <c r="B28" t="s">
        <v>1706</v>
      </c>
      <c r="C28" s="76"/>
      <c r="D28" s="76"/>
      <c r="E28" s="76"/>
      <c r="F28" s="76"/>
      <c r="G28" s="76"/>
      <c r="H28" s="76"/>
      <c r="I28" s="76"/>
      <c r="J28" s="76"/>
      <c r="K28" s="76"/>
      <c r="L28" s="76"/>
      <c r="M28" s="76"/>
      <c r="N28" s="76"/>
      <c r="O28" s="76"/>
      <c r="P28" s="76"/>
      <c r="Q28" s="76"/>
      <c r="R28" s="76"/>
      <c r="S28" s="76"/>
      <c r="T28" s="76"/>
      <c r="U28" s="76"/>
      <c r="V28" s="76"/>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76"/>
      <c r="AZ28" s="76"/>
      <c r="BA28" s="76"/>
      <c r="BB28" s="76"/>
      <c r="BC28" s="76"/>
      <c r="BD28" s="76"/>
      <c r="BE28" s="76"/>
      <c r="BF28" s="76"/>
      <c r="BG28" s="76"/>
      <c r="BH28" s="76"/>
      <c r="BI28" s="243"/>
      <c r="BJ28" s="76"/>
      <c r="BK28" s="243"/>
      <c r="BL28" s="243"/>
      <c r="BM28" s="243"/>
      <c r="BN28" s="243"/>
      <c r="BO28" s="243"/>
      <c r="BP28" s="243"/>
      <c r="BQ28" s="243"/>
      <c r="BR28" s="243"/>
      <c r="BS28" s="243"/>
      <c r="BT28" s="243"/>
      <c r="BU28" s="243"/>
      <c r="BV28" s="243"/>
      <c r="BW28" s="243"/>
      <c r="BX28" s="243"/>
      <c r="BY28" s="243"/>
      <c r="BZ28" s="243"/>
      <c r="CA28" s="243"/>
      <c r="CB28" s="243"/>
      <c r="CC28" s="243"/>
      <c r="CD28" s="243"/>
      <c r="CE28" s="243"/>
      <c r="CF28" s="243"/>
      <c r="CG28" s="243"/>
      <c r="CH28" s="243"/>
      <c r="CI28" s="243">
        <v>134</v>
      </c>
      <c r="CJ28" s="243">
        <v>136</v>
      </c>
      <c r="CK28" s="243">
        <v>156</v>
      </c>
      <c r="CL28" s="243">
        <v>164</v>
      </c>
      <c r="CM28" s="243">
        <v>163</v>
      </c>
      <c r="CN28" s="243">
        <v>170</v>
      </c>
      <c r="CO28" s="243">
        <v>186</v>
      </c>
      <c r="CP28" s="243">
        <v>220</v>
      </c>
      <c r="CQ28" s="243">
        <v>212</v>
      </c>
      <c r="CR28" s="243">
        <v>204</v>
      </c>
      <c r="CS28" s="243">
        <v>203</v>
      </c>
      <c r="CT28" s="243">
        <v>202</v>
      </c>
      <c r="CU28" s="243">
        <v>182</v>
      </c>
      <c r="CV28" s="243">
        <v>120</v>
      </c>
      <c r="CW28" s="243">
        <v>126</v>
      </c>
      <c r="CX28" s="243">
        <v>140</v>
      </c>
      <c r="CY28" s="243">
        <v>118</v>
      </c>
      <c r="CZ28" s="243">
        <v>130</v>
      </c>
      <c r="DA28" s="243">
        <v>155</v>
      </c>
      <c r="DB28" s="243">
        <f t="shared" ref="DB28:DF28" si="99">+DA28</f>
        <v>155</v>
      </c>
      <c r="DC28" s="243">
        <f t="shared" si="99"/>
        <v>155</v>
      </c>
      <c r="DD28" s="243">
        <f t="shared" si="99"/>
        <v>155</v>
      </c>
      <c r="DE28" s="243">
        <f t="shared" si="99"/>
        <v>155</v>
      </c>
      <c r="DF28" s="243">
        <f t="shared" si="99"/>
        <v>155</v>
      </c>
      <c r="DH28" s="76"/>
      <c r="DI28" s="76"/>
      <c r="DJ28" s="76"/>
      <c r="DK28" s="76"/>
      <c r="DL28" s="76"/>
      <c r="DM28" s="76"/>
      <c r="DN28" s="76"/>
      <c r="DO28" s="76"/>
      <c r="DP28" s="76"/>
      <c r="DQ28" s="76"/>
      <c r="DR28" s="76"/>
      <c r="DS28" s="76"/>
      <c r="DT28" s="76"/>
      <c r="DU28" s="76"/>
      <c r="DV28" s="76"/>
      <c r="DW28" s="76"/>
      <c r="DX28" s="76"/>
      <c r="DY28" s="76"/>
      <c r="DZ28" s="76"/>
      <c r="EA28" s="76"/>
      <c r="EB28" s="235"/>
      <c r="EC28" s="235"/>
      <c r="ED28" s="235"/>
      <c r="EE28" s="235"/>
      <c r="EF28" s="235"/>
      <c r="EG28" s="235"/>
      <c r="EH28" s="235"/>
      <c r="EI28" s="235"/>
      <c r="EJ28" s="235"/>
      <c r="EK28" s="235"/>
      <c r="EL28" s="235"/>
      <c r="EM28" s="235">
        <f t="shared" si="82"/>
        <v>821</v>
      </c>
      <c r="EN28" s="235">
        <f t="shared" si="70"/>
        <v>568</v>
      </c>
      <c r="EO28" s="235">
        <f>SUM(CY28:DB28)</f>
        <v>558</v>
      </c>
      <c r="EP28" s="235">
        <f>+EO28*0.9</f>
        <v>502.2</v>
      </c>
      <c r="EQ28" s="235">
        <f t="shared" ref="EQ28:EW28" si="100">+EP28*0.9</f>
        <v>451.98</v>
      </c>
      <c r="ER28" s="235">
        <f t="shared" si="100"/>
        <v>406.78200000000004</v>
      </c>
      <c r="ES28" s="235">
        <f t="shared" si="100"/>
        <v>366.10380000000004</v>
      </c>
      <c r="ET28" s="235">
        <f t="shared" si="100"/>
        <v>329.49342000000001</v>
      </c>
      <c r="EU28" s="235">
        <f t="shared" si="100"/>
        <v>296.54407800000001</v>
      </c>
      <c r="EV28" s="235">
        <f t="shared" si="100"/>
        <v>266.88967020000001</v>
      </c>
      <c r="EW28" s="235">
        <f t="shared" si="100"/>
        <v>240.20070318</v>
      </c>
      <c r="EZ28"/>
    </row>
    <row r="29" spans="2:156" s="254" customFormat="1" x14ac:dyDescent="0.2">
      <c r="B29" t="s">
        <v>325</v>
      </c>
      <c r="C29" s="235">
        <f>112+159</f>
        <v>271</v>
      </c>
      <c r="D29" s="235">
        <f>131+169</f>
        <v>300</v>
      </c>
      <c r="E29" s="235">
        <f>126+160</f>
        <v>286</v>
      </c>
      <c r="F29" s="235">
        <f>135+168</f>
        <v>303</v>
      </c>
      <c r="G29" s="235">
        <f>152+167</f>
        <v>319</v>
      </c>
      <c r="H29" s="235">
        <f>161+186</f>
        <v>347</v>
      </c>
      <c r="I29" s="235">
        <f>205+188</f>
        <v>393</v>
      </c>
      <c r="J29" s="235">
        <f>235+205</f>
        <v>440</v>
      </c>
      <c r="K29" s="235">
        <f>255+207</f>
        <v>462</v>
      </c>
      <c r="L29" s="235">
        <f>311+221</f>
        <v>532</v>
      </c>
      <c r="M29" s="235">
        <f>315+214</f>
        <v>529</v>
      </c>
      <c r="N29" s="235">
        <f>359+212</f>
        <v>571</v>
      </c>
      <c r="O29" s="235">
        <f>387+215</f>
        <v>602</v>
      </c>
      <c r="P29" s="235">
        <f>411+230</f>
        <v>641</v>
      </c>
      <c r="Q29" s="235">
        <f>458+233</f>
        <v>691</v>
      </c>
      <c r="R29" s="235">
        <f>554+221</f>
        <v>775</v>
      </c>
      <c r="S29" s="235">
        <f>514+254</f>
        <v>768</v>
      </c>
      <c r="T29" s="235">
        <f>554+276</f>
        <v>830</v>
      </c>
      <c r="U29" s="235">
        <f>742+286</f>
        <v>1028</v>
      </c>
      <c r="V29" s="235">
        <f>525+278</f>
        <v>803</v>
      </c>
      <c r="W29" s="235">
        <f>691+300</f>
        <v>991</v>
      </c>
      <c r="X29" s="235">
        <f>764+322</f>
        <v>1086</v>
      </c>
      <c r="Y29" s="235">
        <f>776+320</f>
        <v>1096</v>
      </c>
      <c r="Z29" s="235">
        <f>803+293</f>
        <v>1096</v>
      </c>
      <c r="AA29" s="235">
        <f>723+274</f>
        <v>997</v>
      </c>
      <c r="AB29" s="235">
        <f>707+308</f>
        <v>1015</v>
      </c>
      <c r="AC29" s="235">
        <f>703+302</f>
        <v>1005</v>
      </c>
      <c r="AD29" s="235">
        <f>671+296</f>
        <v>967</v>
      </c>
      <c r="AE29" s="243">
        <f>688+289</f>
        <v>977</v>
      </c>
      <c r="AF29" s="243">
        <f>582+292</f>
        <v>874</v>
      </c>
      <c r="AG29" s="243">
        <f>613+274</f>
        <v>887</v>
      </c>
      <c r="AH29" s="243">
        <f>578+272</f>
        <v>850</v>
      </c>
      <c r="AI29" s="243">
        <f>565+271</f>
        <v>836</v>
      </c>
      <c r="AJ29" s="243">
        <f>566+280</f>
        <v>846</v>
      </c>
      <c r="AK29" s="243">
        <f>575+269</f>
        <v>844</v>
      </c>
      <c r="AL29" s="243">
        <f>540+258</f>
        <v>798</v>
      </c>
      <c r="AM29" s="243">
        <f>527+259</f>
        <v>786</v>
      </c>
      <c r="AN29" s="243">
        <f>524+284</f>
        <v>808</v>
      </c>
      <c r="AO29" s="243">
        <v>798</v>
      </c>
      <c r="AP29" s="243">
        <v>788</v>
      </c>
      <c r="AQ29" s="243">
        <v>817</v>
      </c>
      <c r="AR29" s="243">
        <v>758</v>
      </c>
      <c r="AS29" s="243">
        <v>682</v>
      </c>
      <c r="AT29" s="243">
        <v>628</v>
      </c>
      <c r="AU29" s="243">
        <v>629</v>
      </c>
      <c r="AV29" s="243">
        <v>652</v>
      </c>
      <c r="AW29" s="243">
        <v>619</v>
      </c>
      <c r="AX29" s="243">
        <v>560</v>
      </c>
      <c r="AY29" s="243">
        <v>550</v>
      </c>
      <c r="AZ29" s="243">
        <v>577</v>
      </c>
      <c r="BA29" s="243">
        <v>542</v>
      </c>
      <c r="BB29" s="243">
        <v>576</v>
      </c>
      <c r="BC29" s="243">
        <v>523</v>
      </c>
      <c r="BD29" s="243">
        <v>526</v>
      </c>
      <c r="BE29" s="243">
        <v>406</v>
      </c>
      <c r="BF29" s="243">
        <v>479</v>
      </c>
      <c r="BG29" s="243">
        <v>397</v>
      </c>
      <c r="BH29" s="243">
        <v>475</v>
      </c>
      <c r="BI29" s="243">
        <v>383</v>
      </c>
      <c r="BJ29" s="243">
        <v>368</v>
      </c>
      <c r="BK29" s="243">
        <v>376</v>
      </c>
      <c r="BL29" s="243">
        <v>401</v>
      </c>
      <c r="BM29" s="243">
        <v>359</v>
      </c>
      <c r="BN29" s="243">
        <v>326</v>
      </c>
      <c r="BO29" s="243">
        <v>378</v>
      </c>
      <c r="BP29" s="243">
        <v>335</v>
      </c>
      <c r="BQ29" s="243">
        <v>344</v>
      </c>
      <c r="BR29" s="243">
        <v>307</v>
      </c>
      <c r="BS29" s="243">
        <v>310</v>
      </c>
      <c r="BT29" s="243">
        <v>319</v>
      </c>
      <c r="BU29" s="243">
        <f>+BQ29*0.9</f>
        <v>309.60000000000002</v>
      </c>
      <c r="BV29" s="243">
        <f t="shared" ref="BV29:BZ29" si="101">+BR29*0.9</f>
        <v>276.3</v>
      </c>
      <c r="BW29" s="243">
        <f t="shared" si="101"/>
        <v>279</v>
      </c>
      <c r="BX29" s="243">
        <f t="shared" si="101"/>
        <v>287.10000000000002</v>
      </c>
      <c r="BY29" s="243">
        <f t="shared" si="101"/>
        <v>278.64000000000004</v>
      </c>
      <c r="BZ29" s="243">
        <f t="shared" si="101"/>
        <v>248.67000000000002</v>
      </c>
      <c r="CA29" s="243"/>
      <c r="CB29" s="243"/>
      <c r="CC29" s="243"/>
      <c r="CD29" s="243"/>
      <c r="CE29" s="243"/>
      <c r="CF29" s="243"/>
      <c r="CG29" s="243"/>
      <c r="CH29" s="243"/>
      <c r="CI29" s="243">
        <v>276</v>
      </c>
      <c r="CJ29" s="243">
        <v>236</v>
      </c>
      <c r="CK29" s="243">
        <v>255</v>
      </c>
      <c r="CL29" s="243">
        <v>221</v>
      </c>
      <c r="CM29" s="243">
        <v>226</v>
      </c>
      <c r="CN29" s="243">
        <v>183</v>
      </c>
      <c r="CO29" s="243">
        <v>198</v>
      </c>
      <c r="CP29" s="243">
        <v>183</v>
      </c>
      <c r="CQ29" s="243">
        <v>155</v>
      </c>
      <c r="CR29" s="243">
        <v>136</v>
      </c>
      <c r="CS29" s="243">
        <v>132</v>
      </c>
      <c r="CT29" s="243">
        <v>129</v>
      </c>
      <c r="CU29" s="243">
        <v>127</v>
      </c>
      <c r="CV29" s="243">
        <v>127</v>
      </c>
      <c r="CW29" s="243">
        <v>112</v>
      </c>
      <c r="CX29" s="243">
        <v>113</v>
      </c>
      <c r="CY29" s="243">
        <v>0</v>
      </c>
      <c r="CZ29" s="243">
        <v>0</v>
      </c>
      <c r="DA29" s="243">
        <v>0</v>
      </c>
      <c r="DB29" s="243">
        <f t="shared" ref="DB29:DF29" si="102">+DA29</f>
        <v>0</v>
      </c>
      <c r="DC29" s="243">
        <f t="shared" si="102"/>
        <v>0</v>
      </c>
      <c r="DD29" s="243">
        <f t="shared" si="102"/>
        <v>0</v>
      </c>
      <c r="DE29" s="243">
        <f t="shared" si="102"/>
        <v>0</v>
      </c>
      <c r="DF29" s="243">
        <f t="shared" si="102"/>
        <v>0</v>
      </c>
      <c r="DH29" s="271"/>
      <c r="DI29" s="271"/>
      <c r="DJ29" s="271"/>
      <c r="DK29" s="271"/>
      <c r="DL29" s="271"/>
      <c r="DM29" s="271"/>
      <c r="DN29" s="235">
        <f>271+575</f>
        <v>846</v>
      </c>
      <c r="DO29" s="235">
        <f>385+631</f>
        <v>1016</v>
      </c>
      <c r="DP29" s="235">
        <f>SUM(C29:F29)</f>
        <v>1160</v>
      </c>
      <c r="DQ29" s="235">
        <f>SUM(G29:J29)</f>
        <v>1499</v>
      </c>
      <c r="DR29" s="235">
        <f>SUM(K29:N29)</f>
        <v>2094</v>
      </c>
      <c r="DS29" s="235">
        <f>SUM(O29:R29)</f>
        <v>2709</v>
      </c>
      <c r="DT29" s="235">
        <f>SUM(S29:V29)</f>
        <v>3429</v>
      </c>
      <c r="DU29" s="235">
        <f>SUM(W29:Z29)</f>
        <v>4269</v>
      </c>
      <c r="DV29" s="235">
        <f>SUM(AA29:AD29)</f>
        <v>3984</v>
      </c>
      <c r="DW29" s="235">
        <f>SUM(AE29:AH29)</f>
        <v>3588</v>
      </c>
      <c r="DX29" s="235">
        <f>SUM(AI29:AL29)</f>
        <v>3324</v>
      </c>
      <c r="DY29" s="235">
        <f>SUM(AM29:AP29)</f>
        <v>3180</v>
      </c>
      <c r="DZ29" s="235">
        <f>SUM(AQ29:AT29)</f>
        <v>2885</v>
      </c>
      <c r="EA29" s="235">
        <f>SUM(AU29:AX29)</f>
        <v>2460</v>
      </c>
      <c r="EB29" s="235">
        <f>SUM(AY29:BB29)</f>
        <v>2245</v>
      </c>
      <c r="EC29" s="235">
        <f>SUM(BC29:BF29)</f>
        <v>1934</v>
      </c>
      <c r="ED29" s="235">
        <f>SUM(BG29:BJ29)</f>
        <v>1623</v>
      </c>
      <c r="EE29" s="235">
        <f>SUM(BK29:BN29)</f>
        <v>1462</v>
      </c>
      <c r="EF29" s="235">
        <f>SUM(BO29:BR29)</f>
        <v>1364</v>
      </c>
      <c r="EG29" s="235">
        <f>SUM(BS29:BV29)</f>
        <v>1214.9000000000001</v>
      </c>
      <c r="EH29" s="235">
        <f>EG29*0.9</f>
        <v>1093.4100000000001</v>
      </c>
      <c r="EI29" s="235">
        <f>EH29*0.9</f>
        <v>984.06900000000007</v>
      </c>
      <c r="EJ29" s="235">
        <f t="shared" ref="EJ29:EL29" si="103">EI29*0.9</f>
        <v>885.66210000000012</v>
      </c>
      <c r="EK29" s="235">
        <f t="shared" si="103"/>
        <v>797.09589000000017</v>
      </c>
      <c r="EL29" s="235">
        <f t="shared" si="103"/>
        <v>717.38630100000012</v>
      </c>
      <c r="EM29" s="235">
        <f t="shared" si="82"/>
        <v>552</v>
      </c>
      <c r="EN29" s="235">
        <f t="shared" si="70"/>
        <v>479</v>
      </c>
      <c r="EO29" s="235">
        <f>SUM(CY29:DB29)</f>
        <v>0</v>
      </c>
      <c r="EP29" s="235">
        <f t="shared" ref="EP29" si="104">EO29*0.9</f>
        <v>0</v>
      </c>
      <c r="EQ29" s="235">
        <f t="shared" ref="EQ29:EQ30" si="105">EP29*0.9</f>
        <v>0</v>
      </c>
      <c r="ER29" s="235">
        <f t="shared" ref="ER29:ER30" si="106">EQ29*0.9</f>
        <v>0</v>
      </c>
      <c r="ES29" s="235">
        <f t="shared" ref="ES29:ES30" si="107">ER29*0.9</f>
        <v>0</v>
      </c>
      <c r="ET29" s="235">
        <f t="shared" ref="ET29:ET30" si="108">ES29*0.9</f>
        <v>0</v>
      </c>
      <c r="EU29" s="235">
        <f t="shared" ref="EU29:EU30" si="109">ET29*0.9</f>
        <v>0</v>
      </c>
      <c r="EV29" s="235">
        <f t="shared" ref="EV29:EV30" si="110">EU29*0.9</f>
        <v>0</v>
      </c>
      <c r="EW29" s="235">
        <f t="shared" ref="EW29:EW30" si="111">EV29*0.9</f>
        <v>0</v>
      </c>
      <c r="EZ29"/>
    </row>
    <row r="30" spans="2:156" s="254" customFormat="1" x14ac:dyDescent="0.2">
      <c r="B30" t="s">
        <v>195</v>
      </c>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243"/>
      <c r="AJ30" s="243"/>
      <c r="AK30" s="243"/>
      <c r="AL30" s="243"/>
      <c r="AM30" s="243"/>
      <c r="AN30" s="243"/>
      <c r="AO30" s="243"/>
      <c r="AP30" s="243"/>
      <c r="AQ30" s="243">
        <v>113</v>
      </c>
      <c r="AR30" s="243">
        <v>126</v>
      </c>
      <c r="AS30" s="243">
        <v>130</v>
      </c>
      <c r="AT30" s="243">
        <v>165</v>
      </c>
      <c r="AU30" s="243">
        <v>184</v>
      </c>
      <c r="AV30" s="243">
        <v>205</v>
      </c>
      <c r="AW30" s="243">
        <v>190</v>
      </c>
      <c r="AX30" s="243">
        <v>208</v>
      </c>
      <c r="AY30" s="243">
        <v>192</v>
      </c>
      <c r="AZ30" s="243">
        <v>229</v>
      </c>
      <c r="BA30" s="243">
        <v>231</v>
      </c>
      <c r="BB30" s="243">
        <v>281</v>
      </c>
      <c r="BC30" s="243">
        <v>261</v>
      </c>
      <c r="BD30" s="243">
        <v>286</v>
      </c>
      <c r="BE30" s="243">
        <v>246</v>
      </c>
      <c r="BF30" s="243">
        <v>287</v>
      </c>
      <c r="BG30" s="243">
        <v>280</v>
      </c>
      <c r="BH30" s="243">
        <v>347</v>
      </c>
      <c r="BI30" s="243">
        <v>295</v>
      </c>
      <c r="BJ30" s="243">
        <v>352</v>
      </c>
      <c r="BK30" s="243">
        <v>353</v>
      </c>
      <c r="BL30" s="243">
        <v>318</v>
      </c>
      <c r="BM30" s="243">
        <v>327</v>
      </c>
      <c r="BN30" s="243">
        <v>502</v>
      </c>
      <c r="BO30" s="243">
        <v>353</v>
      </c>
      <c r="BP30" s="243">
        <v>379</v>
      </c>
      <c r="BQ30" s="243">
        <v>404</v>
      </c>
      <c r="BR30" s="243">
        <v>524</v>
      </c>
      <c r="BS30" s="243">
        <v>408</v>
      </c>
      <c r="BT30" s="243">
        <v>403</v>
      </c>
      <c r="BU30" s="243">
        <f t="shared" ref="BU30" si="112">+BQ30*1.03</f>
        <v>416.12</v>
      </c>
      <c r="BV30" s="243">
        <f t="shared" ref="BV30" si="113">+BR30*1.03</f>
        <v>539.72</v>
      </c>
      <c r="BW30" s="243">
        <f t="shared" ref="BW30" si="114">+BS30*1.03</f>
        <v>420.24</v>
      </c>
      <c r="BX30" s="243">
        <f t="shared" ref="BX30" si="115">+BT30*1.03</f>
        <v>415.09000000000003</v>
      </c>
      <c r="BY30" s="243">
        <f t="shared" ref="BY30" si="116">+BU30*1.03</f>
        <v>428.60360000000003</v>
      </c>
      <c r="BZ30" s="243">
        <f t="shared" ref="BZ30" si="117">+BV30*1.03</f>
        <v>555.91160000000002</v>
      </c>
      <c r="CA30" s="243"/>
      <c r="CB30" s="243"/>
      <c r="CC30" s="243"/>
      <c r="CD30" s="243"/>
      <c r="CE30" s="243"/>
      <c r="CF30" s="243"/>
      <c r="CG30" s="243"/>
      <c r="CH30" s="243"/>
      <c r="CI30" s="243">
        <v>313</v>
      </c>
      <c r="CJ30" s="243">
        <v>280</v>
      </c>
      <c r="CK30" s="243">
        <v>271</v>
      </c>
      <c r="CL30" s="243">
        <v>252</v>
      </c>
      <c r="CM30" s="243">
        <v>263</v>
      </c>
      <c r="CN30" s="243">
        <v>224</v>
      </c>
      <c r="CO30" s="243">
        <v>149</v>
      </c>
      <c r="CP30" s="243">
        <v>115</v>
      </c>
      <c r="CQ30" s="243">
        <v>0</v>
      </c>
      <c r="CR30" s="243">
        <v>0</v>
      </c>
      <c r="CS30" s="243">
        <v>0</v>
      </c>
      <c r="CT30" s="243">
        <v>0</v>
      </c>
      <c r="CU30" s="243">
        <v>0</v>
      </c>
      <c r="CV30" s="243">
        <v>0</v>
      </c>
      <c r="CW30" s="243">
        <v>0</v>
      </c>
      <c r="CX30" s="243">
        <v>0</v>
      </c>
      <c r="CY30" s="243">
        <v>0</v>
      </c>
      <c r="CZ30" s="243">
        <v>0</v>
      </c>
      <c r="DA30" s="243">
        <v>0</v>
      </c>
      <c r="DB30" s="243">
        <f t="shared" ref="DB30:DF30" si="118">+DA30</f>
        <v>0</v>
      </c>
      <c r="DC30" s="243">
        <f t="shared" si="118"/>
        <v>0</v>
      </c>
      <c r="DD30" s="243">
        <f t="shared" si="118"/>
        <v>0</v>
      </c>
      <c r="DE30" s="243">
        <f t="shared" si="118"/>
        <v>0</v>
      </c>
      <c r="DF30" s="243">
        <f t="shared" si="118"/>
        <v>0</v>
      </c>
      <c r="DH30" s="235"/>
      <c r="DI30" s="235"/>
      <c r="DJ30" s="235"/>
      <c r="DK30" s="235"/>
      <c r="DL30" s="235"/>
      <c r="DM30" s="235"/>
      <c r="DN30" s="235"/>
      <c r="DO30" s="235"/>
      <c r="DP30" s="235"/>
      <c r="DQ30" s="235"/>
      <c r="DR30" s="235"/>
      <c r="DS30" s="235"/>
      <c r="DT30" s="235"/>
      <c r="DU30" s="235"/>
      <c r="DV30" s="235"/>
      <c r="DW30" s="235" t="s">
        <v>327</v>
      </c>
      <c r="DX30" s="235" t="s">
        <v>328</v>
      </c>
      <c r="DY30" s="235"/>
      <c r="DZ30" s="235">
        <f>SUM(AQ30:AT30)</f>
        <v>534</v>
      </c>
      <c r="EA30" s="235">
        <f>SUM(AU30:AX30)</f>
        <v>787</v>
      </c>
      <c r="EB30" s="235">
        <f>SUM(AY30:BB30)</f>
        <v>933</v>
      </c>
      <c r="EC30" s="235">
        <f>SUM(BC30:BF30)</f>
        <v>1080</v>
      </c>
      <c r="ED30" s="235">
        <f>SUM(BG30:BJ30)</f>
        <v>1274</v>
      </c>
      <c r="EE30" s="235">
        <f>SUM(BK30:BN30)</f>
        <v>1500</v>
      </c>
      <c r="EF30" s="235">
        <f>SUM(BO30:BR30)</f>
        <v>1660</v>
      </c>
      <c r="EG30" s="235">
        <f>SUM(BS30:BV30)</f>
        <v>1766.84</v>
      </c>
      <c r="EH30" s="235">
        <f>EG30</f>
        <v>1766.84</v>
      </c>
      <c r="EI30" s="235">
        <f>EH30*0.5</f>
        <v>883.42</v>
      </c>
      <c r="EJ30" s="235">
        <f t="shared" ref="EJ30:EL30" si="119">EI30*0.5</f>
        <v>441.71</v>
      </c>
      <c r="EK30" s="235">
        <f t="shared" si="119"/>
        <v>220.85499999999999</v>
      </c>
      <c r="EL30" s="235">
        <f t="shared" si="119"/>
        <v>110.42749999999999</v>
      </c>
      <c r="EM30" s="235">
        <f t="shared" si="82"/>
        <v>0</v>
      </c>
      <c r="EN30" s="235">
        <f t="shared" si="70"/>
        <v>0</v>
      </c>
      <c r="EO30" s="235">
        <f t="shared" ref="EO30:EO41" si="120">SUM(CY30:DB30)</f>
        <v>0</v>
      </c>
      <c r="EP30" s="235">
        <f t="shared" ref="EP30" si="121">EO30*0.5</f>
        <v>0</v>
      </c>
      <c r="EQ30" s="235">
        <f t="shared" si="105"/>
        <v>0</v>
      </c>
      <c r="ER30" s="235">
        <f t="shared" si="106"/>
        <v>0</v>
      </c>
      <c r="ES30" s="235">
        <f t="shared" si="107"/>
        <v>0</v>
      </c>
      <c r="ET30" s="235">
        <f t="shared" si="108"/>
        <v>0</v>
      </c>
      <c r="EU30" s="235">
        <f t="shared" si="109"/>
        <v>0</v>
      </c>
      <c r="EV30" s="235">
        <f t="shared" si="110"/>
        <v>0</v>
      </c>
      <c r="EW30" s="235">
        <f t="shared" si="111"/>
        <v>0</v>
      </c>
      <c r="EZ30" t="s">
        <v>1328</v>
      </c>
    </row>
    <row r="31" spans="2:156" ht="12.75" customHeight="1" x14ac:dyDescent="0.2">
      <c r="B31" t="s">
        <v>1699</v>
      </c>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v>0</v>
      </c>
      <c r="CJ31" s="243">
        <v>0</v>
      </c>
      <c r="CK31" s="243">
        <v>0</v>
      </c>
      <c r="CL31" s="243">
        <v>0</v>
      </c>
      <c r="CM31" s="243">
        <v>0</v>
      </c>
      <c r="CN31" s="243">
        <v>0</v>
      </c>
      <c r="CO31" s="243">
        <v>0</v>
      </c>
      <c r="CP31" s="243">
        <v>0</v>
      </c>
      <c r="CQ31" s="243">
        <v>143</v>
      </c>
      <c r="CR31" s="243">
        <v>170</v>
      </c>
      <c r="CS31" s="243">
        <v>206</v>
      </c>
      <c r="CT31" s="243">
        <v>241</v>
      </c>
      <c r="CU31" s="243">
        <v>261</v>
      </c>
      <c r="CV31" s="243">
        <v>302</v>
      </c>
      <c r="CW31" s="243">
        <v>344</v>
      </c>
      <c r="CX31" s="243">
        <v>384</v>
      </c>
      <c r="CY31" s="243">
        <v>400</v>
      </c>
      <c r="CZ31" s="243">
        <v>450</v>
      </c>
      <c r="DA31" s="243">
        <v>490</v>
      </c>
      <c r="DB31" s="243">
        <f t="shared" ref="DB31:DF31" si="122">+CX31*1.3</f>
        <v>499.20000000000005</v>
      </c>
      <c r="DC31" s="243">
        <f t="shared" si="122"/>
        <v>520</v>
      </c>
      <c r="DD31" s="243">
        <f t="shared" si="122"/>
        <v>585</v>
      </c>
      <c r="DE31" s="243">
        <f t="shared" si="122"/>
        <v>637</v>
      </c>
      <c r="DF31" s="243">
        <f t="shared" si="122"/>
        <v>648.96</v>
      </c>
      <c r="EA31" s="235"/>
      <c r="EB31" s="235"/>
      <c r="EC31" s="235"/>
      <c r="ED31" s="235"/>
      <c r="EE31" s="235"/>
      <c r="EF31" s="235"/>
      <c r="EG31" s="235"/>
      <c r="EH31" s="235"/>
      <c r="EI31" s="235"/>
      <c r="EJ31" s="235"/>
      <c r="EK31" s="235"/>
      <c r="EL31" s="235"/>
      <c r="EM31" s="235">
        <f t="shared" si="82"/>
        <v>760</v>
      </c>
      <c r="EN31" s="235">
        <f t="shared" si="70"/>
        <v>1291</v>
      </c>
      <c r="EO31" s="235">
        <f t="shared" si="120"/>
        <v>1839.2</v>
      </c>
      <c r="EP31" s="235">
        <f>+EO31*1.2</f>
        <v>2207.04</v>
      </c>
      <c r="EQ31" s="235">
        <f>+EP31*1.1</f>
        <v>2427.7440000000001</v>
      </c>
      <c r="ER31" s="235">
        <f t="shared" ref="ER31" si="123">+EQ31*1.1</f>
        <v>2670.5184000000004</v>
      </c>
      <c r="ES31" s="235">
        <f>+ER31*1.05</f>
        <v>2804.0443200000004</v>
      </c>
      <c r="ET31" s="235">
        <f t="shared" ref="ET31:EW31" si="124">+ES31*1.05</f>
        <v>2944.2465360000006</v>
      </c>
      <c r="EU31" s="235">
        <f t="shared" si="124"/>
        <v>3091.4588628000006</v>
      </c>
      <c r="EV31" s="235">
        <f t="shared" si="124"/>
        <v>3246.0318059400006</v>
      </c>
      <c r="EW31" s="235">
        <f t="shared" si="124"/>
        <v>3408.3333962370007</v>
      </c>
      <c r="EX31" s="254"/>
    </row>
    <row r="32" spans="2:156" ht="12.75" customHeight="1" x14ac:dyDescent="0.2">
      <c r="B32" t="s">
        <v>1700</v>
      </c>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O32" s="243"/>
      <c r="BP32" s="243"/>
      <c r="BQ32" s="243"/>
      <c r="BR32" s="243"/>
      <c r="BS32" s="243"/>
      <c r="BT32" s="243"/>
      <c r="BU32" s="243"/>
      <c r="BV32" s="243"/>
      <c r="BW32" s="243"/>
      <c r="BX32" s="243"/>
      <c r="BY32" s="243"/>
      <c r="BZ32" s="243"/>
      <c r="CA32" s="243"/>
      <c r="CB32" s="243"/>
      <c r="CC32" s="243"/>
      <c r="CD32" s="243"/>
      <c r="CE32" s="243"/>
      <c r="CF32" s="243"/>
      <c r="CG32" s="243"/>
      <c r="CH32" s="243"/>
      <c r="CI32" s="243">
        <v>271</v>
      </c>
      <c r="CJ32" s="243">
        <v>311</v>
      </c>
      <c r="CK32" s="243">
        <v>310</v>
      </c>
      <c r="CL32" s="243">
        <v>323</v>
      </c>
      <c r="CM32" s="243">
        <v>306</v>
      </c>
      <c r="CN32" s="243">
        <v>348</v>
      </c>
      <c r="CO32" s="243">
        <v>347</v>
      </c>
      <c r="CP32" s="243">
        <v>326</v>
      </c>
      <c r="CQ32" s="243">
        <v>389</v>
      </c>
      <c r="CR32" s="243">
        <v>406</v>
      </c>
      <c r="CS32" s="243">
        <v>392</v>
      </c>
      <c r="CT32" s="243">
        <v>452</v>
      </c>
      <c r="CU32" s="243">
        <v>450</v>
      </c>
      <c r="CV32" s="243">
        <v>463</v>
      </c>
      <c r="CW32" s="243">
        <v>458</v>
      </c>
      <c r="CX32" s="243">
        <v>448</v>
      </c>
      <c r="CY32" s="243">
        <v>443</v>
      </c>
      <c r="CZ32" s="243">
        <v>438</v>
      </c>
      <c r="DA32" s="243">
        <v>441</v>
      </c>
      <c r="DB32" s="243">
        <f t="shared" ref="DB32" si="125">+CX32</f>
        <v>448</v>
      </c>
      <c r="DC32" s="243">
        <f t="shared" ref="DC32" si="126">+CY32</f>
        <v>443</v>
      </c>
      <c r="DD32" s="243">
        <f t="shared" ref="DD32" si="127">+CZ32</f>
        <v>438</v>
      </c>
      <c r="DE32" s="243">
        <f t="shared" ref="DE32" si="128">+DA32</f>
        <v>441</v>
      </c>
      <c r="DF32" s="243">
        <f t="shared" ref="DF32" si="129">+DB32</f>
        <v>448</v>
      </c>
      <c r="EA32" s="235"/>
      <c r="EB32" s="235"/>
      <c r="EC32" s="235"/>
      <c r="ED32" s="235"/>
      <c r="EE32" s="235"/>
      <c r="EF32" s="235"/>
      <c r="EG32" s="235"/>
      <c r="EH32" s="235"/>
      <c r="EI32" s="235"/>
      <c r="EJ32" s="235"/>
      <c r="EK32" s="235"/>
      <c r="EL32" s="235"/>
      <c r="EM32" s="235">
        <f t="shared" si="82"/>
        <v>1639</v>
      </c>
      <c r="EN32" s="235">
        <f t="shared" si="70"/>
        <v>1819</v>
      </c>
      <c r="EO32" s="235">
        <f t="shared" si="120"/>
        <v>1770</v>
      </c>
      <c r="EP32" s="235">
        <f>+EO32*0.99</f>
        <v>1752.3</v>
      </c>
      <c r="EQ32" s="235">
        <f t="shared" ref="EQ32:EW32" si="130">+EP32*0.99</f>
        <v>1734.777</v>
      </c>
      <c r="ER32" s="235">
        <f t="shared" si="130"/>
        <v>1717.42923</v>
      </c>
      <c r="ES32" s="235">
        <f t="shared" si="130"/>
        <v>1700.2549377</v>
      </c>
      <c r="ET32" s="235">
        <f t="shared" si="130"/>
        <v>1683.2523883230001</v>
      </c>
      <c r="EU32" s="235">
        <f t="shared" si="130"/>
        <v>1666.41986443977</v>
      </c>
      <c r="EV32" s="235">
        <f t="shared" si="130"/>
        <v>1649.7556657953724</v>
      </c>
      <c r="EW32" s="235">
        <f t="shared" si="130"/>
        <v>1633.2581091374186</v>
      </c>
      <c r="EX32" s="254"/>
    </row>
    <row r="33" spans="2:156" ht="12.75" customHeight="1" x14ac:dyDescent="0.2">
      <c r="B33" t="s">
        <v>1701</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v>140</v>
      </c>
      <c r="CJ33" s="243">
        <v>171</v>
      </c>
      <c r="CK33" s="243">
        <v>171</v>
      </c>
      <c r="CL33" s="243">
        <v>181</v>
      </c>
      <c r="CM33" s="243">
        <v>198</v>
      </c>
      <c r="CN33" s="243">
        <v>203</v>
      </c>
      <c r="CO33" s="243">
        <v>210</v>
      </c>
      <c r="CP33" s="243">
        <v>208</v>
      </c>
      <c r="CQ33" s="243">
        <v>250</v>
      </c>
      <c r="CR33" s="243">
        <v>282</v>
      </c>
      <c r="CS33" s="243">
        <v>260</v>
      </c>
      <c r="CT33" s="243">
        <v>301</v>
      </c>
      <c r="CU33" s="243">
        <v>305</v>
      </c>
      <c r="CV33" s="243">
        <v>313</v>
      </c>
      <c r="CW33" s="243">
        <v>309</v>
      </c>
      <c r="CX33" s="243">
        <v>310</v>
      </c>
      <c r="CY33" s="243">
        <v>325</v>
      </c>
      <c r="CZ33" s="243">
        <v>328</v>
      </c>
      <c r="DA33" s="243">
        <v>333</v>
      </c>
      <c r="DB33" s="243">
        <f t="shared" ref="DB33:DF33" si="131">+CX33*1.05</f>
        <v>325.5</v>
      </c>
      <c r="DC33" s="243">
        <f t="shared" si="131"/>
        <v>341.25</v>
      </c>
      <c r="DD33" s="243">
        <f t="shared" si="131"/>
        <v>344.40000000000003</v>
      </c>
      <c r="DE33" s="243">
        <f t="shared" si="131"/>
        <v>349.65000000000003</v>
      </c>
      <c r="DF33" s="243">
        <f t="shared" si="131"/>
        <v>341.77500000000003</v>
      </c>
      <c r="EA33" s="235"/>
      <c r="EB33" s="235"/>
      <c r="EC33" s="235"/>
      <c r="ED33" s="235"/>
      <c r="EE33" s="235"/>
      <c r="EF33" s="235"/>
      <c r="EG33" s="235"/>
      <c r="EH33" s="235"/>
      <c r="EI33" s="235"/>
      <c r="EJ33" s="235"/>
      <c r="EK33" s="235"/>
      <c r="EL33" s="235"/>
      <c r="EM33" s="235">
        <f t="shared" si="82"/>
        <v>1093</v>
      </c>
      <c r="EN33" s="235">
        <f t="shared" si="70"/>
        <v>1237</v>
      </c>
      <c r="EO33" s="235">
        <f t="shared" si="120"/>
        <v>1311.5</v>
      </c>
      <c r="EP33" s="235">
        <f>+EO33*1.02</f>
        <v>1337.73</v>
      </c>
      <c r="EQ33" s="235">
        <f t="shared" ref="EQ33:ET33" si="132">+EP33*1.02</f>
        <v>1364.4846</v>
      </c>
      <c r="ER33" s="235">
        <f t="shared" si="132"/>
        <v>1391.7742920000001</v>
      </c>
      <c r="ES33" s="235">
        <f t="shared" si="132"/>
        <v>1419.6097778400001</v>
      </c>
      <c r="ET33" s="235">
        <f t="shared" si="132"/>
        <v>1448.0019733968002</v>
      </c>
      <c r="EU33" s="235">
        <f>+ET33*0.95</f>
        <v>1375.6018747269602</v>
      </c>
      <c r="EV33" s="235">
        <f t="shared" ref="EV33:EW33" si="133">+EU33*0.95</f>
        <v>1306.8217809906121</v>
      </c>
      <c r="EW33" s="235">
        <f t="shared" si="133"/>
        <v>1241.4806919410814</v>
      </c>
      <c r="EX33" s="254"/>
    </row>
    <row r="34" spans="2:156" hidden="1" x14ac:dyDescent="0.2">
      <c r="B34" t="s">
        <v>205</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v>67</v>
      </c>
      <c r="BG34" s="243">
        <v>139</v>
      </c>
      <c r="BH34" s="243">
        <v>138</v>
      </c>
      <c r="BI34" s="243">
        <v>86</v>
      </c>
      <c r="BJ34" s="243">
        <v>39</v>
      </c>
      <c r="BK34" s="243">
        <v>24</v>
      </c>
      <c r="BL34" s="243">
        <v>13</v>
      </c>
      <c r="BM34" s="243">
        <v>16</v>
      </c>
      <c r="BN34" s="243">
        <v>30</v>
      </c>
      <c r="BO34" s="243"/>
      <c r="BP34" s="243"/>
      <c r="BQ34" s="243"/>
      <c r="BR34" s="243"/>
      <c r="BS34" s="243"/>
      <c r="BT34" s="243"/>
      <c r="BU34" s="243"/>
      <c r="BV34" s="243"/>
      <c r="BW34" s="243"/>
      <c r="BX34" s="243"/>
      <c r="BY34" s="243"/>
      <c r="BZ34" s="243"/>
      <c r="CA34" s="243"/>
      <c r="CB34" s="243"/>
      <c r="CC34" s="243"/>
      <c r="CD34" s="243"/>
      <c r="CE34" s="243"/>
      <c r="CF34" s="243"/>
      <c r="CG34" s="243"/>
      <c r="CH34" s="243"/>
      <c r="CI34" s="243"/>
      <c r="CJ34" s="243"/>
      <c r="CK34" s="243"/>
      <c r="CL34" s="243"/>
      <c r="CM34" s="243"/>
      <c r="CN34" s="243"/>
      <c r="CO34" s="243"/>
      <c r="CP34" s="243"/>
      <c r="CQ34" s="243"/>
      <c r="CR34" s="243"/>
      <c r="CS34" s="243"/>
      <c r="CT34" s="243"/>
      <c r="CU34" s="243"/>
      <c r="CV34" s="243"/>
      <c r="CW34" s="243"/>
      <c r="CX34" s="243"/>
      <c r="CY34" s="243"/>
      <c r="CZ34" s="243"/>
      <c r="DA34" s="243"/>
      <c r="DB34" s="243"/>
      <c r="DC34" s="243"/>
      <c r="DD34" s="243"/>
      <c r="DE34" s="243"/>
      <c r="DF34" s="243"/>
      <c r="EA34" s="235"/>
      <c r="EB34" s="235"/>
      <c r="EC34" s="235"/>
      <c r="ED34" s="235">
        <f t="shared" si="65"/>
        <v>402</v>
      </c>
      <c r="EE34" s="235">
        <f>SUM(BK34:BN34)</f>
        <v>83</v>
      </c>
      <c r="EF34" s="235"/>
      <c r="EG34" s="235"/>
      <c r="EH34" s="235"/>
      <c r="EI34" s="235"/>
      <c r="EJ34" s="235"/>
      <c r="EK34" s="235"/>
      <c r="EL34" s="235"/>
      <c r="EM34" s="235">
        <f t="shared" si="82"/>
        <v>0</v>
      </c>
      <c r="EN34" s="235">
        <f t="shared" si="70"/>
        <v>0</v>
      </c>
      <c r="EO34" s="235">
        <f t="shared" si="120"/>
        <v>0</v>
      </c>
      <c r="EX34" s="254"/>
    </row>
    <row r="35" spans="2:156" s="254" customFormat="1" hidden="1" x14ac:dyDescent="0.2">
      <c r="B35" t="s">
        <v>329</v>
      </c>
      <c r="C35" s="76">
        <v>71</v>
      </c>
      <c r="D35" s="76">
        <v>80</v>
      </c>
      <c r="E35" s="76">
        <v>93</v>
      </c>
      <c r="F35" s="76">
        <v>84</v>
      </c>
      <c r="G35" s="76">
        <v>91</v>
      </c>
      <c r="H35" s="76">
        <v>104</v>
      </c>
      <c r="I35" s="76">
        <v>82</v>
      </c>
      <c r="J35" s="76">
        <v>99</v>
      </c>
      <c r="K35" s="76">
        <v>113</v>
      </c>
      <c r="L35" s="76">
        <f>143+1</f>
        <v>144</v>
      </c>
      <c r="M35" s="76">
        <f>121+1</f>
        <v>122</v>
      </c>
      <c r="N35" s="76">
        <f>74+1</f>
        <v>75</v>
      </c>
      <c r="O35" s="76">
        <f>146+1</f>
        <v>147</v>
      </c>
      <c r="P35" s="76">
        <f>159+1</f>
        <v>160</v>
      </c>
      <c r="Q35" s="76">
        <f>126+1</f>
        <v>127</v>
      </c>
      <c r="R35" s="76">
        <f>87+1</f>
        <v>88</v>
      </c>
      <c r="S35" s="76">
        <v>140</v>
      </c>
      <c r="T35" s="76">
        <v>172</v>
      </c>
      <c r="U35" s="76">
        <v>115</v>
      </c>
      <c r="V35" s="76">
        <v>181</v>
      </c>
      <c r="W35" s="76">
        <v>162</v>
      </c>
      <c r="X35" s="76">
        <v>156</v>
      </c>
      <c r="Y35" s="76">
        <v>62</v>
      </c>
      <c r="Z35" s="76">
        <v>62</v>
      </c>
      <c r="AA35" s="76">
        <v>59</v>
      </c>
      <c r="AB35" s="76">
        <v>78</v>
      </c>
      <c r="AC35" s="76">
        <v>70</v>
      </c>
      <c r="AD35" s="76">
        <v>87</v>
      </c>
      <c r="AE35" s="243">
        <v>79</v>
      </c>
      <c r="AF35" s="243">
        <v>91</v>
      </c>
      <c r="AG35" s="243">
        <v>91</v>
      </c>
      <c r="AH35" s="243">
        <v>95</v>
      </c>
      <c r="AI35" s="237" t="s">
        <v>415</v>
      </c>
      <c r="AJ35" s="237" t="s">
        <v>416</v>
      </c>
      <c r="AK35" s="237" t="s">
        <v>417</v>
      </c>
      <c r="AL35" s="237" t="s">
        <v>418</v>
      </c>
      <c r="AM35" s="237" t="s">
        <v>419</v>
      </c>
      <c r="AN35" s="237" t="s">
        <v>420</v>
      </c>
      <c r="AO35" s="243"/>
      <c r="AP35" s="243"/>
      <c r="AQ35" s="243"/>
      <c r="AR35" s="243"/>
      <c r="AS35" s="243"/>
      <c r="AT35" s="243"/>
      <c r="AU35" s="243"/>
      <c r="AV35" s="243"/>
      <c r="AW35" s="243"/>
      <c r="AX35" s="243"/>
      <c r="AY35" s="243"/>
      <c r="AZ35" s="243"/>
      <c r="BA35" s="243"/>
      <c r="BB35" s="243"/>
      <c r="BC35" s="243"/>
      <c r="BD35" s="243"/>
      <c r="BE35" s="243"/>
      <c r="BF35" s="243"/>
      <c r="BG35" s="243"/>
      <c r="BH35" s="243"/>
      <c r="BI35" s="243"/>
      <c r="BJ35" s="243"/>
      <c r="BK35" s="243"/>
      <c r="BL35" s="243"/>
      <c r="BM35" s="243"/>
      <c r="BN35" s="243"/>
      <c r="BO35" s="243"/>
      <c r="BP35" s="243"/>
      <c r="BQ35" s="243"/>
      <c r="BR35" s="243"/>
      <c r="BS35" s="243"/>
      <c r="BT35" s="243"/>
      <c r="BU35" s="243"/>
      <c r="BV35" s="243"/>
      <c r="BW35" s="243"/>
      <c r="BX35" s="243"/>
      <c r="BY35" s="243"/>
      <c r="BZ35" s="243"/>
      <c r="CA35" s="243"/>
      <c r="CB35" s="243"/>
      <c r="CC35" s="243"/>
      <c r="CD35" s="243"/>
      <c r="CE35" s="243"/>
      <c r="CF35" s="243"/>
      <c r="CG35" s="243"/>
      <c r="CH35" s="243"/>
      <c r="CI35" s="243"/>
      <c r="CJ35" s="243"/>
      <c r="CK35" s="243"/>
      <c r="CL35" s="243"/>
      <c r="CM35" s="243"/>
      <c r="CN35" s="243"/>
      <c r="CO35" s="243"/>
      <c r="CP35" s="243"/>
      <c r="CQ35" s="243"/>
      <c r="CR35" s="243"/>
      <c r="CS35" s="243"/>
      <c r="CT35" s="243"/>
      <c r="CU35" s="243"/>
      <c r="CV35" s="243"/>
      <c r="CW35" s="243"/>
      <c r="CX35" s="243"/>
      <c r="CY35" s="243"/>
      <c r="CZ35" s="243"/>
      <c r="DA35" s="243"/>
      <c r="DB35" s="243"/>
      <c r="DC35" s="243"/>
      <c r="DD35" s="243"/>
      <c r="DE35" s="243"/>
      <c r="DF35" s="243"/>
      <c r="DH35" s="271"/>
      <c r="DI35" s="271"/>
      <c r="DJ35" s="271"/>
      <c r="DK35" s="271"/>
      <c r="DL35" s="271"/>
      <c r="DM35" s="271"/>
      <c r="DN35" s="235">
        <v>120</v>
      </c>
      <c r="DO35" s="235">
        <v>250</v>
      </c>
      <c r="DP35" s="235">
        <f>SUM(C35:F35)</f>
        <v>328</v>
      </c>
      <c r="DQ35" s="235">
        <f>SUM(G35:J35)</f>
        <v>376</v>
      </c>
      <c r="DR35" s="235">
        <f>SUM(K35:N35)</f>
        <v>454</v>
      </c>
      <c r="DS35" s="235">
        <f>SUM(O35:R35)</f>
        <v>522</v>
      </c>
      <c r="DT35" s="235">
        <f>SUM(S35:V35)</f>
        <v>608</v>
      </c>
      <c r="DU35" s="235">
        <f>SUM(W35:Z35)</f>
        <v>442</v>
      </c>
      <c r="DV35" s="235">
        <f>SUM(AA35:AD35)</f>
        <v>294</v>
      </c>
      <c r="DW35" s="235">
        <v>328</v>
      </c>
      <c r="DX35" s="235">
        <v>181.4</v>
      </c>
      <c r="DY35" s="235"/>
      <c r="DZ35" s="235"/>
      <c r="EA35" s="235"/>
      <c r="EB35" s="235"/>
      <c r="EC35" s="235"/>
      <c r="ED35" s="235"/>
      <c r="EE35" s="235"/>
      <c r="EF35" s="235"/>
      <c r="EG35" s="235"/>
      <c r="EH35" s="235"/>
      <c r="EI35" s="235"/>
      <c r="EJ35" s="235"/>
      <c r="EK35" s="235"/>
      <c r="EL35" s="235"/>
      <c r="EM35" s="235">
        <f t="shared" si="82"/>
        <v>0</v>
      </c>
      <c r="EN35" s="235">
        <f t="shared" si="70"/>
        <v>0</v>
      </c>
      <c r="EO35" s="235">
        <f t="shared" si="120"/>
        <v>0</v>
      </c>
      <c r="EZ35"/>
    </row>
    <row r="36" spans="2:156" s="254" customFormat="1" hidden="1" x14ac:dyDescent="0.2">
      <c r="B36" t="s">
        <v>212</v>
      </c>
      <c r="C36" s="76">
        <f>41+87</f>
        <v>128</v>
      </c>
      <c r="D36" s="76">
        <f>53+103</f>
        <v>156</v>
      </c>
      <c r="E36" s="76">
        <f>64+94</f>
        <v>158</v>
      </c>
      <c r="F36" s="76">
        <f>54+73</f>
        <v>127</v>
      </c>
      <c r="G36" s="76">
        <f>45+63</f>
        <v>108</v>
      </c>
      <c r="H36" s="76">
        <f>63+89</f>
        <v>152</v>
      </c>
      <c r="I36" s="76">
        <f>79+81</f>
        <v>160</v>
      </c>
      <c r="J36" s="76">
        <f>49+80</f>
        <v>129</v>
      </c>
      <c r="K36" s="76">
        <f>58+73</f>
        <v>131</v>
      </c>
      <c r="L36" s="76">
        <f>75+99</f>
        <v>174</v>
      </c>
      <c r="M36" s="76">
        <f>67+96</f>
        <v>163</v>
      </c>
      <c r="N36" s="76">
        <f>37+89</f>
        <v>126</v>
      </c>
      <c r="O36" s="76">
        <f>49+88</f>
        <v>137</v>
      </c>
      <c r="P36" s="76">
        <f>65+117</f>
        <v>182</v>
      </c>
      <c r="Q36" s="76">
        <f>54+106</f>
        <v>160</v>
      </c>
      <c r="R36" s="76">
        <f>31+95</f>
        <v>126</v>
      </c>
      <c r="S36" s="76">
        <f>43+110</f>
        <v>153</v>
      </c>
      <c r="T36" s="76">
        <f>55+105</f>
        <v>160</v>
      </c>
      <c r="U36" s="76">
        <f>34+123</f>
        <v>157</v>
      </c>
      <c r="V36" s="76">
        <f>36+97</f>
        <v>133</v>
      </c>
      <c r="W36" s="76">
        <f>38+103</f>
        <v>141</v>
      </c>
      <c r="X36" s="76">
        <f>36+123</f>
        <v>159</v>
      </c>
      <c r="Y36" s="76">
        <f>31+114</f>
        <v>145</v>
      </c>
      <c r="Z36" s="76">
        <f>28+95</f>
        <v>123</v>
      </c>
      <c r="AA36" s="76">
        <f>30+85</f>
        <v>115</v>
      </c>
      <c r="AB36" s="76">
        <f>34+126</f>
        <v>160</v>
      </c>
      <c r="AC36" s="76">
        <f>35+116</f>
        <v>151</v>
      </c>
      <c r="AD36" s="76">
        <f>31+110</f>
        <v>141</v>
      </c>
      <c r="AE36" s="243">
        <f>28+101</f>
        <v>129</v>
      </c>
      <c r="AF36" s="243">
        <f>32+138</f>
        <v>170</v>
      </c>
      <c r="AG36" s="243">
        <f>29+188</f>
        <v>217</v>
      </c>
      <c r="AH36" s="243">
        <f>28+110</f>
        <v>138</v>
      </c>
      <c r="AI36" s="243">
        <f>20+118</f>
        <v>138</v>
      </c>
      <c r="AJ36" s="243">
        <f>9+158</f>
        <v>167</v>
      </c>
      <c r="AK36" s="243">
        <f>3+101</f>
        <v>104</v>
      </c>
      <c r="AL36" s="243">
        <f>4+94</f>
        <v>98</v>
      </c>
      <c r="AM36" s="237" t="s">
        <v>988</v>
      </c>
      <c r="AN36" s="237" t="s">
        <v>989</v>
      </c>
      <c r="AO36" s="243"/>
      <c r="AP36" s="243"/>
      <c r="AQ36" s="243"/>
      <c r="AR36" s="243"/>
      <c r="AS36" s="243"/>
      <c r="AT36" s="243"/>
      <c r="AU36" s="243"/>
      <c r="AV36" s="243"/>
      <c r="AW36" s="243"/>
      <c r="AX36" s="243"/>
      <c r="AY36" s="243"/>
      <c r="AZ36" s="243"/>
      <c r="BA36" s="243"/>
      <c r="BB36" s="243"/>
      <c r="BC36" s="243"/>
      <c r="BD36" s="243"/>
      <c r="BE36" s="243"/>
      <c r="BF36" s="243"/>
      <c r="BG36" s="243"/>
      <c r="BH36" s="243"/>
      <c r="BI36" s="243"/>
      <c r="BJ36" s="243"/>
      <c r="BK36" s="243"/>
      <c r="BL36" s="243"/>
      <c r="BM36" s="243"/>
      <c r="BN36" s="243"/>
      <c r="BO36" s="243"/>
      <c r="BP36" s="243"/>
      <c r="BQ36" s="243"/>
      <c r="BR36" s="243"/>
      <c r="BS36" s="243"/>
      <c r="BT36" s="243"/>
      <c r="BU36" s="243"/>
      <c r="BV36" s="243"/>
      <c r="BW36" s="243"/>
      <c r="BX36" s="243"/>
      <c r="BY36" s="243"/>
      <c r="BZ36" s="243"/>
      <c r="CA36" s="243"/>
      <c r="CB36" s="243"/>
      <c r="CC36" s="243"/>
      <c r="CD36" s="243"/>
      <c r="CE36" s="243"/>
      <c r="CF36" s="243"/>
      <c r="CG36" s="243"/>
      <c r="CH36" s="243"/>
      <c r="CI36" s="243"/>
      <c r="CJ36" s="243"/>
      <c r="CK36" s="243"/>
      <c r="CL36" s="243"/>
      <c r="CM36" s="243"/>
      <c r="CN36" s="243"/>
      <c r="CO36" s="243"/>
      <c r="CP36" s="243"/>
      <c r="CQ36" s="243"/>
      <c r="CR36" s="243"/>
      <c r="CS36" s="243"/>
      <c r="CT36" s="243"/>
      <c r="CU36" s="243"/>
      <c r="CV36" s="243"/>
      <c r="CW36" s="243"/>
      <c r="CX36" s="243"/>
      <c r="CY36" s="243"/>
      <c r="CZ36" s="243"/>
      <c r="DA36" s="243"/>
      <c r="DB36" s="243"/>
      <c r="DC36" s="243"/>
      <c r="DD36" s="243"/>
      <c r="DE36" s="243"/>
      <c r="DF36" s="243"/>
      <c r="DH36" s="271"/>
      <c r="DI36" s="271"/>
      <c r="DJ36" s="271"/>
      <c r="DK36" s="271"/>
      <c r="DL36" s="271"/>
      <c r="DM36" s="271"/>
      <c r="DN36" s="235">
        <v>450</v>
      </c>
      <c r="DO36" s="235">
        <v>625</v>
      </c>
      <c r="DP36" s="235">
        <f>SUM(C36:F36)</f>
        <v>569</v>
      </c>
      <c r="DQ36" s="235">
        <f>SUM(G36:J36)</f>
        <v>549</v>
      </c>
      <c r="DR36" s="235">
        <f>SUM(K36:N36)</f>
        <v>594</v>
      </c>
      <c r="DS36" s="235">
        <f>SUM(O36:R36)</f>
        <v>605</v>
      </c>
      <c r="DT36" s="235">
        <f>SUM(S36:V36)</f>
        <v>603</v>
      </c>
      <c r="DU36" s="235">
        <f>SUM(W36:Z36)</f>
        <v>568</v>
      </c>
      <c r="DV36" s="235">
        <f>SUM(AA36:AD36)</f>
        <v>567</v>
      </c>
      <c r="DW36" s="235">
        <f>SUM(AE36:AH36)</f>
        <v>654</v>
      </c>
      <c r="DX36" s="235">
        <v>507</v>
      </c>
      <c r="DY36" s="235"/>
      <c r="DZ36" s="235"/>
      <c r="EA36" s="235"/>
      <c r="EB36" s="235"/>
      <c r="EC36" s="235"/>
      <c r="ED36" s="235"/>
      <c r="EE36" s="235"/>
      <c r="EF36" s="235"/>
      <c r="EG36" s="235"/>
      <c r="EH36" s="235"/>
      <c r="EI36" s="235"/>
      <c r="EJ36" s="235"/>
      <c r="EK36" s="235"/>
      <c r="EL36" s="235"/>
      <c r="EM36" s="235">
        <f t="shared" si="82"/>
        <v>0</v>
      </c>
      <c r="EN36" s="235">
        <f t="shared" si="70"/>
        <v>0</v>
      </c>
      <c r="EO36" s="235">
        <f t="shared" si="120"/>
        <v>0</v>
      </c>
      <c r="EZ36"/>
    </row>
    <row r="37" spans="2:156" s="254" customFormat="1" hidden="1" x14ac:dyDescent="0.2">
      <c r="B37" t="s">
        <v>332</v>
      </c>
      <c r="C37" s="76">
        <f>144+31</f>
        <v>175</v>
      </c>
      <c r="D37" s="76">
        <f>162+32</f>
        <v>194</v>
      </c>
      <c r="E37" s="76">
        <f>118+30</f>
        <v>148</v>
      </c>
      <c r="F37" s="76">
        <f>124+29</f>
        <v>153</v>
      </c>
      <c r="G37" s="76">
        <f>179+29</f>
        <v>208</v>
      </c>
      <c r="H37" s="76">
        <f>133+31</f>
        <v>164</v>
      </c>
      <c r="I37" s="76">
        <f>174+30</f>
        <v>204</v>
      </c>
      <c r="J37" s="76">
        <f>153+31</f>
        <v>184</v>
      </c>
      <c r="K37" s="243">
        <f>202+31</f>
        <v>233</v>
      </c>
      <c r="L37" s="243">
        <f>197+31</f>
        <v>228</v>
      </c>
      <c r="M37" s="243">
        <f>216+34</f>
        <v>250</v>
      </c>
      <c r="N37" s="243">
        <f>173+30</f>
        <v>203</v>
      </c>
      <c r="O37" s="76">
        <f>222+29</f>
        <v>251</v>
      </c>
      <c r="P37" s="76">
        <f>249+29</f>
        <v>278</v>
      </c>
      <c r="Q37" s="76">
        <f>213+29</f>
        <v>242</v>
      </c>
      <c r="R37" s="76">
        <f>158+28</f>
        <v>186</v>
      </c>
      <c r="S37" s="76">
        <f>231+26</f>
        <v>257</v>
      </c>
      <c r="T37" s="76">
        <f>260+27</f>
        <v>287</v>
      </c>
      <c r="U37" s="76">
        <f>168+29</f>
        <v>197</v>
      </c>
      <c r="V37" s="76">
        <f>233+29</f>
        <v>262</v>
      </c>
      <c r="W37" s="76">
        <f>224+24</f>
        <v>248</v>
      </c>
      <c r="X37" s="76">
        <f>221+28</f>
        <v>249</v>
      </c>
      <c r="Y37" s="76">
        <f>237+30</f>
        <v>267</v>
      </c>
      <c r="Z37" s="76">
        <f>211+28</f>
        <v>239</v>
      </c>
      <c r="AA37" s="76">
        <f>239+29</f>
        <v>268</v>
      </c>
      <c r="AB37" s="76">
        <f>254+33</f>
        <v>287</v>
      </c>
      <c r="AC37" s="76">
        <f>259+33</f>
        <v>292</v>
      </c>
      <c r="AD37" s="76">
        <f>291+37</f>
        <v>328</v>
      </c>
      <c r="AE37" s="243">
        <f>263+42</f>
        <v>305</v>
      </c>
      <c r="AF37" s="243">
        <f>323+43</f>
        <v>366</v>
      </c>
      <c r="AG37" s="243">
        <f>256+49</f>
        <v>305</v>
      </c>
      <c r="AH37" s="243">
        <f>253+50</f>
        <v>303</v>
      </c>
      <c r="AI37" s="243">
        <f>245+57</f>
        <v>302</v>
      </c>
      <c r="AJ37" s="243">
        <f>245+57</f>
        <v>302</v>
      </c>
      <c r="AK37" s="243">
        <f>227+54</f>
        <v>281</v>
      </c>
      <c r="AL37" s="243">
        <f>206+51</f>
        <v>257</v>
      </c>
      <c r="AM37" s="243">
        <f>198+56</f>
        <v>254</v>
      </c>
      <c r="AN37" s="243">
        <f>188+59</f>
        <v>247</v>
      </c>
      <c r="AO37" s="243">
        <v>270</v>
      </c>
      <c r="AP37" s="243">
        <v>244</v>
      </c>
      <c r="AQ37" s="243">
        <v>237</v>
      </c>
      <c r="AR37" s="243">
        <v>240</v>
      </c>
      <c r="AS37" s="243">
        <v>233</v>
      </c>
      <c r="AT37" s="243">
        <v>215</v>
      </c>
      <c r="AU37" s="243">
        <f>AQ37*0.85</f>
        <v>201.45</v>
      </c>
      <c r="AV37" s="243"/>
      <c r="AW37" s="243"/>
      <c r="AX37" s="243"/>
      <c r="AY37" s="243"/>
      <c r="AZ37" s="243"/>
      <c r="BA37" s="243"/>
      <c r="BB37" s="243"/>
      <c r="BC37" s="243"/>
      <c r="BD37" s="243"/>
      <c r="BE37" s="243"/>
      <c r="BF37" s="243"/>
      <c r="BG37" s="243"/>
      <c r="BH37" s="243"/>
      <c r="BI37" s="243"/>
      <c r="BJ37" s="243"/>
      <c r="BK37" s="243"/>
      <c r="BL37" s="243"/>
      <c r="BM37" s="243"/>
      <c r="BN37" s="243"/>
      <c r="BO37" s="243"/>
      <c r="BP37" s="243"/>
      <c r="BQ37" s="243"/>
      <c r="BR37" s="243"/>
      <c r="BS37" s="243"/>
      <c r="BT37" s="243"/>
      <c r="BU37" s="243"/>
      <c r="BV37" s="243"/>
      <c r="BW37" s="243"/>
      <c r="BX37" s="243"/>
      <c r="BY37" s="243"/>
      <c r="BZ37" s="243"/>
      <c r="CA37" s="243"/>
      <c r="CB37" s="243"/>
      <c r="CC37" s="243"/>
      <c r="CD37" s="243"/>
      <c r="CE37" s="243"/>
      <c r="CF37" s="243"/>
      <c r="CG37" s="243"/>
      <c r="CH37" s="243"/>
      <c r="CI37" s="243"/>
      <c r="CJ37" s="243"/>
      <c r="CK37" s="243"/>
      <c r="CL37" s="243"/>
      <c r="CM37" s="243"/>
      <c r="CN37" s="243"/>
      <c r="CO37" s="243"/>
      <c r="CP37" s="243"/>
      <c r="CQ37" s="243"/>
      <c r="CR37" s="243"/>
      <c r="CS37" s="243"/>
      <c r="CT37" s="243"/>
      <c r="CU37" s="243"/>
      <c r="CV37" s="243"/>
      <c r="CW37" s="243"/>
      <c r="CX37" s="243"/>
      <c r="CY37" s="243"/>
      <c r="CZ37" s="243"/>
      <c r="DA37" s="243"/>
      <c r="DB37" s="243"/>
      <c r="DC37" s="243"/>
      <c r="DD37" s="243"/>
      <c r="DE37" s="243"/>
      <c r="DF37" s="243"/>
      <c r="DH37" s="271"/>
      <c r="DI37" s="271"/>
      <c r="DJ37" s="271"/>
      <c r="DK37" s="271"/>
      <c r="DL37" s="271"/>
      <c r="DM37" s="271"/>
      <c r="DN37" s="235">
        <v>570</v>
      </c>
      <c r="DO37" s="235">
        <v>545</v>
      </c>
      <c r="DP37" s="235">
        <f>SUM(C37:F37)</f>
        <v>670</v>
      </c>
      <c r="DQ37" s="235">
        <f>SUM(G37:J37)</f>
        <v>760</v>
      </c>
      <c r="DR37" s="235">
        <f>SUM(K37:N37)</f>
        <v>914</v>
      </c>
      <c r="DS37" s="235">
        <f>SUM(O37:R37)</f>
        <v>957</v>
      </c>
      <c r="DT37" s="235">
        <f>SUM(S37:V37)</f>
        <v>1003</v>
      </c>
      <c r="DU37" s="235">
        <f>SUM(W37:Z37)</f>
        <v>1003</v>
      </c>
      <c r="DV37" s="235">
        <f>SUM(AA37:AD37)</f>
        <v>1175</v>
      </c>
      <c r="DW37" s="235">
        <f>SUM(AE37:AH37)</f>
        <v>1279</v>
      </c>
      <c r="DX37" s="235">
        <v>1136</v>
      </c>
      <c r="DY37" s="235">
        <f>SUM(AM37:AP37)</f>
        <v>1015</v>
      </c>
      <c r="DZ37" s="235">
        <f>SUM(AQ37:AT37)</f>
        <v>925</v>
      </c>
      <c r="EA37" s="235">
        <f>SUM(AU37:AX37)</f>
        <v>201.45</v>
      </c>
      <c r="EB37" s="235"/>
      <c r="EC37" s="235"/>
      <c r="ED37" s="235"/>
      <c r="EE37" s="235"/>
      <c r="EF37" s="235"/>
      <c r="EG37" s="235"/>
      <c r="EH37" s="235"/>
      <c r="EI37" s="235"/>
      <c r="EJ37" s="235"/>
      <c r="EK37" s="235"/>
      <c r="EL37" s="235"/>
      <c r="EM37" s="235">
        <f t="shared" si="82"/>
        <v>0</v>
      </c>
      <c r="EN37" s="235">
        <f t="shared" si="70"/>
        <v>0</v>
      </c>
      <c r="EO37" s="235">
        <f t="shared" si="120"/>
        <v>0</v>
      </c>
    </row>
    <row r="38" spans="2:156" s="254" customFormat="1" hidden="1" x14ac:dyDescent="0.2">
      <c r="B38" t="s">
        <v>117</v>
      </c>
      <c r="C38" s="76"/>
      <c r="D38" s="76"/>
      <c r="E38" s="76"/>
      <c r="F38" s="76"/>
      <c r="G38" s="76"/>
      <c r="H38" s="76"/>
      <c r="I38" s="76"/>
      <c r="J38" s="76"/>
      <c r="K38" s="76"/>
      <c r="L38" s="76"/>
      <c r="M38" s="76"/>
      <c r="N38" s="76"/>
      <c r="O38" s="76"/>
      <c r="P38" s="76"/>
      <c r="Q38" s="76"/>
      <c r="R38" s="76"/>
      <c r="S38" s="76"/>
      <c r="T38" s="76"/>
      <c r="U38" s="76"/>
      <c r="V38" s="76"/>
      <c r="W38" s="76"/>
      <c r="X38" s="76"/>
      <c r="Y38" s="76"/>
      <c r="Z38" s="76"/>
      <c r="AA38" s="76">
        <v>340</v>
      </c>
      <c r="AB38" s="76">
        <v>338</v>
      </c>
      <c r="AC38" s="76">
        <v>350</v>
      </c>
      <c r="AD38" s="76">
        <v>336</v>
      </c>
      <c r="AE38" s="243">
        <v>425</v>
      </c>
      <c r="AF38" s="243">
        <v>408</v>
      </c>
      <c r="AG38" s="243">
        <v>420</v>
      </c>
      <c r="AH38" s="243">
        <v>424</v>
      </c>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H38" s="244" t="s">
        <v>122</v>
      </c>
      <c r="DI38" s="235"/>
      <c r="DJ38" s="235"/>
      <c r="DK38" s="235"/>
      <c r="DL38" s="235"/>
      <c r="DM38" s="235"/>
      <c r="DN38" s="235"/>
      <c r="DO38" s="235"/>
      <c r="DP38" s="235"/>
      <c r="DQ38" s="235"/>
      <c r="DR38" s="235"/>
      <c r="DS38" s="235">
        <v>679</v>
      </c>
      <c r="DT38" s="235">
        <v>1042</v>
      </c>
      <c r="DU38" s="235">
        <v>1114</v>
      </c>
      <c r="DV38" s="235">
        <f>SUM(AA38:AD38)</f>
        <v>1364</v>
      </c>
      <c r="DW38" s="235">
        <v>1674</v>
      </c>
      <c r="DX38" s="235"/>
      <c r="DY38" s="235"/>
      <c r="DZ38" s="235"/>
      <c r="EA38" s="235"/>
      <c r="EB38" s="235"/>
      <c r="EC38" s="235"/>
      <c r="ED38" s="235"/>
      <c r="EE38" s="235"/>
      <c r="EF38" s="235"/>
      <c r="EG38" s="235"/>
      <c r="EH38" s="76"/>
      <c r="EI38" s="76"/>
      <c r="EJ38" s="76"/>
      <c r="EK38" s="76"/>
      <c r="EL38" s="76"/>
      <c r="EM38" s="235">
        <f t="shared" si="82"/>
        <v>0</v>
      </c>
      <c r="EN38" s="235">
        <f t="shared" si="70"/>
        <v>0</v>
      </c>
      <c r="EO38" s="235">
        <f t="shared" si="120"/>
        <v>0</v>
      </c>
      <c r="EZ38"/>
    </row>
    <row r="39" spans="2:156" s="254" customFormat="1" hidden="1" x14ac:dyDescent="0.2">
      <c r="B39" t="s">
        <v>633</v>
      </c>
      <c r="C39" s="76"/>
      <c r="D39" s="76"/>
      <c r="E39" s="76"/>
      <c r="F39" s="76"/>
      <c r="G39" s="76"/>
      <c r="H39" s="76"/>
      <c r="I39" s="76"/>
      <c r="J39" s="76"/>
      <c r="K39" s="76"/>
      <c r="L39" s="76"/>
      <c r="M39" s="76"/>
      <c r="N39" s="76"/>
      <c r="O39" s="76"/>
      <c r="P39" s="76"/>
      <c r="Q39" s="76"/>
      <c r="R39" s="76"/>
      <c r="S39" s="76">
        <v>2</v>
      </c>
      <c r="T39" s="76">
        <v>10</v>
      </c>
      <c r="U39" s="76">
        <v>14</v>
      </c>
      <c r="V39" s="236" t="s">
        <v>421</v>
      </c>
      <c r="W39" s="236" t="s">
        <v>990</v>
      </c>
      <c r="X39" s="236" t="s">
        <v>422</v>
      </c>
      <c r="Y39" s="236" t="s">
        <v>417</v>
      </c>
      <c r="Z39" s="236" t="s">
        <v>423</v>
      </c>
      <c r="AA39" s="236" t="s">
        <v>425</v>
      </c>
      <c r="AB39" s="236" t="s">
        <v>426</v>
      </c>
      <c r="AC39" s="236" t="s">
        <v>427</v>
      </c>
      <c r="AD39" s="236" t="s">
        <v>927</v>
      </c>
      <c r="AE39" s="236" t="s">
        <v>429</v>
      </c>
      <c r="AF39" s="236" t="s">
        <v>430</v>
      </c>
      <c r="AG39" s="236" t="s">
        <v>431</v>
      </c>
      <c r="AH39" s="236" t="s">
        <v>432</v>
      </c>
      <c r="AI39" s="237" t="s">
        <v>434</v>
      </c>
      <c r="AJ39" s="237" t="s">
        <v>434</v>
      </c>
      <c r="AK39" s="237" t="s">
        <v>434</v>
      </c>
      <c r="AL39" s="237" t="s">
        <v>430</v>
      </c>
      <c r="AM39" s="237" t="s">
        <v>991</v>
      </c>
      <c r="AN39" s="237" t="s">
        <v>991</v>
      </c>
      <c r="AO39" s="243"/>
      <c r="AP39" s="243"/>
      <c r="AQ39" s="243">
        <v>128</v>
      </c>
      <c r="AR39" s="243">
        <v>132</v>
      </c>
      <c r="AS39" s="243">
        <v>130</v>
      </c>
      <c r="AT39" s="243">
        <v>141</v>
      </c>
      <c r="AU39" s="243">
        <v>149</v>
      </c>
      <c r="AV39" s="243">
        <v>152</v>
      </c>
      <c r="AW39" s="243">
        <v>138</v>
      </c>
      <c r="AX39" s="243">
        <v>102</v>
      </c>
      <c r="AY39" s="243">
        <v>101</v>
      </c>
      <c r="AZ39" s="243">
        <v>107</v>
      </c>
      <c r="BA39" s="243">
        <v>97</v>
      </c>
      <c r="BB39" s="243">
        <v>110</v>
      </c>
      <c r="BC39" s="243"/>
      <c r="BD39" s="243"/>
      <c r="BE39" s="243"/>
      <c r="BF39" s="243"/>
      <c r="BG39" s="243"/>
      <c r="BH39" s="243"/>
      <c r="BI39" s="76"/>
      <c r="BJ39" s="76"/>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H39" s="235"/>
      <c r="DI39" s="235"/>
      <c r="DJ39" s="235"/>
      <c r="DK39" s="235"/>
      <c r="DL39" s="235"/>
      <c r="DM39" s="235"/>
      <c r="DN39" s="235"/>
      <c r="DO39" s="235"/>
      <c r="DP39" s="235"/>
      <c r="DQ39" s="235"/>
      <c r="DR39" s="235"/>
      <c r="DS39" s="235"/>
      <c r="DT39" s="235">
        <v>25</v>
      </c>
      <c r="DU39" s="244" t="s">
        <v>424</v>
      </c>
      <c r="DV39" s="244" t="s">
        <v>428</v>
      </c>
      <c r="DW39" s="244" t="s">
        <v>433</v>
      </c>
      <c r="DX39" s="244" t="s">
        <v>435</v>
      </c>
      <c r="DY39" s="235"/>
      <c r="DZ39" s="235">
        <f>SUM(AQ39:AT39)</f>
        <v>531</v>
      </c>
      <c r="EA39" s="235">
        <f>SUM(AU39:AX39)</f>
        <v>541</v>
      </c>
      <c r="EB39" s="235">
        <f>SUM(AY39:BB39)</f>
        <v>415</v>
      </c>
      <c r="EC39" s="235"/>
      <c r="ED39" s="235"/>
      <c r="EE39" s="235"/>
      <c r="EF39" s="235"/>
      <c r="EG39" s="235"/>
      <c r="EH39" s="235"/>
      <c r="EI39" s="235"/>
      <c r="EJ39" s="235"/>
      <c r="EK39" s="235"/>
      <c r="EL39" s="235"/>
      <c r="EM39" s="235">
        <f t="shared" si="82"/>
        <v>0</v>
      </c>
      <c r="EN39" s="235">
        <f t="shared" si="70"/>
        <v>0</v>
      </c>
      <c r="EO39" s="235">
        <f t="shared" si="120"/>
        <v>0</v>
      </c>
      <c r="EP39" s="235"/>
      <c r="EQ39" s="235"/>
      <c r="ER39" s="235"/>
      <c r="ES39" s="235"/>
      <c r="ET39" s="235"/>
      <c r="EU39" s="235"/>
      <c r="EV39" s="235"/>
      <c r="EW39" s="235"/>
    </row>
    <row r="40" spans="2:156" s="254" customFormat="1" x14ac:dyDescent="0.2">
      <c r="B40" t="s">
        <v>1795</v>
      </c>
      <c r="C40" s="76"/>
      <c r="D40" s="76"/>
      <c r="E40" s="76"/>
      <c r="F40" s="76"/>
      <c r="G40" s="76"/>
      <c r="H40" s="76"/>
      <c r="I40" s="76"/>
      <c r="J40" s="76"/>
      <c r="K40" s="76"/>
      <c r="L40" s="76"/>
      <c r="M40" s="76"/>
      <c r="N40" s="76"/>
      <c r="O40" s="76"/>
      <c r="P40" s="76"/>
      <c r="Q40" s="76"/>
      <c r="R40" s="76"/>
      <c r="S40" s="76"/>
      <c r="T40" s="76"/>
      <c r="U40" s="76"/>
      <c r="V40" s="236"/>
      <c r="W40" s="236"/>
      <c r="X40" s="236"/>
      <c r="Y40" s="236"/>
      <c r="Z40" s="236"/>
      <c r="AA40" s="236"/>
      <c r="AB40" s="236"/>
      <c r="AC40" s="236"/>
      <c r="AD40" s="236"/>
      <c r="AE40" s="236"/>
      <c r="AF40" s="236"/>
      <c r="AG40" s="236"/>
      <c r="AH40" s="236"/>
      <c r="AI40" s="237"/>
      <c r="AJ40" s="237"/>
      <c r="AK40" s="237"/>
      <c r="AL40" s="237"/>
      <c r="AM40" s="237"/>
      <c r="AN40" s="237"/>
      <c r="AO40" s="243"/>
      <c r="AP40" s="243"/>
      <c r="AQ40" s="243"/>
      <c r="AR40" s="243"/>
      <c r="AS40" s="243"/>
      <c r="AT40" s="243"/>
      <c r="AU40" s="243"/>
      <c r="AV40" s="243"/>
      <c r="AW40" s="243"/>
      <c r="AX40" s="243"/>
      <c r="AY40" s="243"/>
      <c r="AZ40" s="243"/>
      <c r="BA40" s="243"/>
      <c r="BB40" s="243"/>
      <c r="BC40" s="243"/>
      <c r="BD40" s="243"/>
      <c r="BE40" s="243"/>
      <c r="BF40" s="243"/>
      <c r="BG40" s="243"/>
      <c r="BH40" s="243"/>
      <c r="BI40" s="76"/>
      <c r="BJ40" s="76"/>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v>140</v>
      </c>
      <c r="CJ40" s="243">
        <v>143</v>
      </c>
      <c r="CK40" s="243">
        <v>139</v>
      </c>
      <c r="CL40" s="243">
        <v>124</v>
      </c>
      <c r="CM40" s="243">
        <v>117</v>
      </c>
      <c r="CN40" s="243">
        <v>103</v>
      </c>
      <c r="CO40" s="243">
        <v>65</v>
      </c>
      <c r="CP40" s="243">
        <v>56</v>
      </c>
      <c r="CQ40" s="243">
        <v>0</v>
      </c>
      <c r="CR40" s="243">
        <v>0</v>
      </c>
      <c r="CS40" s="243">
        <v>0</v>
      </c>
      <c r="CT40" s="243">
        <v>0</v>
      </c>
      <c r="CU40" s="243">
        <v>0</v>
      </c>
      <c r="CV40" s="243">
        <v>0</v>
      </c>
      <c r="CW40" s="243">
        <v>0</v>
      </c>
      <c r="CX40" s="243">
        <v>0</v>
      </c>
      <c r="CY40" s="243">
        <v>0</v>
      </c>
      <c r="CZ40" s="243">
        <v>0</v>
      </c>
      <c r="DA40" s="243">
        <v>0</v>
      </c>
      <c r="DB40" s="243">
        <v>0</v>
      </c>
      <c r="DC40" s="243">
        <v>0</v>
      </c>
      <c r="DD40" s="243">
        <v>0</v>
      </c>
      <c r="DE40" s="243">
        <v>0</v>
      </c>
      <c r="DF40" s="243">
        <v>0</v>
      </c>
      <c r="DH40" s="235"/>
      <c r="DI40" s="235"/>
      <c r="DJ40" s="235"/>
      <c r="DK40" s="235"/>
      <c r="DL40" s="235"/>
      <c r="DM40" s="235"/>
      <c r="DN40" s="235"/>
      <c r="DO40" s="235"/>
      <c r="DP40" s="235"/>
      <c r="DQ40" s="235"/>
      <c r="DR40" s="235"/>
      <c r="DS40" s="235"/>
      <c r="DT40" s="235"/>
      <c r="DU40" s="244"/>
      <c r="DV40" s="244"/>
      <c r="DW40" s="244"/>
      <c r="DX40" s="244"/>
      <c r="DY40" s="235"/>
      <c r="DZ40" s="235"/>
      <c r="EA40" s="235"/>
      <c r="EB40" s="235"/>
      <c r="EC40" s="235"/>
      <c r="ED40" s="235"/>
      <c r="EE40" s="235"/>
      <c r="EF40" s="235"/>
      <c r="EG40" s="235"/>
      <c r="EH40" s="235"/>
      <c r="EI40" s="235"/>
      <c r="EJ40" s="235"/>
      <c r="EK40" s="235"/>
      <c r="EL40" s="235"/>
      <c r="EM40" s="235"/>
      <c r="EN40" s="235"/>
      <c r="EO40" s="235"/>
      <c r="EP40" s="235"/>
      <c r="EQ40" s="235"/>
      <c r="ER40" s="235"/>
      <c r="ES40" s="235"/>
      <c r="ET40" s="235"/>
      <c r="EU40" s="235"/>
      <c r="EV40" s="235"/>
      <c r="EW40" s="235"/>
    </row>
    <row r="41" spans="2:156" s="254" customFormat="1" x14ac:dyDescent="0.2">
      <c r="B41" t="s">
        <v>1707</v>
      </c>
      <c r="C41" s="76"/>
      <c r="D41" s="76"/>
      <c r="E41" s="76"/>
      <c r="F41" s="76"/>
      <c r="G41" s="76"/>
      <c r="H41" s="76"/>
      <c r="I41" s="76"/>
      <c r="J41" s="76"/>
      <c r="K41" s="76"/>
      <c r="L41" s="76"/>
      <c r="M41" s="76"/>
      <c r="N41" s="76"/>
      <c r="O41" s="76"/>
      <c r="P41" s="76"/>
      <c r="Q41" s="76"/>
      <c r="R41" s="76"/>
      <c r="S41" s="76"/>
      <c r="T41" s="76"/>
      <c r="U41" s="76"/>
      <c r="V41" s="236"/>
      <c r="W41" s="236"/>
      <c r="X41" s="236"/>
      <c r="Y41" s="236"/>
      <c r="Z41" s="236"/>
      <c r="AA41" s="236"/>
      <c r="AB41" s="236"/>
      <c r="AC41" s="236"/>
      <c r="AD41" s="236"/>
      <c r="AE41" s="236"/>
      <c r="AF41" s="236"/>
      <c r="AG41" s="236"/>
      <c r="AH41" s="236"/>
      <c r="AI41" s="237"/>
      <c r="AJ41" s="237"/>
      <c r="AK41" s="237"/>
      <c r="AL41" s="237"/>
      <c r="AM41" s="237"/>
      <c r="AN41" s="237"/>
      <c r="AO41" s="243"/>
      <c r="AP41" s="243"/>
      <c r="AQ41" s="243"/>
      <c r="AR41" s="243"/>
      <c r="AS41" s="243"/>
      <c r="AT41" s="243"/>
      <c r="AU41" s="243"/>
      <c r="AV41" s="243"/>
      <c r="AW41" s="243"/>
      <c r="AX41" s="243"/>
      <c r="AY41" s="243"/>
      <c r="AZ41" s="243"/>
      <c r="BA41" s="243"/>
      <c r="BB41" s="243"/>
      <c r="BC41" s="243"/>
      <c r="BD41" s="243"/>
      <c r="BE41" s="243"/>
      <c r="BF41" s="243"/>
      <c r="BG41" s="243"/>
      <c r="BH41" s="243"/>
      <c r="BI41" s="76"/>
      <c r="BJ41" s="76"/>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v>34</v>
      </c>
      <c r="CJ41" s="243">
        <v>40</v>
      </c>
      <c r="CK41" s="243">
        <v>36</v>
      </c>
      <c r="CL41" s="243">
        <v>39</v>
      </c>
      <c r="CM41" s="243">
        <v>35</v>
      </c>
      <c r="CN41" s="243">
        <v>37</v>
      </c>
      <c r="CO41" s="243">
        <v>31</v>
      </c>
      <c r="CP41" s="243">
        <v>32</v>
      </c>
      <c r="CQ41" s="243">
        <v>106</v>
      </c>
      <c r="CR41" s="243">
        <v>101</v>
      </c>
      <c r="CS41" s="243">
        <v>97</v>
      </c>
      <c r="CT41" s="243">
        <v>112</v>
      </c>
      <c r="CU41" s="243">
        <v>105</v>
      </c>
      <c r="CV41" s="243">
        <v>95</v>
      </c>
      <c r="CW41" s="243">
        <v>101</v>
      </c>
      <c r="CX41" s="243">
        <v>94</v>
      </c>
      <c r="CY41" s="243">
        <v>83</v>
      </c>
      <c r="CZ41" s="243">
        <v>78</v>
      </c>
      <c r="DA41" s="243">
        <v>78</v>
      </c>
      <c r="DB41" s="243">
        <f t="shared" ref="DB41:DF41" si="134">+DA41</f>
        <v>78</v>
      </c>
      <c r="DC41" s="243">
        <f t="shared" si="134"/>
        <v>78</v>
      </c>
      <c r="DD41" s="243">
        <f t="shared" si="134"/>
        <v>78</v>
      </c>
      <c r="DE41" s="243">
        <f t="shared" si="134"/>
        <v>78</v>
      </c>
      <c r="DF41" s="243">
        <f t="shared" si="134"/>
        <v>78</v>
      </c>
      <c r="DH41" s="235"/>
      <c r="DI41" s="235"/>
      <c r="DJ41" s="235"/>
      <c r="DK41" s="235"/>
      <c r="DL41" s="235"/>
      <c r="DM41" s="235"/>
      <c r="DN41" s="235"/>
      <c r="DO41" s="235"/>
      <c r="DP41" s="235"/>
      <c r="DQ41" s="235"/>
      <c r="DR41" s="235"/>
      <c r="DS41" s="235"/>
      <c r="DT41" s="235"/>
      <c r="DU41" s="244"/>
      <c r="DV41" s="244"/>
      <c r="DW41" s="244"/>
      <c r="DX41" s="244"/>
      <c r="DY41" s="235"/>
      <c r="DZ41" s="235"/>
      <c r="EA41" s="235"/>
      <c r="EB41" s="235"/>
      <c r="EC41" s="235"/>
      <c r="ED41" s="235"/>
      <c r="EE41" s="235"/>
      <c r="EF41" s="235"/>
      <c r="EG41" s="235"/>
      <c r="EH41" s="235"/>
      <c r="EI41" s="235"/>
      <c r="EJ41" s="235"/>
      <c r="EK41" s="235"/>
      <c r="EL41" s="235"/>
      <c r="EM41" s="235">
        <f t="shared" si="82"/>
        <v>416</v>
      </c>
      <c r="EN41" s="235">
        <f t="shared" si="70"/>
        <v>395</v>
      </c>
      <c r="EO41" s="235">
        <f t="shared" si="120"/>
        <v>317</v>
      </c>
      <c r="EP41" s="235">
        <f>+EO41</f>
        <v>317</v>
      </c>
      <c r="EQ41" s="235">
        <f t="shared" ref="EQ41:EW41" si="135">+EP41</f>
        <v>317</v>
      </c>
      <c r="ER41" s="235">
        <f t="shared" si="135"/>
        <v>317</v>
      </c>
      <c r="ES41" s="235">
        <f t="shared" si="135"/>
        <v>317</v>
      </c>
      <c r="ET41" s="235">
        <f t="shared" si="135"/>
        <v>317</v>
      </c>
      <c r="EU41" s="235">
        <f t="shared" si="135"/>
        <v>317</v>
      </c>
      <c r="EV41" s="235">
        <f t="shared" si="135"/>
        <v>317</v>
      </c>
      <c r="EW41" s="235">
        <f t="shared" si="135"/>
        <v>317</v>
      </c>
    </row>
    <row r="42" spans="2:156" s="254" customFormat="1" ht="12.75" customHeight="1" x14ac:dyDescent="0.2">
      <c r="B42" t="s">
        <v>193</v>
      </c>
      <c r="C42" s="76"/>
      <c r="D42" s="76"/>
      <c r="E42" s="76"/>
      <c r="F42" s="76"/>
      <c r="G42" s="76"/>
      <c r="H42" s="76"/>
      <c r="I42" s="76"/>
      <c r="J42" s="76"/>
      <c r="K42" s="76"/>
      <c r="L42" s="76"/>
      <c r="M42" s="76"/>
      <c r="N42" s="76"/>
      <c r="O42" s="76"/>
      <c r="P42" s="76"/>
      <c r="Q42" s="76"/>
      <c r="R42" s="76"/>
      <c r="S42" s="76"/>
      <c r="T42" s="76"/>
      <c r="U42" s="76"/>
      <c r="V42" s="76"/>
      <c r="W42" s="268"/>
      <c r="X42" s="268"/>
      <c r="Y42" s="268"/>
      <c r="Z42" s="268"/>
      <c r="AA42" s="268"/>
      <c r="AB42" s="268"/>
      <c r="AC42" s="268"/>
      <c r="AD42" s="268"/>
      <c r="AE42" s="269"/>
      <c r="AF42" s="243"/>
      <c r="AG42" s="243"/>
      <c r="AH42" s="243"/>
      <c r="AI42" s="243"/>
      <c r="AJ42" s="243"/>
      <c r="AK42" s="243"/>
      <c r="AL42" s="243"/>
      <c r="AM42" s="243"/>
      <c r="AN42" s="243"/>
      <c r="AO42" s="243"/>
      <c r="AP42" s="243"/>
      <c r="AQ42" s="243"/>
      <c r="AR42" s="243"/>
      <c r="AS42" s="243"/>
      <c r="AT42" s="243"/>
      <c r="AU42" s="243"/>
      <c r="AV42" s="243"/>
      <c r="AW42" s="243"/>
      <c r="AX42" s="243"/>
      <c r="AY42" s="76"/>
      <c r="AZ42" s="76"/>
      <c r="BA42" s="76"/>
      <c r="BB42" s="76"/>
      <c r="BC42" s="76"/>
      <c r="BD42" s="76"/>
      <c r="BE42" s="76"/>
      <c r="BF42" s="76"/>
      <c r="BG42" s="76"/>
      <c r="BH42" s="76"/>
      <c r="BI42" s="76"/>
      <c r="BJ42" s="76"/>
      <c r="BK42" s="243">
        <v>27</v>
      </c>
      <c r="BL42" s="243">
        <v>49</v>
      </c>
      <c r="BM42" s="243">
        <v>68</v>
      </c>
      <c r="BN42" s="243">
        <v>95</v>
      </c>
      <c r="BO42" s="243">
        <v>158</v>
      </c>
      <c r="BP42" s="243">
        <v>189</v>
      </c>
      <c r="BQ42" s="243">
        <v>246</v>
      </c>
      <c r="BR42" s="243">
        <v>271</v>
      </c>
      <c r="BS42" s="243">
        <v>319</v>
      </c>
      <c r="BT42" s="243">
        <v>361</v>
      </c>
      <c r="BU42" s="243">
        <f>+BT42+50</f>
        <v>411</v>
      </c>
      <c r="BV42" s="243">
        <f t="shared" ref="BV42:BZ42" si="136">+BU42+50</f>
        <v>461</v>
      </c>
      <c r="BW42" s="243">
        <f t="shared" si="136"/>
        <v>511</v>
      </c>
      <c r="BX42" s="243">
        <f t="shared" si="136"/>
        <v>561</v>
      </c>
      <c r="BY42" s="243">
        <f t="shared" si="136"/>
        <v>611</v>
      </c>
      <c r="BZ42" s="243">
        <f t="shared" si="136"/>
        <v>661</v>
      </c>
      <c r="CA42" s="243"/>
      <c r="CB42" s="243"/>
      <c r="CC42" s="243"/>
      <c r="CD42" s="243"/>
      <c r="CE42" s="243"/>
      <c r="CF42" s="243"/>
      <c r="CG42" s="243"/>
      <c r="CH42" s="243"/>
      <c r="CI42" s="243">
        <v>578</v>
      </c>
      <c r="CJ42" s="243">
        <v>679</v>
      </c>
      <c r="CK42" s="243">
        <v>612</v>
      </c>
      <c r="CL42" s="243">
        <v>608</v>
      </c>
      <c r="CM42" s="243">
        <v>542</v>
      </c>
      <c r="CN42" s="243">
        <v>549</v>
      </c>
      <c r="CO42" s="243">
        <v>613</v>
      </c>
      <c r="CP42" s="243">
        <v>609</v>
      </c>
      <c r="CQ42" s="243">
        <v>527</v>
      </c>
      <c r="CR42" s="243">
        <v>559</v>
      </c>
      <c r="CS42" s="243">
        <v>630</v>
      </c>
      <c r="CT42" s="243">
        <v>629</v>
      </c>
      <c r="CU42" s="243">
        <v>589</v>
      </c>
      <c r="CV42" s="243">
        <v>569</v>
      </c>
      <c r="CW42" s="243">
        <v>636</v>
      </c>
      <c r="CX42" s="243">
        <v>644</v>
      </c>
      <c r="CY42" s="243">
        <v>508</v>
      </c>
      <c r="CZ42" s="243">
        <v>609</v>
      </c>
      <c r="DA42" s="243">
        <v>689</v>
      </c>
      <c r="DB42" s="243">
        <f t="shared" ref="DB42:DF42" si="137">+CX42*0.95</f>
        <v>611.79999999999995</v>
      </c>
      <c r="DC42" s="243">
        <f t="shared" si="137"/>
        <v>482.59999999999997</v>
      </c>
      <c r="DD42" s="243">
        <f t="shared" si="137"/>
        <v>578.54999999999995</v>
      </c>
      <c r="DE42" s="243">
        <f t="shared" si="137"/>
        <v>654.54999999999995</v>
      </c>
      <c r="DF42" s="243">
        <f t="shared" si="137"/>
        <v>581.20999999999992</v>
      </c>
      <c r="DH42" s="76"/>
      <c r="DI42" s="76"/>
      <c r="DJ42" s="76"/>
      <c r="DK42" s="76"/>
      <c r="DL42" s="76"/>
      <c r="DM42" s="76"/>
      <c r="DN42" s="76"/>
      <c r="DO42" s="76"/>
      <c r="DP42" s="76"/>
      <c r="DQ42" s="76"/>
      <c r="DR42" s="76"/>
      <c r="DS42" s="76"/>
      <c r="DT42" s="76"/>
      <c r="DU42" s="76"/>
      <c r="DV42" s="76"/>
      <c r="DW42" s="76"/>
      <c r="DX42" s="76"/>
      <c r="DY42" s="76"/>
      <c r="DZ42" s="235"/>
      <c r="EA42" s="235"/>
      <c r="EB42" s="235">
        <v>0</v>
      </c>
      <c r="EC42" s="235"/>
      <c r="ED42" s="235"/>
      <c r="EE42" s="235">
        <f>SUM(BK42:BN42)</f>
        <v>239</v>
      </c>
      <c r="EF42" s="235">
        <f>SUM(BO42:BR42)</f>
        <v>864</v>
      </c>
      <c r="EG42" s="235">
        <f>SUM(BS42:BV42)</f>
        <v>1552</v>
      </c>
      <c r="EH42" s="235">
        <f>EG42*1.1</f>
        <v>1707.2</v>
      </c>
      <c r="EI42" s="235">
        <f>EH42*1.05</f>
        <v>1792.5600000000002</v>
      </c>
      <c r="EJ42" s="235">
        <f t="shared" ref="EJ42:EL42" si="138">EI42*1.05</f>
        <v>1882.1880000000003</v>
      </c>
      <c r="EK42" s="235">
        <f t="shared" si="138"/>
        <v>1976.2974000000004</v>
      </c>
      <c r="EL42" s="235">
        <f t="shared" si="138"/>
        <v>2075.1122700000005</v>
      </c>
      <c r="EM42" s="235">
        <f t="shared" si="82"/>
        <v>2345</v>
      </c>
      <c r="EN42" s="235">
        <f t="shared" si="70"/>
        <v>2438</v>
      </c>
      <c r="EO42" s="235">
        <f>SUM(CY42:DB42)</f>
        <v>2417.8000000000002</v>
      </c>
      <c r="EP42" s="235">
        <f>+EO42*1.05</f>
        <v>2538.6900000000005</v>
      </c>
      <c r="EQ42" s="235">
        <f t="shared" ref="EQ42:EU42" si="139">+EP42*1.05</f>
        <v>2665.6245000000008</v>
      </c>
      <c r="ER42" s="235">
        <f t="shared" si="139"/>
        <v>2798.905725000001</v>
      </c>
      <c r="ES42" s="235">
        <f t="shared" si="139"/>
        <v>2938.8510112500012</v>
      </c>
      <c r="ET42" s="235">
        <f t="shared" si="139"/>
        <v>3085.7935618125016</v>
      </c>
      <c r="EU42" s="235">
        <f t="shared" si="139"/>
        <v>3240.0832399031269</v>
      </c>
      <c r="EV42" s="235">
        <f>+EU42*0.5</f>
        <v>1620.0416199515635</v>
      </c>
      <c r="EW42" s="235">
        <f t="shared" ref="EW42" si="140">+EV42*0.5</f>
        <v>810.02080997578173</v>
      </c>
      <c r="EZ42" t="s">
        <v>1286</v>
      </c>
    </row>
    <row r="43" spans="2:156" s="254" customFormat="1" ht="12.75" customHeight="1" x14ac:dyDescent="0.2">
      <c r="B43" t="s">
        <v>1572</v>
      </c>
      <c r="C43" s="76"/>
      <c r="D43" s="76"/>
      <c r="E43" s="76"/>
      <c r="F43" s="76"/>
      <c r="G43" s="76"/>
      <c r="H43" s="76"/>
      <c r="I43" s="76"/>
      <c r="J43" s="76"/>
      <c r="K43" s="76"/>
      <c r="L43" s="76"/>
      <c r="M43" s="76"/>
      <c r="N43" s="76"/>
      <c r="O43" s="76"/>
      <c r="P43" s="76"/>
      <c r="Q43" s="76"/>
      <c r="R43" s="76"/>
      <c r="S43" s="76"/>
      <c r="T43" s="76"/>
      <c r="U43" s="76"/>
      <c r="V43" s="76"/>
      <c r="W43" s="268"/>
      <c r="X43" s="268"/>
      <c r="Y43" s="268"/>
      <c r="Z43" s="268"/>
      <c r="AA43" s="268"/>
      <c r="AB43" s="268"/>
      <c r="AC43" s="268"/>
      <c r="AD43" s="268"/>
      <c r="AE43" s="269"/>
      <c r="AF43" s="243"/>
      <c r="AG43" s="243"/>
      <c r="AH43" s="243"/>
      <c r="AI43" s="243"/>
      <c r="AJ43" s="243"/>
      <c r="AK43" s="243"/>
      <c r="AL43" s="243"/>
      <c r="AM43" s="243"/>
      <c r="AN43" s="243"/>
      <c r="AO43" s="243"/>
      <c r="AP43" s="243"/>
      <c r="AQ43" s="243"/>
      <c r="AR43" s="243"/>
      <c r="AS43" s="243"/>
      <c r="AT43" s="243"/>
      <c r="AU43" s="243"/>
      <c r="AV43" s="243"/>
      <c r="AW43" s="243"/>
      <c r="AX43" s="243"/>
      <c r="AY43" s="76"/>
      <c r="AZ43" s="76"/>
      <c r="BA43" s="76"/>
      <c r="BB43" s="76"/>
      <c r="BC43" s="76"/>
      <c r="BD43" s="76"/>
      <c r="BE43" s="76"/>
      <c r="BF43" s="76"/>
      <c r="BG43" s="76"/>
      <c r="BH43" s="76"/>
      <c r="BI43" s="76"/>
      <c r="BJ43" s="76"/>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v>248</v>
      </c>
      <c r="CJ43" s="243">
        <v>215</v>
      </c>
      <c r="CK43" s="243">
        <v>190</v>
      </c>
      <c r="CL43" s="243">
        <v>228</v>
      </c>
      <c r="CM43" s="243">
        <v>202</v>
      </c>
      <c r="CN43" s="243">
        <v>177</v>
      </c>
      <c r="CO43" s="243">
        <v>179</v>
      </c>
      <c r="CP43" s="243">
        <v>177</v>
      </c>
      <c r="CQ43" s="243">
        <v>175</v>
      </c>
      <c r="CR43" s="243">
        <v>179</v>
      </c>
      <c r="CS43" s="243">
        <v>224</v>
      </c>
      <c r="CT43" s="243">
        <v>217</v>
      </c>
      <c r="CU43" s="243">
        <v>150</v>
      </c>
      <c r="CV43" s="243">
        <v>160</v>
      </c>
      <c r="CW43" s="243">
        <v>133</v>
      </c>
      <c r="CX43" s="243">
        <v>120</v>
      </c>
      <c r="CY43" s="243">
        <v>128</v>
      </c>
      <c r="CZ43" s="243">
        <v>120</v>
      </c>
      <c r="DA43" s="243">
        <v>109</v>
      </c>
      <c r="DB43" s="243">
        <f t="shared" ref="DB43:DB44" si="141">+CX43</f>
        <v>120</v>
      </c>
      <c r="DC43" s="243">
        <f t="shared" ref="DC43:DC44" si="142">+CY43</f>
        <v>128</v>
      </c>
      <c r="DD43" s="243">
        <f t="shared" ref="DD43:DD44" si="143">+CZ43</f>
        <v>120</v>
      </c>
      <c r="DE43" s="243">
        <f t="shared" ref="DE43:DE44" si="144">+DA43</f>
        <v>109</v>
      </c>
      <c r="DF43" s="243">
        <f t="shared" ref="DF43:DF44" si="145">+DB43</f>
        <v>120</v>
      </c>
      <c r="DH43" s="76"/>
      <c r="DI43" s="76"/>
      <c r="DJ43" s="76"/>
      <c r="DK43" s="76"/>
      <c r="DL43" s="76"/>
      <c r="DM43" s="76"/>
      <c r="DN43" s="76"/>
      <c r="DO43" s="76"/>
      <c r="DP43" s="76"/>
      <c r="DQ43" s="76"/>
      <c r="DR43" s="76"/>
      <c r="DS43" s="76"/>
      <c r="DT43" s="76"/>
      <c r="DU43" s="76"/>
      <c r="DV43" s="76"/>
      <c r="DW43" s="76"/>
      <c r="DX43" s="76"/>
      <c r="DY43" s="76"/>
      <c r="DZ43" s="235"/>
      <c r="EA43" s="235"/>
      <c r="EB43" s="235"/>
      <c r="EC43" s="235"/>
      <c r="ED43" s="235"/>
      <c r="EE43" s="235"/>
      <c r="EF43" s="235"/>
      <c r="EG43" s="235"/>
      <c r="EH43" s="235"/>
      <c r="EI43" s="235"/>
      <c r="EJ43" s="235"/>
      <c r="EK43" s="235"/>
      <c r="EL43" s="235"/>
      <c r="EM43" s="235">
        <f t="shared" si="82"/>
        <v>795</v>
      </c>
      <c r="EN43" s="235">
        <f t="shared" si="70"/>
        <v>563</v>
      </c>
      <c r="EO43" s="235">
        <f>SUM(CY43:DB43)</f>
        <v>477</v>
      </c>
      <c r="EP43" s="235">
        <f>+EO43</f>
        <v>477</v>
      </c>
      <c r="EQ43" s="235">
        <f t="shared" ref="EQ43:EW43" si="146">+EP43</f>
        <v>477</v>
      </c>
      <c r="ER43" s="235">
        <f t="shared" si="146"/>
        <v>477</v>
      </c>
      <c r="ES43" s="235">
        <f t="shared" si="146"/>
        <v>477</v>
      </c>
      <c r="ET43" s="235">
        <f t="shared" si="146"/>
        <v>477</v>
      </c>
      <c r="EU43" s="235">
        <f t="shared" si="146"/>
        <v>477</v>
      </c>
      <c r="EV43" s="235">
        <f t="shared" si="146"/>
        <v>477</v>
      </c>
      <c r="EW43" s="235">
        <f t="shared" si="146"/>
        <v>477</v>
      </c>
      <c r="EZ43"/>
    </row>
    <row r="44" spans="2:156" s="254" customFormat="1" ht="12.75" customHeight="1" x14ac:dyDescent="0.2">
      <c r="B44" t="s">
        <v>1231</v>
      </c>
      <c r="C44" s="76"/>
      <c r="D44" s="76"/>
      <c r="E44" s="76"/>
      <c r="F44" s="76"/>
      <c r="G44" s="76"/>
      <c r="H44" s="76"/>
      <c r="I44" s="76"/>
      <c r="J44" s="76"/>
      <c r="K44" s="243">
        <v>700</v>
      </c>
      <c r="L44" s="243">
        <v>748</v>
      </c>
      <c r="M44" s="243">
        <v>723</v>
      </c>
      <c r="N44" s="243">
        <v>633</v>
      </c>
      <c r="O44" s="243">
        <v>742</v>
      </c>
      <c r="P44" s="243">
        <v>749</v>
      </c>
      <c r="Q44" s="243">
        <v>698</v>
      </c>
      <c r="R44" s="243">
        <v>651</v>
      </c>
      <c r="S44" s="243">
        <v>781</v>
      </c>
      <c r="T44" s="243">
        <v>847</v>
      </c>
      <c r="U44" s="243">
        <v>769</v>
      </c>
      <c r="V44" s="76">
        <v>651</v>
      </c>
      <c r="W44" s="76">
        <v>669</v>
      </c>
      <c r="X44" s="76">
        <v>632</v>
      </c>
      <c r="Y44" s="76">
        <v>615</v>
      </c>
      <c r="Z44" s="76">
        <v>699</v>
      </c>
      <c r="AA44" s="76">
        <v>731</v>
      </c>
      <c r="AB44" s="76">
        <v>789</v>
      </c>
      <c r="AC44" s="76">
        <v>745</v>
      </c>
      <c r="AD44" s="76">
        <v>836</v>
      </c>
      <c r="AE44" s="243">
        <f>5376-SUM(AE3:AE37)</f>
        <v>1116</v>
      </c>
      <c r="AF44" s="243">
        <f>5427-SUM(AF3:AF37)</f>
        <v>1072</v>
      </c>
      <c r="AG44" s="243">
        <f>5485-SUM(AG3:AG39)</f>
        <v>660</v>
      </c>
      <c r="AH44" s="243">
        <f>5840-SUM(AH3:AH39)</f>
        <v>759</v>
      </c>
      <c r="AI44" s="243">
        <f>5755-SUM(AI3:AI39)</f>
        <v>1286</v>
      </c>
      <c r="AJ44" s="243">
        <f>5628-SUM(AJ3:AJ37)</f>
        <v>1165</v>
      </c>
      <c r="AK44" s="243">
        <f>5457-SUM(AK3:AK39)</f>
        <v>1064</v>
      </c>
      <c r="AL44" s="243">
        <f>5482-SUM(AL3:AL39)</f>
        <v>1050</v>
      </c>
      <c r="AM44" s="243">
        <f>5626-SUM(AM3:AM39)</f>
        <v>1149</v>
      </c>
      <c r="AN44" s="243">
        <f>5810-SUM(AN3:AN42)</f>
        <v>1243</v>
      </c>
      <c r="AO44" s="243">
        <f>5881-SUM(AO3:AO42)</f>
        <v>1220</v>
      </c>
      <c r="AP44" s="243">
        <f>5950-SUM(AP3:AP42)</f>
        <v>1242</v>
      </c>
      <c r="AQ44" s="243">
        <f>6221-SUM(AQ3:AQ39)+AQ11</f>
        <v>1086</v>
      </c>
      <c r="AR44" s="243">
        <f>6149-SUM(AR3:AR42)+AR11</f>
        <v>1077</v>
      </c>
      <c r="AS44" s="243">
        <f>6099-SUM(AS3:AS42)+AS11</f>
        <v>1118</v>
      </c>
      <c r="AT44" s="243">
        <f>1402-AT37</f>
        <v>1187</v>
      </c>
      <c r="AU44" s="243">
        <f>6429-SUM(AU3:AU42)</f>
        <v>1067.5500000000002</v>
      </c>
      <c r="AV44" s="243">
        <f>1486-AV11-AV17</f>
        <v>1322</v>
      </c>
      <c r="AW44" s="243">
        <f>1530-AW11-AW17</f>
        <v>1362</v>
      </c>
      <c r="AX44" s="243">
        <f>1408-AX17-AX11</f>
        <v>1220</v>
      </c>
      <c r="AY44" s="243">
        <f>1444-AY17-AY11</f>
        <v>1231</v>
      </c>
      <c r="AZ44" s="243">
        <f>1557-AZ17-AZ11</f>
        <v>1318</v>
      </c>
      <c r="BA44" s="243">
        <f>1561-BA17-BA11</f>
        <v>1313</v>
      </c>
      <c r="BB44" s="243">
        <f>1726-BB11-BB17</f>
        <v>1441</v>
      </c>
      <c r="BC44" s="243">
        <f>1672-BC11</f>
        <v>1564</v>
      </c>
      <c r="BD44" s="243">
        <f>1732-BD11</f>
        <v>1630</v>
      </c>
      <c r="BE44" s="243">
        <f>1749-BE11</f>
        <v>1651</v>
      </c>
      <c r="BF44" s="243">
        <f>1767-BF11-65-67</f>
        <v>1519</v>
      </c>
      <c r="BG44" s="243">
        <f>1870-BG21-BG6-BG4-BG11-BG27</f>
        <v>1415</v>
      </c>
      <c r="BH44" s="243">
        <f>2003-BH21-BH6-BH11-BH4</f>
        <v>1553</v>
      </c>
      <c r="BI44" s="243">
        <f>5982-SUM(BI3:BI42)</f>
        <v>1438</v>
      </c>
      <c r="BJ44" s="243">
        <f>2264-BJ21-BJ6-BJ11-BJ4</f>
        <v>1730</v>
      </c>
      <c r="BK44" s="243">
        <f>6133-SUM(BK3:BK42)</f>
        <v>1557</v>
      </c>
      <c r="BL44" s="243">
        <f>1284+23+308+754-BL15-BL29+23</f>
        <v>1759</v>
      </c>
      <c r="BM44" s="243">
        <f>21+317+711+20+673</f>
        <v>1742</v>
      </c>
      <c r="BN44" s="243">
        <f>22+409+713+23+673</f>
        <v>1840</v>
      </c>
      <c r="BO44" s="243">
        <f>523+97+737+197+21</f>
        <v>1575</v>
      </c>
      <c r="BP44" s="243">
        <f>23+260+689+111+569</f>
        <v>1652</v>
      </c>
      <c r="BQ44" s="243">
        <f>18+243+653+113+576</f>
        <v>1603</v>
      </c>
      <c r="BR44" s="243">
        <f>19+281+657+94+579</f>
        <v>1630</v>
      </c>
      <c r="BS44" s="243">
        <f>18+234+640+102+666</f>
        <v>1660</v>
      </c>
      <c r="BT44" s="243">
        <f>17+250+146+698+628</f>
        <v>1739</v>
      </c>
      <c r="BU44" s="243">
        <f t="shared" ref="BU44" si="147">+BQ44</f>
        <v>1603</v>
      </c>
      <c r="BV44" s="243">
        <f t="shared" ref="BV44" si="148">+BR44</f>
        <v>1630</v>
      </c>
      <c r="BW44" s="243">
        <f t="shared" ref="BW44" si="149">+BS44</f>
        <v>1660</v>
      </c>
      <c r="BX44" s="243">
        <f t="shared" ref="BX44" si="150">+BT44</f>
        <v>1739</v>
      </c>
      <c r="BY44" s="243">
        <f t="shared" ref="BY44" si="151">+BU44</f>
        <v>1603</v>
      </c>
      <c r="BZ44" s="243">
        <f t="shared" ref="BZ44" si="152">+BV44</f>
        <v>1630</v>
      </c>
      <c r="CA44" s="243"/>
      <c r="CB44" s="243"/>
      <c r="CC44" s="243"/>
      <c r="CD44" s="243"/>
      <c r="CE44" s="243"/>
      <c r="CF44" s="243"/>
      <c r="CG44" s="243"/>
      <c r="CH44" s="243"/>
      <c r="CI44" s="243">
        <v>415</v>
      </c>
      <c r="CJ44" s="243">
        <v>388</v>
      </c>
      <c r="CK44" s="243">
        <v>334</v>
      </c>
      <c r="CL44" s="243">
        <v>333</v>
      </c>
      <c r="CM44" s="243">
        <v>374</v>
      </c>
      <c r="CN44" s="243">
        <v>368</v>
      </c>
      <c r="CO44" s="243">
        <v>325</v>
      </c>
      <c r="CP44" s="243">
        <v>286</v>
      </c>
      <c r="CQ44" s="243">
        <v>302</v>
      </c>
      <c r="CR44" s="243">
        <v>312</v>
      </c>
      <c r="CS44" s="243">
        <v>294</v>
      </c>
      <c r="CT44" s="243">
        <v>278</v>
      </c>
      <c r="CU44" s="243">
        <f>305-CU29</f>
        <v>178</v>
      </c>
      <c r="CV44" s="243">
        <v>293</v>
      </c>
      <c r="CW44" s="243">
        <v>251</v>
      </c>
      <c r="CX44" s="243">
        <v>198</v>
      </c>
      <c r="CY44" s="243">
        <v>274</v>
      </c>
      <c r="CZ44" s="243">
        <v>243</v>
      </c>
      <c r="DA44" s="243">
        <v>236</v>
      </c>
      <c r="DB44" s="243">
        <f t="shared" si="141"/>
        <v>198</v>
      </c>
      <c r="DC44" s="243">
        <f t="shared" si="142"/>
        <v>274</v>
      </c>
      <c r="DD44" s="243">
        <f t="shared" si="143"/>
        <v>243</v>
      </c>
      <c r="DE44" s="243">
        <f t="shared" si="144"/>
        <v>236</v>
      </c>
      <c r="DF44" s="243">
        <f t="shared" si="145"/>
        <v>198</v>
      </c>
      <c r="DH44" s="274" t="s">
        <v>122</v>
      </c>
      <c r="DI44" s="271"/>
      <c r="DJ44" s="271"/>
      <c r="DK44" s="271"/>
      <c r="DL44" s="271"/>
      <c r="DM44" s="271"/>
      <c r="DN44" s="235">
        <v>1857</v>
      </c>
      <c r="DO44" s="235">
        <v>2307</v>
      </c>
      <c r="DP44" s="235">
        <v>2025</v>
      </c>
      <c r="DQ44" s="235">
        <v>1976</v>
      </c>
      <c r="DR44" s="235">
        <v>1656</v>
      </c>
      <c r="DS44" s="235">
        <f>SUM(X44:AA44)</f>
        <v>2677</v>
      </c>
      <c r="DT44" s="235">
        <f>SUM(Y44:AB44)</f>
        <v>2834</v>
      </c>
      <c r="DU44" s="235">
        <f>SUM(Z44:AC44)</f>
        <v>2964</v>
      </c>
      <c r="DV44" s="235">
        <f>SUM(AA44:AD44)</f>
        <v>3101</v>
      </c>
      <c r="DW44" s="235">
        <f>22128-SUM(DW8:DW37)</f>
        <v>6625</v>
      </c>
      <c r="DX44" s="235">
        <f>22322-SUM(DX8:DX37)</f>
        <v>6921.6</v>
      </c>
      <c r="DY44" s="235">
        <f t="shared" ref="DY44:DY55" si="153">SUM(AM44:AP44)</f>
        <v>4854</v>
      </c>
      <c r="DZ44" s="235">
        <f t="shared" ref="DZ44:DZ55" si="154">SUM(AQ44:AT44)</f>
        <v>4468</v>
      </c>
      <c r="EA44" s="235">
        <f t="shared" ref="EA44:EA53" si="155">SUM(AU44:AX44)</f>
        <v>4971.55</v>
      </c>
      <c r="EB44" s="235">
        <f t="shared" ref="EB44:EB53" si="156">SUM(AY44:BB44)</f>
        <v>5303</v>
      </c>
      <c r="EC44" s="235">
        <f t="shared" ref="EC44:EC53" si="157">SUM(BC44:BF44)</f>
        <v>6364</v>
      </c>
      <c r="ED44" s="235">
        <f>SUM(BG44:BJ44)</f>
        <v>6136</v>
      </c>
      <c r="EE44" s="235">
        <f t="shared" ref="EE44:EE55" si="158">SUM(BK44:BN44)</f>
        <v>6898</v>
      </c>
      <c r="EF44" s="235">
        <f>SUM(BO44:BR44)</f>
        <v>6460</v>
      </c>
      <c r="EG44" s="235">
        <f>EF44*0.95</f>
        <v>6137</v>
      </c>
      <c r="EH44" s="235">
        <f>EG44</f>
        <v>6137</v>
      </c>
      <c r="EI44" s="235">
        <f>EH44</f>
        <v>6137</v>
      </c>
      <c r="EJ44" s="235">
        <f t="shared" ref="EJ44:EL44" si="159">EI44</f>
        <v>6137</v>
      </c>
      <c r="EK44" s="235">
        <f t="shared" si="159"/>
        <v>6137</v>
      </c>
      <c r="EL44" s="235">
        <f t="shared" si="159"/>
        <v>6137</v>
      </c>
      <c r="EM44" s="235">
        <f t="shared" si="82"/>
        <v>1186</v>
      </c>
      <c r="EN44" s="235">
        <f t="shared" si="70"/>
        <v>920</v>
      </c>
      <c r="EO44" s="235">
        <f t="shared" ref="EO44:EO53" si="160">SUM(CY44:DB44)</f>
        <v>951</v>
      </c>
      <c r="EP44" s="235">
        <f t="shared" ref="EP44" si="161">EO44</f>
        <v>951</v>
      </c>
      <c r="EQ44" s="235">
        <f t="shared" ref="EQ44" si="162">EP44</f>
        <v>951</v>
      </c>
      <c r="ER44" s="235">
        <f t="shared" ref="ER44" si="163">EQ44</f>
        <v>951</v>
      </c>
      <c r="ES44" s="235">
        <f t="shared" ref="ES44" si="164">ER44</f>
        <v>951</v>
      </c>
      <c r="ET44" s="235">
        <f t="shared" ref="ET44" si="165">ES44</f>
        <v>951</v>
      </c>
      <c r="EU44" s="235">
        <f t="shared" ref="EU44" si="166">ET44</f>
        <v>951</v>
      </c>
      <c r="EV44" s="235">
        <f t="shared" ref="EV44" si="167">EU44</f>
        <v>951</v>
      </c>
      <c r="EW44" s="235">
        <f t="shared" ref="EW44" si="168">EV44</f>
        <v>951</v>
      </c>
    </row>
    <row r="45" spans="2:156" s="254" customFormat="1" ht="12.75" customHeight="1" x14ac:dyDescent="0.2">
      <c r="B45" t="s">
        <v>1808</v>
      </c>
      <c r="C45" s="243">
        <f>G45/0.67</f>
        <v>362.68656716417911</v>
      </c>
      <c r="D45" s="243">
        <f>H45/0.61</f>
        <v>380.32786885245901</v>
      </c>
      <c r="E45" s="243">
        <f>I45/0.65</f>
        <v>316.92307692307691</v>
      </c>
      <c r="F45" s="243">
        <f>143+125</f>
        <v>268</v>
      </c>
      <c r="G45" s="76">
        <f>124+119</f>
        <v>243</v>
      </c>
      <c r="H45" s="76">
        <f>119+113</f>
        <v>232</v>
      </c>
      <c r="I45" s="76">
        <f>102+104</f>
        <v>206</v>
      </c>
      <c r="J45" s="76">
        <f>104+122</f>
        <v>226</v>
      </c>
      <c r="K45" s="243">
        <v>223</v>
      </c>
      <c r="L45" s="243">
        <v>242</v>
      </c>
      <c r="M45" s="243">
        <v>229</v>
      </c>
      <c r="N45" s="243">
        <v>241</v>
      </c>
      <c r="O45" s="243">
        <f>111+137</f>
        <v>248</v>
      </c>
      <c r="P45" s="243">
        <f>117+131</f>
        <v>248</v>
      </c>
      <c r="Q45" s="243">
        <f>149.4+121.4</f>
        <v>270.8</v>
      </c>
      <c r="R45" s="243">
        <f>165+124</f>
        <v>289</v>
      </c>
      <c r="S45" s="243">
        <f>167+143</f>
        <v>310</v>
      </c>
      <c r="T45" s="243">
        <v>341</v>
      </c>
      <c r="U45" s="243">
        <v>326</v>
      </c>
      <c r="V45" s="76">
        <v>366</v>
      </c>
      <c r="W45" s="76">
        <v>369</v>
      </c>
      <c r="X45" s="76">
        <v>409</v>
      </c>
      <c r="Y45" s="76">
        <v>415</v>
      </c>
      <c r="Z45" s="76">
        <v>449</v>
      </c>
      <c r="AA45" s="76">
        <v>420</v>
      </c>
      <c r="AB45" s="76">
        <v>599</v>
      </c>
      <c r="AC45" s="76">
        <v>791</v>
      </c>
      <c r="AD45" s="76">
        <v>896</v>
      </c>
      <c r="AE45" s="243">
        <v>877</v>
      </c>
      <c r="AF45" s="243">
        <v>664</v>
      </c>
      <c r="AG45" s="243">
        <v>756</v>
      </c>
      <c r="AH45" s="243">
        <v>915</v>
      </c>
      <c r="AI45" s="243">
        <v>969</v>
      </c>
      <c r="AJ45" s="243">
        <v>1014</v>
      </c>
      <c r="AK45" s="243">
        <v>994</v>
      </c>
      <c r="AL45" s="243">
        <v>1005</v>
      </c>
      <c r="AM45" s="243">
        <v>1075</v>
      </c>
      <c r="AN45" s="243">
        <v>1068</v>
      </c>
      <c r="AO45" s="243">
        <v>983</v>
      </c>
      <c r="AP45" s="243">
        <v>961</v>
      </c>
      <c r="AQ45" s="243">
        <v>928</v>
      </c>
      <c r="AR45" s="243">
        <v>852</v>
      </c>
      <c r="AS45" s="243">
        <v>777</v>
      </c>
      <c r="AT45" s="243">
        <v>868</v>
      </c>
      <c r="AU45" s="243">
        <v>835</v>
      </c>
      <c r="AV45" s="243">
        <v>852</v>
      </c>
      <c r="AW45" s="243">
        <v>726</v>
      </c>
      <c r="AX45" s="243">
        <v>722</v>
      </c>
      <c r="AY45" s="243">
        <v>668</v>
      </c>
      <c r="AZ45" s="243">
        <v>674</v>
      </c>
      <c r="BA45" s="243">
        <v>640</v>
      </c>
      <c r="BB45" s="243">
        <v>697</v>
      </c>
      <c r="BC45" s="243">
        <v>672</v>
      </c>
      <c r="BD45" s="243">
        <v>655</v>
      </c>
      <c r="BE45" s="243">
        <v>596</v>
      </c>
      <c r="BF45" s="243">
        <v>629</v>
      </c>
      <c r="BG45" s="243">
        <v>635</v>
      </c>
      <c r="BH45" s="243">
        <v>587</v>
      </c>
      <c r="BI45" s="243">
        <v>526</v>
      </c>
      <c r="BJ45" s="243">
        <v>540</v>
      </c>
      <c r="BK45" s="243">
        <v>482</v>
      </c>
      <c r="BL45" s="243">
        <v>504</v>
      </c>
      <c r="BM45" s="243">
        <v>493</v>
      </c>
      <c r="BN45" s="243">
        <v>506</v>
      </c>
      <c r="BO45" s="243">
        <v>513</v>
      </c>
      <c r="BP45" s="243">
        <v>529</v>
      </c>
      <c r="BQ45" s="243">
        <v>501</v>
      </c>
      <c r="BR45" s="243">
        <v>534</v>
      </c>
      <c r="BS45" s="243">
        <v>541</v>
      </c>
      <c r="BT45" s="243">
        <v>567</v>
      </c>
      <c r="BU45" s="243">
        <f>+BQ45*1.03</f>
        <v>516.03</v>
      </c>
      <c r="BV45" s="243">
        <f t="shared" ref="BV45:BZ45" si="169">+BR45*1.03</f>
        <v>550.02</v>
      </c>
      <c r="BW45" s="243">
        <f t="shared" si="169"/>
        <v>557.23</v>
      </c>
      <c r="BX45" s="243">
        <f t="shared" si="169"/>
        <v>584.01</v>
      </c>
      <c r="BY45" s="243">
        <f t="shared" si="169"/>
        <v>531.51089999999999</v>
      </c>
      <c r="BZ45" s="243">
        <f t="shared" si="169"/>
        <v>566.52059999999994</v>
      </c>
      <c r="CA45" s="243"/>
      <c r="CB45" s="243"/>
      <c r="CC45" s="243"/>
      <c r="CD45" s="243"/>
      <c r="CE45" s="243"/>
      <c r="CF45" s="243"/>
      <c r="CG45" s="243"/>
      <c r="CH45" s="243"/>
      <c r="CI45" s="243">
        <v>640</v>
      </c>
      <c r="CJ45" s="243">
        <v>667</v>
      </c>
      <c r="CK45" s="243">
        <v>653</v>
      </c>
      <c r="CL45" s="243">
        <v>686</v>
      </c>
      <c r="CM45" s="243">
        <v>732</v>
      </c>
      <c r="CN45" s="243">
        <v>750</v>
      </c>
      <c r="CO45" s="243">
        <v>741</v>
      </c>
      <c r="CP45" s="243">
        <v>774</v>
      </c>
      <c r="CQ45" s="243">
        <v>727</v>
      </c>
      <c r="CR45" s="243">
        <v>590</v>
      </c>
      <c r="CS45" s="243">
        <v>836</v>
      </c>
      <c r="CT45" s="243">
        <v>893</v>
      </c>
      <c r="CU45" s="243">
        <v>949</v>
      </c>
      <c r="CV45" s="243">
        <v>1046</v>
      </c>
      <c r="CW45" s="243">
        <v>957</v>
      </c>
      <c r="CX45" s="243">
        <v>1019</v>
      </c>
      <c r="CY45" s="243">
        <v>1092</v>
      </c>
      <c r="CZ45" s="243">
        <v>1049</v>
      </c>
      <c r="DA45" s="243">
        <v>1060</v>
      </c>
      <c r="DB45" s="243">
        <f t="shared" ref="DB45" si="170">+CX45*1.05</f>
        <v>1069.95</v>
      </c>
      <c r="DC45" s="243">
        <f t="shared" ref="DC45" si="171">+CY45*1.05</f>
        <v>1146.6000000000001</v>
      </c>
      <c r="DD45" s="243">
        <f t="shared" ref="DD45" si="172">+CZ45*1.05</f>
        <v>1101.45</v>
      </c>
      <c r="DE45" s="243">
        <f t="shared" ref="DE45" si="173">+DA45*1.05</f>
        <v>1113</v>
      </c>
      <c r="DF45" s="243">
        <f t="shared" ref="DF45" si="174">+DB45*1.05</f>
        <v>1123.4475</v>
      </c>
      <c r="DH45" s="271"/>
      <c r="DI45" s="271"/>
      <c r="DJ45" s="271"/>
      <c r="DK45" s="271"/>
      <c r="DL45" s="271"/>
      <c r="DM45" s="271"/>
      <c r="DN45" s="271"/>
      <c r="DO45" s="235">
        <f>+DP45/0.98</f>
        <v>1362.2448979591836</v>
      </c>
      <c r="DP45" s="235">
        <v>1335</v>
      </c>
      <c r="DQ45" s="235">
        <f>SUM(G45:J45)</f>
        <v>907</v>
      </c>
      <c r="DR45" s="235">
        <v>942</v>
      </c>
      <c r="DS45" s="235">
        <f t="shared" ref="DS45:DS54" si="175">SUM(O45:R45)</f>
        <v>1055.8</v>
      </c>
      <c r="DT45" s="235">
        <f t="shared" ref="DT45:DT54" si="176">SUM(S45:V45)</f>
        <v>1343</v>
      </c>
      <c r="DU45" s="235">
        <f t="shared" ref="DU45:DU54" si="177">SUM(W45:Z45)</f>
        <v>1642</v>
      </c>
      <c r="DV45" s="235">
        <f t="shared" ref="DV45:DV55" si="178">SUM(AA45:AD45)</f>
        <v>2706</v>
      </c>
      <c r="DW45" s="235">
        <f t="shared" ref="DW45:DW55" si="179">SUM(AE45:AH45)</f>
        <v>3212</v>
      </c>
      <c r="DX45" s="235">
        <f t="shared" ref="DX45:DX55" si="180">SUM(AI45:AL45)</f>
        <v>3982</v>
      </c>
      <c r="DY45" s="235">
        <f t="shared" si="153"/>
        <v>4087</v>
      </c>
      <c r="DZ45" s="235">
        <f t="shared" si="154"/>
        <v>3425</v>
      </c>
      <c r="EA45" s="235">
        <f t="shared" si="155"/>
        <v>3135</v>
      </c>
      <c r="EB45" s="235">
        <f t="shared" si="156"/>
        <v>2679</v>
      </c>
      <c r="EC45" s="235">
        <f t="shared" si="157"/>
        <v>2552</v>
      </c>
      <c r="ED45" s="235">
        <f t="shared" ref="ED45:ED55" si="181">SUM(BG45:BJ45)</f>
        <v>2288</v>
      </c>
      <c r="EE45" s="235">
        <f t="shared" si="158"/>
        <v>1985</v>
      </c>
      <c r="EF45" s="235">
        <f t="shared" ref="EF45:EF53" si="182">SUM(BO45:BR45)</f>
        <v>2077</v>
      </c>
      <c r="EG45" s="235">
        <f>EF45*1.02</f>
        <v>2118.54</v>
      </c>
      <c r="EH45" s="235">
        <f t="shared" ref="EH45:EL45" si="183">EG45*1.02</f>
        <v>2160.9108000000001</v>
      </c>
      <c r="EI45" s="235">
        <f t="shared" si="183"/>
        <v>2204.1290160000003</v>
      </c>
      <c r="EJ45" s="235">
        <f t="shared" si="183"/>
        <v>2248.2115963200004</v>
      </c>
      <c r="EK45" s="235">
        <f t="shared" si="183"/>
        <v>2293.1758282464002</v>
      </c>
      <c r="EL45" s="235">
        <f t="shared" si="183"/>
        <v>2339.0393448113282</v>
      </c>
      <c r="EM45" s="235">
        <f t="shared" si="82"/>
        <v>3046</v>
      </c>
      <c r="EN45" s="235">
        <f t="shared" si="70"/>
        <v>3971</v>
      </c>
      <c r="EO45" s="235">
        <f t="shared" si="160"/>
        <v>4270.95</v>
      </c>
      <c r="EP45" s="235">
        <f t="shared" ref="EP45:EQ45" si="184">EO45*1.02</f>
        <v>4356.3689999999997</v>
      </c>
      <c r="EQ45" s="235">
        <f t="shared" si="184"/>
        <v>4443.4963799999996</v>
      </c>
      <c r="ER45" s="235">
        <f t="shared" ref="ER45" si="185">EQ45*1.02</f>
        <v>4532.3663075999993</v>
      </c>
      <c r="ES45" s="235">
        <f t="shared" ref="ES45" si="186">ER45*1.02</f>
        <v>4623.0136337519998</v>
      </c>
      <c r="ET45" s="235">
        <f t="shared" ref="ET45" si="187">ES45*1.02</f>
        <v>4715.4739064270398</v>
      </c>
      <c r="EU45" s="235">
        <f t="shared" ref="EU45" si="188">ET45*1.02</f>
        <v>4809.7833845555806</v>
      </c>
      <c r="EV45" s="235">
        <f t="shared" ref="EV45" si="189">EU45*1.02</f>
        <v>4905.9790522466919</v>
      </c>
      <c r="EW45" s="235">
        <f t="shared" ref="EW45" si="190">EV45*1.02</f>
        <v>5004.0986332916254</v>
      </c>
      <c r="EZ45"/>
    </row>
    <row r="46" spans="2:156" s="254" customFormat="1" ht="12.75" customHeight="1" x14ac:dyDescent="0.2">
      <c r="B46" t="s">
        <v>1553</v>
      </c>
      <c r="C46" s="76"/>
      <c r="D46" s="76"/>
      <c r="E46" s="76"/>
      <c r="F46" s="76"/>
      <c r="G46" s="76"/>
      <c r="H46" s="76"/>
      <c r="I46" s="76"/>
      <c r="J46" s="76"/>
      <c r="K46" s="243">
        <v>428</v>
      </c>
      <c r="L46" s="243">
        <v>420</v>
      </c>
      <c r="M46" s="243">
        <v>420</v>
      </c>
      <c r="N46" s="243">
        <v>434</v>
      </c>
      <c r="O46" s="243">
        <v>471</v>
      </c>
      <c r="P46" s="243">
        <v>456</v>
      </c>
      <c r="Q46" s="243">
        <v>429</v>
      </c>
      <c r="R46" s="243">
        <v>460</v>
      </c>
      <c r="S46" s="243">
        <v>511</v>
      </c>
      <c r="T46" s="243">
        <v>508</v>
      </c>
      <c r="U46" s="243">
        <v>495</v>
      </c>
      <c r="V46" s="76">
        <v>540</v>
      </c>
      <c r="W46" s="76">
        <v>617</v>
      </c>
      <c r="X46" s="76">
        <v>633</v>
      </c>
      <c r="Y46" s="76">
        <v>615</v>
      </c>
      <c r="Z46" s="76">
        <v>672</v>
      </c>
      <c r="AA46" s="76">
        <v>739</v>
      </c>
      <c r="AB46" s="76">
        <v>748</v>
      </c>
      <c r="AC46" s="76">
        <v>718</v>
      </c>
      <c r="AD46" s="76">
        <v>802</v>
      </c>
      <c r="AE46" s="243">
        <v>839</v>
      </c>
      <c r="AF46" s="243">
        <v>839</v>
      </c>
      <c r="AG46" s="243">
        <v>790</v>
      </c>
      <c r="AH46" s="243">
        <v>952</v>
      </c>
      <c r="AI46" s="243">
        <v>993</v>
      </c>
      <c r="AJ46" s="243">
        <v>980</v>
      </c>
      <c r="AK46" s="243">
        <v>897</v>
      </c>
      <c r="AL46" s="243">
        <v>977</v>
      </c>
      <c r="AM46" s="243">
        <v>1039</v>
      </c>
      <c r="AN46" s="243">
        <v>1035</v>
      </c>
      <c r="AO46" s="243">
        <v>971</v>
      </c>
      <c r="AP46" s="243">
        <v>1060</v>
      </c>
      <c r="AQ46" s="243">
        <v>1157</v>
      </c>
      <c r="AR46" s="243">
        <v>1135</v>
      </c>
      <c r="AS46" s="243">
        <v>1086</v>
      </c>
      <c r="AT46" s="243">
        <v>1209</v>
      </c>
      <c r="AU46" s="243">
        <v>1253</v>
      </c>
      <c r="AV46" s="243">
        <v>1289</v>
      </c>
      <c r="AW46" s="243">
        <v>1195</v>
      </c>
      <c r="AX46" s="243">
        <v>1252</v>
      </c>
      <c r="AY46" s="243">
        <v>1292</v>
      </c>
      <c r="AZ46" s="243">
        <v>1323</v>
      </c>
      <c r="BA46" s="243">
        <v>1284</v>
      </c>
      <c r="BB46" s="243">
        <v>1473</v>
      </c>
      <c r="BC46" s="243">
        <v>1454</v>
      </c>
      <c r="BD46" s="243">
        <v>1375</v>
      </c>
      <c r="BE46" s="243">
        <v>1309</v>
      </c>
      <c r="BF46" s="243">
        <v>1447</v>
      </c>
      <c r="BG46" s="243">
        <v>1503</v>
      </c>
      <c r="BH46" s="243">
        <v>1469</v>
      </c>
      <c r="BI46" s="243">
        <v>1384</v>
      </c>
      <c r="BJ46" s="243">
        <v>1453</v>
      </c>
      <c r="BK46" s="243">
        <v>1493</v>
      </c>
      <c r="BL46" s="243">
        <v>1628</v>
      </c>
      <c r="BM46" s="243">
        <v>2290</v>
      </c>
      <c r="BN46" s="243">
        <v>2388</v>
      </c>
      <c r="BO46" s="243">
        <v>2385</v>
      </c>
      <c r="BP46" s="243">
        <v>2385</v>
      </c>
      <c r="BQ46" s="243">
        <v>2283</v>
      </c>
      <c r="BR46" s="243">
        <v>2456</v>
      </c>
      <c r="BS46" s="243">
        <v>2421</v>
      </c>
      <c r="BT46" s="243">
        <v>2469</v>
      </c>
      <c r="BU46" s="243">
        <f>+BQ46*1.02</f>
        <v>2328.66</v>
      </c>
      <c r="BV46" s="243">
        <f t="shared" ref="BV46:BZ46" si="191">+BR46*1.02</f>
        <v>2505.12</v>
      </c>
      <c r="BW46" s="243">
        <f t="shared" si="191"/>
        <v>2469.42</v>
      </c>
      <c r="BX46" s="243">
        <f t="shared" si="191"/>
        <v>2518.38</v>
      </c>
      <c r="BY46" s="243">
        <f t="shared" si="191"/>
        <v>2375.2331999999997</v>
      </c>
      <c r="BZ46" s="243">
        <f t="shared" si="191"/>
        <v>2555.2224000000001</v>
      </c>
      <c r="CA46" s="243"/>
      <c r="CB46" s="243"/>
      <c r="CC46" s="243"/>
      <c r="CD46" s="243"/>
      <c r="CE46" s="243"/>
      <c r="CF46" s="243"/>
      <c r="CG46" s="243"/>
      <c r="CH46" s="243"/>
      <c r="CI46" s="243">
        <v>2250</v>
      </c>
      <c r="CJ46" s="243">
        <v>2262</v>
      </c>
      <c r="CK46" s="243">
        <v>2111</v>
      </c>
      <c r="CL46" s="243">
        <v>2262</v>
      </c>
      <c r="CM46" s="243">
        <v>2204</v>
      </c>
      <c r="CN46" s="243">
        <v>2224</v>
      </c>
      <c r="CO46" s="243">
        <v>2138</v>
      </c>
      <c r="CP46" s="243">
        <v>2273</v>
      </c>
      <c r="CQ46" s="243">
        <v>2038</v>
      </c>
      <c r="CR46" s="243">
        <v>1451</v>
      </c>
      <c r="CS46" s="243">
        <v>2083</v>
      </c>
      <c r="CT46" s="243">
        <v>2191</v>
      </c>
      <c r="CU46" s="243">
        <v>2113</v>
      </c>
      <c r="CV46" s="243">
        <v>2227</v>
      </c>
      <c r="CW46" s="243">
        <v>2093</v>
      </c>
      <c r="CX46" s="243">
        <v>2155</v>
      </c>
      <c r="CY46" s="243">
        <v>2188</v>
      </c>
      <c r="CZ46" s="243">
        <v>2157</v>
      </c>
      <c r="DA46" s="243">
        <v>2095</v>
      </c>
      <c r="DB46" s="243">
        <f t="shared" ref="DB46:DF46" si="192">+CX46*1.02</f>
        <v>2198.1</v>
      </c>
      <c r="DC46" s="243">
        <f t="shared" si="192"/>
        <v>2231.7600000000002</v>
      </c>
      <c r="DD46" s="243">
        <f t="shared" si="192"/>
        <v>2200.14</v>
      </c>
      <c r="DE46" s="243">
        <f t="shared" si="192"/>
        <v>2136.9</v>
      </c>
      <c r="DF46" s="243">
        <f t="shared" si="192"/>
        <v>2242.0619999999999</v>
      </c>
      <c r="DH46" s="271"/>
      <c r="DI46" s="271"/>
      <c r="DJ46" s="271"/>
      <c r="DK46" s="271"/>
      <c r="DL46" s="271"/>
      <c r="DM46" s="271"/>
      <c r="DN46" s="271"/>
      <c r="DO46" s="271"/>
      <c r="DP46" s="271"/>
      <c r="DQ46" s="235">
        <v>795</v>
      </c>
      <c r="DR46" s="235">
        <v>1751</v>
      </c>
      <c r="DS46" s="235">
        <f t="shared" si="175"/>
        <v>1816</v>
      </c>
      <c r="DT46" s="235">
        <f t="shared" si="176"/>
        <v>2054</v>
      </c>
      <c r="DU46" s="235">
        <f t="shared" si="177"/>
        <v>2537</v>
      </c>
      <c r="DV46" s="235">
        <f t="shared" si="178"/>
        <v>3007</v>
      </c>
      <c r="DW46" s="235">
        <f t="shared" si="179"/>
        <v>3420</v>
      </c>
      <c r="DX46" s="235">
        <f t="shared" si="180"/>
        <v>3847</v>
      </c>
      <c r="DY46" s="235">
        <f t="shared" si="153"/>
        <v>4105</v>
      </c>
      <c r="DZ46" s="235">
        <f t="shared" si="154"/>
        <v>4587</v>
      </c>
      <c r="EA46" s="235">
        <f t="shared" si="155"/>
        <v>4989</v>
      </c>
      <c r="EB46" s="235">
        <f t="shared" si="156"/>
        <v>5372</v>
      </c>
      <c r="EC46" s="235">
        <f t="shared" si="157"/>
        <v>5585</v>
      </c>
      <c r="ED46" s="235">
        <f t="shared" si="181"/>
        <v>5809</v>
      </c>
      <c r="EE46" s="235">
        <f t="shared" si="158"/>
        <v>7799</v>
      </c>
      <c r="EF46" s="235">
        <f t="shared" si="182"/>
        <v>9509</v>
      </c>
      <c r="EG46" s="235">
        <f t="shared" ref="EG46:EI46" si="193">EF46*1.03</f>
        <v>9794.27</v>
      </c>
      <c r="EH46" s="235">
        <f t="shared" si="193"/>
        <v>10088.098100000001</v>
      </c>
      <c r="EI46" s="235">
        <f t="shared" si="193"/>
        <v>10390.741043000002</v>
      </c>
      <c r="EJ46" s="235">
        <f t="shared" ref="EJ46" si="194">EI46*1.03</f>
        <v>10702.463274290003</v>
      </c>
      <c r="EK46" s="235">
        <f t="shared" ref="EK46" si="195">EJ46*1.03</f>
        <v>11023.537172518703</v>
      </c>
      <c r="EL46" s="235">
        <f t="shared" ref="EL46" si="196">EK46*1.03</f>
        <v>11354.243287694264</v>
      </c>
      <c r="EM46" s="235">
        <f t="shared" si="82"/>
        <v>7763</v>
      </c>
      <c r="EN46" s="235">
        <f t="shared" si="70"/>
        <v>8588</v>
      </c>
      <c r="EO46" s="235">
        <f t="shared" si="160"/>
        <v>8638.1</v>
      </c>
      <c r="EP46" s="235">
        <f t="shared" ref="EP46" si="197">EO46*1.03</f>
        <v>8897.2430000000004</v>
      </c>
      <c r="EQ46" s="235">
        <f t="shared" ref="EQ46" si="198">EP46*1.03</f>
        <v>9164.1602899999998</v>
      </c>
      <c r="ER46" s="235">
        <f t="shared" ref="ER46" si="199">EQ46*1.03</f>
        <v>9439.0850986999994</v>
      </c>
      <c r="ES46" s="235">
        <f t="shared" ref="ES46" si="200">ER46*1.03</f>
        <v>9722.2576516609988</v>
      </c>
      <c r="ET46" s="235">
        <f t="shared" ref="ET46" si="201">ES46*1.03</f>
        <v>10013.925381210829</v>
      </c>
      <c r="EU46" s="235">
        <f t="shared" ref="EU46" si="202">ET46*1.03</f>
        <v>10314.343142647154</v>
      </c>
      <c r="EV46" s="235">
        <f t="shared" ref="EV46" si="203">EU46*1.03</f>
        <v>10623.773436926569</v>
      </c>
      <c r="EW46" s="235">
        <f t="shared" ref="EW46" si="204">EV46*1.03</f>
        <v>10942.486640034367</v>
      </c>
      <c r="EZ46" t="s">
        <v>1586</v>
      </c>
    </row>
    <row r="47" spans="2:156" s="254" customFormat="1" ht="12.75" customHeight="1" x14ac:dyDescent="0.2">
      <c r="B47" t="s">
        <v>231</v>
      </c>
      <c r="C47" s="243">
        <f>G47/1.04</f>
        <v>381.73076923076923</v>
      </c>
      <c r="D47" s="243">
        <f>H47/1.03</f>
        <v>383.49514563106794</v>
      </c>
      <c r="E47" s="243">
        <f>I47/1.04</f>
        <v>374.03846153846155</v>
      </c>
      <c r="F47" s="243">
        <f>147+231</f>
        <v>378</v>
      </c>
      <c r="G47" s="243">
        <f>156+241</f>
        <v>397</v>
      </c>
      <c r="H47" s="243">
        <f>158+237</f>
        <v>395</v>
      </c>
      <c r="I47" s="243">
        <f>164+225</f>
        <v>389</v>
      </c>
      <c r="J47" s="243">
        <f>172+254</f>
        <v>426</v>
      </c>
      <c r="K47" s="243">
        <v>480</v>
      </c>
      <c r="L47" s="243">
        <v>475</v>
      </c>
      <c r="M47" s="243">
        <v>467</v>
      </c>
      <c r="N47" s="243">
        <v>495</v>
      </c>
      <c r="O47" s="243">
        <v>482</v>
      </c>
      <c r="P47" s="243">
        <v>509</v>
      </c>
      <c r="Q47" s="243">
        <v>482</v>
      </c>
      <c r="R47" s="243">
        <v>503</v>
      </c>
      <c r="S47" s="243">
        <v>519</v>
      </c>
      <c r="T47" s="243">
        <v>530</v>
      </c>
      <c r="U47" s="243">
        <v>532</v>
      </c>
      <c r="V47" s="76">
        <v>618</v>
      </c>
      <c r="W47" s="76">
        <v>564</v>
      </c>
      <c r="X47" s="76">
        <v>606</v>
      </c>
      <c r="Y47" s="76">
        <v>596</v>
      </c>
      <c r="Z47" s="76">
        <v>620</v>
      </c>
      <c r="AA47" s="76">
        <v>629</v>
      </c>
      <c r="AB47" s="76">
        <v>673</v>
      </c>
      <c r="AC47" s="76">
        <v>640</v>
      </c>
      <c r="AD47" s="76">
        <v>697</v>
      </c>
      <c r="AE47" s="243">
        <v>681</v>
      </c>
      <c r="AF47" s="243">
        <v>716</v>
      </c>
      <c r="AG47" s="243">
        <v>687</v>
      </c>
      <c r="AH47" s="243">
        <v>753</v>
      </c>
      <c r="AI47" s="243">
        <v>787</v>
      </c>
      <c r="AJ47" s="243">
        <v>798</v>
      </c>
      <c r="AK47" s="243">
        <v>745</v>
      </c>
      <c r="AL47" s="243">
        <v>769</v>
      </c>
      <c r="AM47" s="243">
        <v>774</v>
      </c>
      <c r="AN47" s="243">
        <v>816</v>
      </c>
      <c r="AO47" s="243">
        <v>796</v>
      </c>
      <c r="AP47" s="243">
        <v>827</v>
      </c>
      <c r="AQ47" s="243">
        <v>870</v>
      </c>
      <c r="AR47" s="243">
        <v>901</v>
      </c>
      <c r="AS47" s="243">
        <v>877</v>
      </c>
      <c r="AT47" s="243">
        <v>944</v>
      </c>
      <c r="AU47" s="243">
        <v>945</v>
      </c>
      <c r="AV47" s="243">
        <v>1020</v>
      </c>
      <c r="AW47" s="243">
        <v>957</v>
      </c>
      <c r="AX47" s="243">
        <v>918</v>
      </c>
      <c r="AY47" s="243">
        <v>953</v>
      </c>
      <c r="AZ47" s="243">
        <v>1041</v>
      </c>
      <c r="BA47" s="243">
        <v>1019</v>
      </c>
      <c r="BB47" s="243">
        <v>1109</v>
      </c>
      <c r="BC47" s="243">
        <v>1147</v>
      </c>
      <c r="BD47" s="243">
        <v>1132</v>
      </c>
      <c r="BE47" s="243">
        <v>1072</v>
      </c>
      <c r="BF47" s="243">
        <v>1152</v>
      </c>
      <c r="BG47" s="243">
        <v>1193</v>
      </c>
      <c r="BH47" s="243">
        <v>1257</v>
      </c>
      <c r="BI47" s="243">
        <v>1187</v>
      </c>
      <c r="BJ47" s="243">
        <v>1233</v>
      </c>
      <c r="BK47" s="243"/>
      <c r="BL47" s="243"/>
      <c r="BM47" s="243"/>
      <c r="BN47" s="243"/>
      <c r="BO47" s="243"/>
      <c r="BP47" s="243"/>
      <c r="BQ47" s="243"/>
      <c r="BR47" s="243"/>
      <c r="BS47" s="243"/>
      <c r="BT47" s="243"/>
      <c r="BU47" s="243"/>
      <c r="BV47" s="243"/>
      <c r="BW47" s="243"/>
      <c r="BX47" s="243"/>
      <c r="BY47" s="243"/>
      <c r="BZ47" s="243"/>
      <c r="CA47" s="243"/>
      <c r="CB47" s="243"/>
      <c r="CC47" s="243"/>
      <c r="CD47" s="243"/>
      <c r="CE47" s="243"/>
      <c r="CF47" s="243"/>
      <c r="CG47" s="243"/>
      <c r="CH47" s="243"/>
      <c r="CI47" s="243"/>
      <c r="CJ47" s="243"/>
      <c r="CK47" s="243"/>
      <c r="CL47" s="243"/>
      <c r="CM47" s="243"/>
      <c r="CN47" s="243"/>
      <c r="CO47" s="243"/>
      <c r="CP47" s="243"/>
      <c r="CQ47" s="243"/>
      <c r="CR47" s="243"/>
      <c r="CS47" s="243"/>
      <c r="CT47" s="243"/>
      <c r="CU47" s="243"/>
      <c r="CV47" s="243"/>
      <c r="CW47" s="243"/>
      <c r="CX47" s="243"/>
      <c r="CY47" s="243"/>
      <c r="CZ47" s="243"/>
      <c r="DA47" s="243"/>
      <c r="DB47" s="243"/>
      <c r="DC47" s="243"/>
      <c r="DD47" s="243"/>
      <c r="DE47" s="243"/>
      <c r="DF47" s="243"/>
      <c r="DH47" s="271"/>
      <c r="DI47" s="271"/>
      <c r="DJ47" s="271"/>
      <c r="DK47" s="271"/>
      <c r="DL47" s="271"/>
      <c r="DM47" s="271"/>
      <c r="DN47" s="271"/>
      <c r="DO47" s="235">
        <f>DP47*1</f>
        <v>1525</v>
      </c>
      <c r="DP47" s="235">
        <f>586+939</f>
        <v>1525</v>
      </c>
      <c r="DQ47" s="235">
        <f>SUM(G47:J47)</f>
        <v>1607</v>
      </c>
      <c r="DR47" s="235">
        <f>1828+108</f>
        <v>1936</v>
      </c>
      <c r="DS47" s="235">
        <f t="shared" si="175"/>
        <v>1976</v>
      </c>
      <c r="DT47" s="235">
        <f t="shared" si="176"/>
        <v>2199</v>
      </c>
      <c r="DU47" s="235">
        <f t="shared" si="177"/>
        <v>2386</v>
      </c>
      <c r="DV47" s="235">
        <f t="shared" si="178"/>
        <v>2639</v>
      </c>
      <c r="DW47" s="235">
        <f t="shared" si="179"/>
        <v>2837</v>
      </c>
      <c r="DX47" s="235">
        <f t="shared" si="180"/>
        <v>3099</v>
      </c>
      <c r="DY47" s="235">
        <f t="shared" si="153"/>
        <v>3213</v>
      </c>
      <c r="DZ47" s="235">
        <f t="shared" si="154"/>
        <v>3592</v>
      </c>
      <c r="EA47" s="235">
        <f t="shared" si="155"/>
        <v>3840</v>
      </c>
      <c r="EB47" s="235">
        <f t="shared" si="156"/>
        <v>4122</v>
      </c>
      <c r="EC47" s="235">
        <f t="shared" si="157"/>
        <v>4503</v>
      </c>
      <c r="ED47" s="235">
        <f t="shared" si="181"/>
        <v>4870</v>
      </c>
      <c r="EE47" s="235"/>
      <c r="EF47" s="235"/>
      <c r="EG47" s="235"/>
      <c r="EH47" s="235"/>
      <c r="EI47" s="235"/>
      <c r="EJ47" s="235"/>
      <c r="EK47" s="235"/>
      <c r="EL47" s="235"/>
      <c r="EM47" s="235"/>
      <c r="EN47" s="235"/>
      <c r="EO47" s="235">
        <f t="shared" si="160"/>
        <v>0</v>
      </c>
      <c r="EP47" s="235">
        <f t="shared" ref="EP47:EP48" si="205">SUM(CZ47:DC47)</f>
        <v>0</v>
      </c>
      <c r="EQ47" s="235">
        <f t="shared" ref="EQ47:EQ48" si="206">SUM(DA47:DD47)</f>
        <v>0</v>
      </c>
      <c r="ER47" s="235">
        <f t="shared" ref="ER47:ER48" si="207">SUM(DB47:DE47)</f>
        <v>0</v>
      </c>
      <c r="ES47" s="235">
        <f t="shared" ref="ES47:ES48" si="208">SUM(DC47:DF47)</f>
        <v>0</v>
      </c>
      <c r="ET47" s="235">
        <f t="shared" ref="ET47:ET48" si="209">SUM(DD47:DG47)</f>
        <v>0</v>
      </c>
      <c r="EU47" s="235">
        <f t="shared" ref="EU47:EU48" si="210">SUM(DE47:DH47)</f>
        <v>0</v>
      </c>
      <c r="EV47" s="235">
        <f t="shared" ref="EV47:EV48" si="211">SUM(DF47:DI47)</f>
        <v>0</v>
      </c>
      <c r="EW47" s="235">
        <f t="shared" ref="EW47:EW48" si="212">SUM(DG47:DJ47)</f>
        <v>0</v>
      </c>
      <c r="EZ47" t="s">
        <v>1464</v>
      </c>
    </row>
    <row r="48" spans="2:156" s="254" customFormat="1" ht="12.75" customHeight="1" x14ac:dyDescent="0.2">
      <c r="B48" t="s">
        <v>335</v>
      </c>
      <c r="C48" s="243">
        <f>G48/1.16</f>
        <v>244.82758620689657</v>
      </c>
      <c r="D48" s="243">
        <f>H48/1.17</f>
        <v>247.86324786324789</v>
      </c>
      <c r="E48" s="243">
        <f>I48/1.17</f>
        <v>252.13675213675216</v>
      </c>
      <c r="F48" s="243">
        <f>164+100</f>
        <v>264</v>
      </c>
      <c r="G48" s="243">
        <f>171+113</f>
        <v>284</v>
      </c>
      <c r="H48" s="243">
        <f>178+112</f>
        <v>290</v>
      </c>
      <c r="I48" s="243">
        <f>193+102</f>
        <v>295</v>
      </c>
      <c r="J48" s="243">
        <f>196+127</f>
        <v>323</v>
      </c>
      <c r="K48" s="243">
        <v>427</v>
      </c>
      <c r="L48" s="243">
        <v>431</v>
      </c>
      <c r="M48" s="243">
        <v>431</v>
      </c>
      <c r="N48" s="243">
        <v>450</v>
      </c>
      <c r="O48" s="243">
        <v>448</v>
      </c>
      <c r="P48" s="243">
        <v>463</v>
      </c>
      <c r="Q48" s="243">
        <v>447</v>
      </c>
      <c r="R48" s="243">
        <v>482</v>
      </c>
      <c r="S48" s="243">
        <v>475</v>
      </c>
      <c r="T48" s="243">
        <v>499</v>
      </c>
      <c r="U48" s="243">
        <v>503</v>
      </c>
      <c r="V48" s="76">
        <v>523</v>
      </c>
      <c r="W48" s="76">
        <v>521</v>
      </c>
      <c r="X48" s="76">
        <v>575</v>
      </c>
      <c r="Y48" s="76">
        <v>571</v>
      </c>
      <c r="Z48" s="76">
        <v>625</v>
      </c>
      <c r="AA48" s="76">
        <v>623</v>
      </c>
      <c r="AB48" s="76">
        <v>649</v>
      </c>
      <c r="AC48" s="76">
        <v>622</v>
      </c>
      <c r="AD48" s="76">
        <v>693</v>
      </c>
      <c r="AE48" s="243">
        <v>665</v>
      </c>
      <c r="AF48" s="243">
        <v>710</v>
      </c>
      <c r="AG48" s="243">
        <v>672</v>
      </c>
      <c r="AH48" s="243">
        <v>802</v>
      </c>
      <c r="AI48" s="243">
        <v>767</v>
      </c>
      <c r="AJ48" s="243">
        <v>785</v>
      </c>
      <c r="AK48" s="243">
        <v>723</v>
      </c>
      <c r="AL48" s="243">
        <v>823</v>
      </c>
      <c r="AM48" s="243">
        <v>794</v>
      </c>
      <c r="AN48" s="243">
        <v>857</v>
      </c>
      <c r="AO48" s="243">
        <v>826</v>
      </c>
      <c r="AP48" s="243">
        <v>900</v>
      </c>
      <c r="AQ48" s="243">
        <v>891</v>
      </c>
      <c r="AR48" s="243">
        <v>957</v>
      </c>
      <c r="AS48" s="243">
        <v>922</v>
      </c>
      <c r="AT48" s="243">
        <v>1064</v>
      </c>
      <c r="AU48" s="243">
        <v>1003</v>
      </c>
      <c r="AV48" s="243">
        <v>1124</v>
      </c>
      <c r="AW48" s="243">
        <v>1042</v>
      </c>
      <c r="AX48" s="243">
        <v>1117</v>
      </c>
      <c r="AY48" s="243">
        <v>1015</v>
      </c>
      <c r="AZ48" s="243">
        <v>1115</v>
      </c>
      <c r="BA48" s="243">
        <v>1106</v>
      </c>
      <c r="BB48" s="243">
        <v>1256</v>
      </c>
      <c r="BC48" s="243">
        <v>1168</v>
      </c>
      <c r="BD48" s="243">
        <v>1196</v>
      </c>
      <c r="BE48" s="243">
        <v>1137</v>
      </c>
      <c r="BF48" s="243">
        <v>1257</v>
      </c>
      <c r="BG48" s="243">
        <v>1221</v>
      </c>
      <c r="BH48" s="243">
        <v>1295</v>
      </c>
      <c r="BI48" s="243">
        <v>1231</v>
      </c>
      <c r="BJ48" s="243">
        <v>1333</v>
      </c>
      <c r="BK48" s="243"/>
      <c r="BL48" s="243"/>
      <c r="BM48" s="243"/>
      <c r="BN48" s="243"/>
      <c r="BO48" s="243"/>
      <c r="BP48" s="243"/>
      <c r="BQ48" s="243"/>
      <c r="BR48" s="243"/>
      <c r="BS48" s="243"/>
      <c r="BT48" s="243"/>
      <c r="BU48" s="243"/>
      <c r="BV48" s="243"/>
      <c r="BW48" s="243"/>
      <c r="BX48" s="243"/>
      <c r="BY48" s="243"/>
      <c r="BZ48" s="243"/>
      <c r="CA48" s="243"/>
      <c r="CB48" s="243"/>
      <c r="CC48" s="243"/>
      <c r="CD48" s="243"/>
      <c r="CE48" s="243"/>
      <c r="CF48" s="243"/>
      <c r="CG48" s="243"/>
      <c r="CH48" s="243"/>
      <c r="CI48" s="243"/>
      <c r="CJ48" s="243"/>
      <c r="CK48" s="243"/>
      <c r="CL48" s="243"/>
      <c r="CM48" s="243"/>
      <c r="CN48" s="243"/>
      <c r="CO48" s="243"/>
      <c r="CP48" s="243"/>
      <c r="CQ48" s="243"/>
      <c r="CR48" s="243"/>
      <c r="CS48" s="243"/>
      <c r="CT48" s="243"/>
      <c r="CU48" s="243"/>
      <c r="CV48" s="243"/>
      <c r="CW48" s="243"/>
      <c r="CX48" s="243"/>
      <c r="CY48" s="243"/>
      <c r="CZ48" s="243"/>
      <c r="DA48" s="243"/>
      <c r="DB48" s="243"/>
      <c r="DC48" s="243"/>
      <c r="DD48" s="243"/>
      <c r="DE48" s="243"/>
      <c r="DF48" s="243"/>
      <c r="DH48" s="271"/>
      <c r="DI48" s="271"/>
      <c r="DJ48" s="271"/>
      <c r="DK48" s="271"/>
      <c r="DL48" s="271"/>
      <c r="DM48" s="271"/>
      <c r="DN48" s="271"/>
      <c r="DO48" s="235">
        <f>+DP48/1.16</f>
        <v>869.67895362663512</v>
      </c>
      <c r="DP48" s="235">
        <f>SUM(C48:F48)</f>
        <v>1008.8275862068966</v>
      </c>
      <c r="DQ48" s="235">
        <f>SUM(G48:J48)</f>
        <v>1192</v>
      </c>
      <c r="DR48" s="235">
        <f>SUM(K48:N48)</f>
        <v>1739</v>
      </c>
      <c r="DS48" s="235">
        <f t="shared" si="175"/>
        <v>1840</v>
      </c>
      <c r="DT48" s="235">
        <f t="shared" si="176"/>
        <v>2000</v>
      </c>
      <c r="DU48" s="235">
        <f t="shared" si="177"/>
        <v>2292</v>
      </c>
      <c r="DV48" s="235">
        <f t="shared" si="178"/>
        <v>2587</v>
      </c>
      <c r="DW48" s="235">
        <f t="shared" si="179"/>
        <v>2849</v>
      </c>
      <c r="DX48" s="235">
        <f t="shared" si="180"/>
        <v>3098</v>
      </c>
      <c r="DY48" s="235">
        <f t="shared" si="153"/>
        <v>3377</v>
      </c>
      <c r="DZ48" s="235">
        <f t="shared" si="154"/>
        <v>3834</v>
      </c>
      <c r="EA48" s="235">
        <f t="shared" si="155"/>
        <v>4286</v>
      </c>
      <c r="EB48" s="235">
        <f t="shared" si="156"/>
        <v>4492</v>
      </c>
      <c r="EC48" s="235">
        <f t="shared" si="157"/>
        <v>4758</v>
      </c>
      <c r="ED48" s="235">
        <f t="shared" si="181"/>
        <v>5080</v>
      </c>
      <c r="EE48" s="235"/>
      <c r="EF48" s="235"/>
      <c r="EG48" s="235"/>
      <c r="EH48" s="235"/>
      <c r="EI48" s="235"/>
      <c r="EJ48" s="235"/>
      <c r="EK48" s="235"/>
      <c r="EL48" s="235"/>
      <c r="EM48" s="235"/>
      <c r="EN48" s="235"/>
      <c r="EO48" s="235">
        <f t="shared" si="160"/>
        <v>0</v>
      </c>
      <c r="EP48" s="235">
        <f t="shared" si="205"/>
        <v>0</v>
      </c>
      <c r="EQ48" s="235">
        <f t="shared" si="206"/>
        <v>0</v>
      </c>
      <c r="ER48" s="235">
        <f t="shared" si="207"/>
        <v>0</v>
      </c>
      <c r="ES48" s="235">
        <f t="shared" si="208"/>
        <v>0</v>
      </c>
      <c r="ET48" s="235">
        <f t="shared" si="209"/>
        <v>0</v>
      </c>
      <c r="EU48" s="235">
        <f t="shared" si="210"/>
        <v>0</v>
      </c>
      <c r="EV48" s="235">
        <f t="shared" si="211"/>
        <v>0</v>
      </c>
      <c r="EW48" s="235">
        <f t="shared" si="212"/>
        <v>0</v>
      </c>
      <c r="EZ48" t="s">
        <v>1466</v>
      </c>
    </row>
    <row r="49" spans="1:159" s="254" customFormat="1" ht="12.75" customHeight="1" x14ac:dyDescent="0.2">
      <c r="B49" t="s">
        <v>1648</v>
      </c>
      <c r="C49" s="243"/>
      <c r="D49" s="243"/>
      <c r="E49" s="243"/>
      <c r="F49" s="243"/>
      <c r="G49" s="243"/>
      <c r="H49" s="243"/>
      <c r="I49" s="243"/>
      <c r="J49" s="243"/>
      <c r="K49" s="243"/>
      <c r="L49" s="243"/>
      <c r="M49" s="243"/>
      <c r="N49" s="243"/>
      <c r="O49" s="243"/>
      <c r="P49" s="243"/>
      <c r="Q49" s="243"/>
      <c r="R49" s="243"/>
      <c r="S49" s="243"/>
      <c r="T49" s="243"/>
      <c r="U49" s="243"/>
      <c r="V49" s="76"/>
      <c r="W49" s="76"/>
      <c r="X49" s="76"/>
      <c r="Y49" s="76"/>
      <c r="Z49" s="76"/>
      <c r="AA49" s="76"/>
      <c r="AB49" s="76"/>
      <c r="AC49" s="76"/>
      <c r="AD49" s="76"/>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37">
        <f>577+216</f>
        <v>793</v>
      </c>
      <c r="BH49" s="243"/>
      <c r="BI49" s="243">
        <f>576+220</f>
        <v>796</v>
      </c>
      <c r="BJ49" s="243">
        <f>634+238</f>
        <v>872</v>
      </c>
      <c r="BK49" s="243">
        <f>628+244</f>
        <v>872</v>
      </c>
      <c r="BL49" s="243">
        <f>646+230</f>
        <v>876</v>
      </c>
      <c r="BM49" s="243">
        <f>597+232</f>
        <v>829</v>
      </c>
      <c r="BN49" s="243">
        <f>655+246</f>
        <v>901</v>
      </c>
      <c r="BO49" s="243">
        <f>627+212</f>
        <v>839</v>
      </c>
      <c r="BP49" s="243">
        <f>656+234</f>
        <v>890</v>
      </c>
      <c r="BQ49" s="243">
        <f>626+220</f>
        <v>846</v>
      </c>
      <c r="BR49" s="243">
        <f>683+246</f>
        <v>929</v>
      </c>
      <c r="BS49" s="243">
        <v>874</v>
      </c>
      <c r="BT49" s="243">
        <v>905</v>
      </c>
      <c r="BU49" s="243">
        <f>+BQ49*1.01</f>
        <v>854.46</v>
      </c>
      <c r="BV49" s="243">
        <f t="shared" ref="BV49:BZ49" si="213">+BR49*1.01</f>
        <v>938.29</v>
      </c>
      <c r="BW49" s="243">
        <f t="shared" si="213"/>
        <v>882.74</v>
      </c>
      <c r="BX49" s="243">
        <f t="shared" si="213"/>
        <v>914.05</v>
      </c>
      <c r="BY49" s="243">
        <f t="shared" si="213"/>
        <v>863.0046000000001</v>
      </c>
      <c r="BZ49" s="243">
        <f t="shared" si="213"/>
        <v>947.67290000000003</v>
      </c>
      <c r="CA49" s="243"/>
      <c r="CB49" s="243"/>
      <c r="CC49" s="243"/>
      <c r="CD49" s="243"/>
      <c r="CE49" s="243"/>
      <c r="CF49" s="243"/>
      <c r="CG49" s="243"/>
      <c r="CH49" s="243"/>
      <c r="CI49" s="243">
        <f>966+330</f>
        <v>1296</v>
      </c>
      <c r="CJ49" s="243">
        <f>1005+341</f>
        <v>1346</v>
      </c>
      <c r="CK49" s="243">
        <f>976+320</f>
        <v>1296</v>
      </c>
      <c r="CL49" s="243">
        <f>1055+351</f>
        <v>1406</v>
      </c>
      <c r="CM49" s="243">
        <f>980+325</f>
        <v>1305</v>
      </c>
      <c r="CN49" s="243">
        <f>1029+206</f>
        <v>1235</v>
      </c>
      <c r="CO49" s="243">
        <f>1010+200</f>
        <v>1210</v>
      </c>
      <c r="CP49" s="243">
        <f>1076+195</f>
        <v>1271</v>
      </c>
      <c r="CQ49" s="243">
        <v>948</v>
      </c>
      <c r="CR49" s="243">
        <v>775</v>
      </c>
      <c r="CS49" s="243">
        <v>1000</v>
      </c>
      <c r="CT49" s="243">
        <v>1116</v>
      </c>
      <c r="CU49" s="243">
        <v>1118</v>
      </c>
      <c r="CV49" s="243">
        <v>1168</v>
      </c>
      <c r="CW49" s="243">
        <v>1144</v>
      </c>
      <c r="CX49" s="243">
        <v>1192</v>
      </c>
      <c r="CY49" s="243">
        <v>1146</v>
      </c>
      <c r="CZ49" s="243">
        <v>1156</v>
      </c>
      <c r="DA49" s="243">
        <v>1158</v>
      </c>
      <c r="DB49" s="243">
        <f t="shared" ref="DB49:DB50" si="214">+CX49*1.02</f>
        <v>1215.8399999999999</v>
      </c>
      <c r="DC49" s="243">
        <f t="shared" ref="DC49:DC50" si="215">+CY49*1.02</f>
        <v>1168.92</v>
      </c>
      <c r="DD49" s="243">
        <f t="shared" ref="DD49:DD50" si="216">+CZ49*1.02</f>
        <v>1179.1200000000001</v>
      </c>
      <c r="DE49" s="243">
        <f t="shared" ref="DE49:DE50" si="217">+DA49*1.02</f>
        <v>1181.1600000000001</v>
      </c>
      <c r="DF49" s="243">
        <f t="shared" ref="DF49:DF50" si="218">+DB49*1.02</f>
        <v>1240.1568</v>
      </c>
      <c r="DH49" s="271"/>
      <c r="DI49" s="271"/>
      <c r="DJ49" s="271"/>
      <c r="DK49" s="271"/>
      <c r="DL49" s="271"/>
      <c r="DM49" s="271"/>
      <c r="DN49" s="271"/>
      <c r="DO49" s="235"/>
      <c r="DP49" s="235"/>
      <c r="DQ49" s="235"/>
      <c r="DR49" s="235"/>
      <c r="DS49" s="235"/>
      <c r="DT49" s="235"/>
      <c r="DU49" s="235"/>
      <c r="DV49" s="235"/>
      <c r="DW49" s="235"/>
      <c r="DX49" s="235"/>
      <c r="DY49" s="235"/>
      <c r="DZ49" s="235"/>
      <c r="EA49" s="235"/>
      <c r="EB49" s="235"/>
      <c r="EC49" s="235"/>
      <c r="ED49" s="235"/>
      <c r="EE49" s="235">
        <f t="shared" si="158"/>
        <v>3478</v>
      </c>
      <c r="EF49" s="235">
        <f t="shared" si="182"/>
        <v>3504</v>
      </c>
      <c r="EG49" s="235">
        <f t="shared" ref="EG49:EL49" si="219">+EF49*1.01</f>
        <v>3539.04</v>
      </c>
      <c r="EH49" s="235">
        <f t="shared" si="219"/>
        <v>3574.4304000000002</v>
      </c>
      <c r="EI49" s="235">
        <f t="shared" si="219"/>
        <v>3610.174704</v>
      </c>
      <c r="EJ49" s="235">
        <f t="shared" si="219"/>
        <v>3646.2764510400002</v>
      </c>
      <c r="EK49" s="235">
        <f t="shared" si="219"/>
        <v>3682.7392155504003</v>
      </c>
      <c r="EL49" s="235">
        <f t="shared" si="219"/>
        <v>3719.5666077059045</v>
      </c>
      <c r="EM49" s="235">
        <f t="shared" si="82"/>
        <v>3839</v>
      </c>
      <c r="EN49" s="235">
        <f t="shared" si="70"/>
        <v>4622</v>
      </c>
      <c r="EO49" s="235">
        <f t="shared" si="160"/>
        <v>4675.84</v>
      </c>
      <c r="EP49" s="235">
        <f t="shared" ref="EP49:EP50" si="220">+EO49*1.01</f>
        <v>4722.5983999999999</v>
      </c>
      <c r="EQ49" s="235">
        <f t="shared" ref="EQ49:EQ50" si="221">+EP49*1.01</f>
        <v>4769.8243839999996</v>
      </c>
      <c r="ER49" s="235">
        <f t="shared" ref="ER49:ER50" si="222">+EQ49*1.01</f>
        <v>4817.5226278399996</v>
      </c>
      <c r="ES49" s="235">
        <f t="shared" ref="ES49:ES50" si="223">+ER49*1.01</f>
        <v>4865.6978541183998</v>
      </c>
      <c r="ET49" s="235">
        <f t="shared" ref="ET49:ET50" si="224">+ES49*1.01</f>
        <v>4914.3548326595837</v>
      </c>
      <c r="EU49" s="235">
        <f t="shared" ref="EU49:EU50" si="225">+ET49*1.01</f>
        <v>4963.4983809861797</v>
      </c>
      <c r="EV49" s="235">
        <f t="shared" ref="EV49:EV50" si="226">+EU49*1.01</f>
        <v>5013.1333647960419</v>
      </c>
      <c r="EW49" s="235">
        <f t="shared" ref="EW49:EW50" si="227">+EV49*1.01</f>
        <v>5063.2646984440025</v>
      </c>
      <c r="EZ49"/>
    </row>
    <row r="50" spans="1:159" s="254" customFormat="1" ht="12.75" customHeight="1" x14ac:dyDescent="0.2">
      <c r="B50" t="s">
        <v>1554</v>
      </c>
      <c r="C50" s="243"/>
      <c r="D50" s="243"/>
      <c r="E50" s="243"/>
      <c r="F50" s="243"/>
      <c r="G50" s="243"/>
      <c r="H50" s="243"/>
      <c r="I50" s="243"/>
      <c r="J50" s="243"/>
      <c r="K50" s="243"/>
      <c r="L50" s="243"/>
      <c r="M50" s="243"/>
      <c r="N50" s="243"/>
      <c r="O50" s="243"/>
      <c r="P50" s="243"/>
      <c r="Q50" s="243"/>
      <c r="R50" s="243"/>
      <c r="S50" s="243"/>
      <c r="T50" s="243"/>
      <c r="U50" s="243"/>
      <c r="V50" s="76"/>
      <c r="W50" s="76"/>
      <c r="X50" s="76"/>
      <c r="Y50" s="76"/>
      <c r="Z50" s="76"/>
      <c r="AA50" s="76"/>
      <c r="AB50" s="76"/>
      <c r="AC50" s="76"/>
      <c r="AD50" s="76"/>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37" t="s">
        <v>1560</v>
      </c>
      <c r="BH50" s="243"/>
      <c r="BI50" s="243">
        <v>1622</v>
      </c>
      <c r="BJ50" s="243">
        <v>1694</v>
      </c>
      <c r="BK50" s="243">
        <v>1625</v>
      </c>
      <c r="BL50" s="243">
        <v>1640</v>
      </c>
      <c r="BM50" s="243">
        <v>1551</v>
      </c>
      <c r="BN50" s="243">
        <v>1667</v>
      </c>
      <c r="BO50" s="243">
        <v>1508</v>
      </c>
      <c r="BP50" s="243">
        <v>1588</v>
      </c>
      <c r="BQ50" s="243">
        <v>1534</v>
      </c>
      <c r="BR50" s="243">
        <v>1639</v>
      </c>
      <c r="BS50" s="243">
        <v>1508</v>
      </c>
      <c r="BT50" s="243">
        <v>1575</v>
      </c>
      <c r="BU50" s="243">
        <f>+BQ50*0.99</f>
        <v>1518.66</v>
      </c>
      <c r="BV50" s="243">
        <f t="shared" ref="BV50:BZ50" si="228">+BR50*0.99</f>
        <v>1622.61</v>
      </c>
      <c r="BW50" s="243">
        <f t="shared" si="228"/>
        <v>1492.92</v>
      </c>
      <c r="BX50" s="243">
        <f t="shared" si="228"/>
        <v>1559.25</v>
      </c>
      <c r="BY50" s="243">
        <f t="shared" si="228"/>
        <v>1503.4734000000001</v>
      </c>
      <c r="BZ50" s="243">
        <f t="shared" si="228"/>
        <v>1606.3838999999998</v>
      </c>
      <c r="CA50" s="243"/>
      <c r="CB50" s="243"/>
      <c r="CC50" s="243"/>
      <c r="CD50" s="243"/>
      <c r="CE50" s="243"/>
      <c r="CF50" s="243"/>
      <c r="CG50" s="243"/>
      <c r="CH50" s="243"/>
      <c r="CI50" s="243">
        <v>1127</v>
      </c>
      <c r="CJ50" s="243">
        <v>1169</v>
      </c>
      <c r="CK50" s="243">
        <v>1080</v>
      </c>
      <c r="CL50" s="243">
        <v>1181</v>
      </c>
      <c r="CM50" s="243">
        <v>1089</v>
      </c>
      <c r="CN50" s="243">
        <v>1119</v>
      </c>
      <c r="CO50" s="243">
        <v>1101</v>
      </c>
      <c r="CP50" s="243">
        <v>1171</v>
      </c>
      <c r="CQ50" s="243">
        <v>1153</v>
      </c>
      <c r="CR50" s="243">
        <v>775</v>
      </c>
      <c r="CS50" s="243">
        <v>1152</v>
      </c>
      <c r="CT50" s="243">
        <v>1312</v>
      </c>
      <c r="CU50" s="243">
        <v>1254</v>
      </c>
      <c r="CV50" s="243">
        <v>1354</v>
      </c>
      <c r="CW50" s="243">
        <v>1261</v>
      </c>
      <c r="CX50" s="243">
        <v>1321</v>
      </c>
      <c r="CY50" s="243">
        <v>1288</v>
      </c>
      <c r="CZ50" s="243">
        <v>1294</v>
      </c>
      <c r="DA50" s="243">
        <v>1264</v>
      </c>
      <c r="DB50" s="243">
        <f t="shared" si="214"/>
        <v>1347.42</v>
      </c>
      <c r="DC50" s="243">
        <f t="shared" si="215"/>
        <v>1313.76</v>
      </c>
      <c r="DD50" s="243">
        <f t="shared" si="216"/>
        <v>1319.88</v>
      </c>
      <c r="DE50" s="243">
        <f t="shared" si="217"/>
        <v>1289.28</v>
      </c>
      <c r="DF50" s="243">
        <f t="shared" si="218"/>
        <v>1374.3684000000001</v>
      </c>
      <c r="DH50" s="271"/>
      <c r="DI50" s="271"/>
      <c r="DJ50" s="271"/>
      <c r="DK50" s="271"/>
      <c r="DL50" s="271"/>
      <c r="DM50" s="271"/>
      <c r="DN50" s="271"/>
      <c r="DO50" s="235"/>
      <c r="DP50" s="235"/>
      <c r="DQ50" s="235"/>
      <c r="DR50" s="235"/>
      <c r="DS50" s="235"/>
      <c r="DT50" s="235"/>
      <c r="DU50" s="235"/>
      <c r="DV50" s="235"/>
      <c r="DW50" s="235"/>
      <c r="DX50" s="235"/>
      <c r="DY50" s="235"/>
      <c r="DZ50" s="235"/>
      <c r="EA50" s="235"/>
      <c r="EB50" s="235"/>
      <c r="EC50" s="235"/>
      <c r="ED50" s="235"/>
      <c r="EE50" s="235">
        <f t="shared" si="158"/>
        <v>6483</v>
      </c>
      <c r="EF50" s="235">
        <f t="shared" si="182"/>
        <v>6269</v>
      </c>
      <c r="EG50" s="235">
        <f t="shared" ref="EG50:EL50" si="229">+EF50*1.01</f>
        <v>6331.6900000000005</v>
      </c>
      <c r="EH50" s="235">
        <f t="shared" si="229"/>
        <v>6395.0069000000003</v>
      </c>
      <c r="EI50" s="235">
        <f t="shared" si="229"/>
        <v>6458.9569690000008</v>
      </c>
      <c r="EJ50" s="235">
        <f t="shared" si="229"/>
        <v>6523.5465386900005</v>
      </c>
      <c r="EK50" s="235">
        <f t="shared" si="229"/>
        <v>6588.7820040769002</v>
      </c>
      <c r="EL50" s="235">
        <f t="shared" si="229"/>
        <v>6654.6698241176691</v>
      </c>
      <c r="EM50" s="235">
        <f t="shared" si="82"/>
        <v>4392</v>
      </c>
      <c r="EN50" s="235">
        <f t="shared" si="70"/>
        <v>5190</v>
      </c>
      <c r="EO50" s="235">
        <f t="shared" si="160"/>
        <v>5193.42</v>
      </c>
      <c r="EP50" s="235">
        <f t="shared" si="220"/>
        <v>5245.3541999999998</v>
      </c>
      <c r="EQ50" s="235">
        <f t="shared" si="221"/>
        <v>5297.807742</v>
      </c>
      <c r="ER50" s="235">
        <f t="shared" si="222"/>
        <v>5350.7858194199998</v>
      </c>
      <c r="ES50" s="235">
        <f t="shared" si="223"/>
        <v>5404.2936776141996</v>
      </c>
      <c r="ET50" s="235">
        <f t="shared" si="224"/>
        <v>5458.3366143903413</v>
      </c>
      <c r="EU50" s="235">
        <f t="shared" si="225"/>
        <v>5512.919980534245</v>
      </c>
      <c r="EV50" s="235">
        <f t="shared" si="226"/>
        <v>5568.0491803395871</v>
      </c>
      <c r="EW50" s="235">
        <f t="shared" si="227"/>
        <v>5623.729672142983</v>
      </c>
      <c r="EZ50"/>
    </row>
    <row r="51" spans="1:159" s="254" customFormat="1" ht="12.75" customHeight="1" x14ac:dyDescent="0.2">
      <c r="B51" t="s">
        <v>1124</v>
      </c>
      <c r="C51" s="243">
        <f>G51/1.1</f>
        <v>210.90909090909088</v>
      </c>
      <c r="D51" s="243">
        <f>H51/0.95</f>
        <v>229.47368421052633</v>
      </c>
      <c r="E51" s="243">
        <f>I51/1.08</f>
        <v>241.66666666666666</v>
      </c>
      <c r="F51" s="243">
        <f>177+74</f>
        <v>251</v>
      </c>
      <c r="G51" s="243">
        <f>166+66</f>
        <v>232</v>
      </c>
      <c r="H51" s="243">
        <f>146+72</f>
        <v>218</v>
      </c>
      <c r="I51" s="243">
        <f>198+63</f>
        <v>261</v>
      </c>
      <c r="J51" s="243">
        <f>195+92</f>
        <v>287</v>
      </c>
      <c r="K51" s="243">
        <f>184+76</f>
        <v>260</v>
      </c>
      <c r="L51" s="243">
        <f>168+78</f>
        <v>246</v>
      </c>
      <c r="M51" s="243">
        <f>192+71</f>
        <v>263</v>
      </c>
      <c r="N51" s="243">
        <f>177+97</f>
        <v>274</v>
      </c>
      <c r="O51" s="243">
        <v>233</v>
      </c>
      <c r="P51" s="243">
        <v>252</v>
      </c>
      <c r="Q51" s="243">
        <v>254</v>
      </c>
      <c r="R51" s="243">
        <v>249</v>
      </c>
      <c r="S51" s="243">
        <v>263</v>
      </c>
      <c r="T51" s="243">
        <v>266</v>
      </c>
      <c r="U51" s="243">
        <v>293</v>
      </c>
      <c r="V51" s="76">
        <v>285</v>
      </c>
      <c r="W51" s="76">
        <v>318</v>
      </c>
      <c r="X51" s="76">
        <v>353</v>
      </c>
      <c r="Y51" s="76">
        <v>324</v>
      </c>
      <c r="Z51" s="76">
        <v>347</v>
      </c>
      <c r="AA51" s="76">
        <v>348</v>
      </c>
      <c r="AB51" s="76">
        <v>330</v>
      </c>
      <c r="AC51" s="76">
        <v>362</v>
      </c>
      <c r="AD51" s="76">
        <v>387</v>
      </c>
      <c r="AE51" s="243">
        <v>400</v>
      </c>
      <c r="AF51" s="243">
        <v>420</v>
      </c>
      <c r="AG51" s="243">
        <v>420</v>
      </c>
      <c r="AH51" s="243">
        <v>461</v>
      </c>
      <c r="AI51" s="243">
        <v>501</v>
      </c>
      <c r="AJ51" s="243">
        <v>474</v>
      </c>
      <c r="AK51" s="243">
        <v>462</v>
      </c>
      <c r="AL51" s="243">
        <v>473</v>
      </c>
      <c r="AM51" s="243">
        <v>504</v>
      </c>
      <c r="AN51" s="243">
        <v>522</v>
      </c>
      <c r="AO51" s="243">
        <v>505</v>
      </c>
      <c r="AP51" s="243">
        <v>542</v>
      </c>
      <c r="AQ51" s="243">
        <v>549</v>
      </c>
      <c r="AR51" s="243">
        <v>596</v>
      </c>
      <c r="AS51" s="243">
        <v>585</v>
      </c>
      <c r="AT51" s="243">
        <v>643</v>
      </c>
      <c r="AU51" s="243">
        <v>615</v>
      </c>
      <c r="AV51" s="243">
        <v>674</v>
      </c>
      <c r="AW51" s="243">
        <v>667</v>
      </c>
      <c r="AX51" s="243">
        <v>579</v>
      </c>
      <c r="AY51" s="243">
        <v>541</v>
      </c>
      <c r="AZ51" s="243">
        <v>610</v>
      </c>
      <c r="BA51" s="243">
        <v>634</v>
      </c>
      <c r="BB51" s="243">
        <v>655</v>
      </c>
      <c r="BC51" s="243">
        <v>597</v>
      </c>
      <c r="BD51" s="243">
        <v>616</v>
      </c>
      <c r="BE51" s="243">
        <v>613</v>
      </c>
      <c r="BF51" s="243">
        <v>644</v>
      </c>
      <c r="BG51" s="243">
        <v>637</v>
      </c>
      <c r="BH51" s="243">
        <v>681</v>
      </c>
      <c r="BI51" s="243">
        <v>664</v>
      </c>
      <c r="BJ51" s="243">
        <v>670</v>
      </c>
      <c r="BK51" s="243">
        <v>670</v>
      </c>
      <c r="BL51" s="243">
        <v>673</v>
      </c>
      <c r="BM51" s="243">
        <v>629</v>
      </c>
      <c r="BN51" s="243">
        <v>644</v>
      </c>
      <c r="BO51" s="243">
        <v>600</v>
      </c>
      <c r="BP51" s="243">
        <v>589</v>
      </c>
      <c r="BQ51" s="243">
        <v>557</v>
      </c>
      <c r="BR51" s="243">
        <v>563</v>
      </c>
      <c r="BS51" s="243">
        <v>512</v>
      </c>
      <c r="BT51" s="243">
        <v>558</v>
      </c>
      <c r="BU51" s="243">
        <f>+BQ51*0.95</f>
        <v>529.15</v>
      </c>
      <c r="BV51" s="243">
        <f t="shared" ref="BV51:BZ51" si="230">+BR51*0.95</f>
        <v>534.85</v>
      </c>
      <c r="BW51" s="243">
        <f t="shared" si="230"/>
        <v>486.4</v>
      </c>
      <c r="BX51" s="243">
        <f t="shared" si="230"/>
        <v>530.1</v>
      </c>
      <c r="BY51" s="243">
        <f t="shared" si="230"/>
        <v>502.69249999999994</v>
      </c>
      <c r="BZ51" s="243">
        <f t="shared" si="230"/>
        <v>508.10750000000002</v>
      </c>
      <c r="CA51" s="243"/>
      <c r="CB51" s="243"/>
      <c r="CC51" s="243"/>
      <c r="CD51" s="243"/>
      <c r="CE51" s="243"/>
      <c r="CF51" s="243"/>
      <c r="CG51" s="243"/>
      <c r="CH51" s="243"/>
      <c r="CI51" s="243">
        <v>339</v>
      </c>
      <c r="CJ51" s="243">
        <v>355</v>
      </c>
      <c r="CK51" s="243">
        <v>315</v>
      </c>
      <c r="CL51" s="243"/>
      <c r="CM51" s="243"/>
      <c r="CN51" s="243"/>
      <c r="CO51" s="243"/>
      <c r="CP51" s="243"/>
      <c r="CQ51" s="243"/>
      <c r="CR51" s="243"/>
      <c r="CS51" s="243"/>
      <c r="CT51" s="243"/>
      <c r="CU51" s="243"/>
      <c r="CV51" s="243"/>
      <c r="CW51" s="243"/>
      <c r="CX51" s="243"/>
      <c r="CY51" s="243"/>
      <c r="CZ51" s="243"/>
      <c r="DA51" s="243"/>
      <c r="DB51" s="243"/>
      <c r="DC51" s="243"/>
      <c r="DD51" s="243"/>
      <c r="DE51" s="243"/>
      <c r="DF51" s="243"/>
      <c r="DH51" s="271"/>
      <c r="DI51" s="271"/>
      <c r="DJ51" s="271"/>
      <c r="DK51" s="271"/>
      <c r="DL51" s="271"/>
      <c r="DM51" s="271"/>
      <c r="DN51" s="271"/>
      <c r="DO51" s="235">
        <f>+DP51/1.15</f>
        <v>811.34734068372518</v>
      </c>
      <c r="DP51" s="235">
        <f>SUM(C51:F51)</f>
        <v>933.04944178628386</v>
      </c>
      <c r="DQ51" s="235">
        <f>SUM(G51:J51)</f>
        <v>998</v>
      </c>
      <c r="DR51" s="235">
        <f>SUM(K51:N51)</f>
        <v>1043</v>
      </c>
      <c r="DS51" s="235">
        <f t="shared" si="175"/>
        <v>988</v>
      </c>
      <c r="DT51" s="235">
        <f t="shared" si="176"/>
        <v>1107</v>
      </c>
      <c r="DU51" s="235">
        <f t="shared" si="177"/>
        <v>1342</v>
      </c>
      <c r="DV51" s="235">
        <f t="shared" si="178"/>
        <v>1427</v>
      </c>
      <c r="DW51" s="235">
        <f t="shared" si="179"/>
        <v>1701</v>
      </c>
      <c r="DX51" s="235">
        <f t="shared" si="180"/>
        <v>1910</v>
      </c>
      <c r="DY51" s="235">
        <f t="shared" si="153"/>
        <v>2073</v>
      </c>
      <c r="DZ51" s="235">
        <f t="shared" si="154"/>
        <v>2373</v>
      </c>
      <c r="EA51" s="235">
        <f t="shared" si="155"/>
        <v>2535</v>
      </c>
      <c r="EB51" s="235">
        <f t="shared" si="156"/>
        <v>2440</v>
      </c>
      <c r="EC51" s="235">
        <f t="shared" si="157"/>
        <v>2470</v>
      </c>
      <c r="ED51" s="235">
        <f t="shared" si="181"/>
        <v>2652</v>
      </c>
      <c r="EE51" s="235">
        <f t="shared" si="158"/>
        <v>2616</v>
      </c>
      <c r="EF51" s="235">
        <f t="shared" si="182"/>
        <v>2309</v>
      </c>
      <c r="EG51" s="235">
        <f>+EF51*0.995</f>
        <v>2297.4549999999999</v>
      </c>
      <c r="EH51" s="235">
        <f t="shared" ref="EH51:EL51" si="231">+EG51*0.995</f>
        <v>2285.967725</v>
      </c>
      <c r="EI51" s="235">
        <f t="shared" si="231"/>
        <v>2274.5378863749997</v>
      </c>
      <c r="EJ51" s="235">
        <f t="shared" si="231"/>
        <v>2263.1651969431246</v>
      </c>
      <c r="EK51" s="235">
        <f t="shared" si="231"/>
        <v>2251.8493709584091</v>
      </c>
      <c r="EL51" s="235">
        <f t="shared" si="231"/>
        <v>2240.5901241036172</v>
      </c>
      <c r="EM51" s="235"/>
      <c r="EN51" s="235"/>
      <c r="EO51" s="235"/>
      <c r="EP51" s="235"/>
      <c r="EQ51" s="235"/>
      <c r="ER51" s="235"/>
      <c r="ES51" s="235"/>
      <c r="ET51" s="235"/>
      <c r="EU51" s="235"/>
      <c r="EV51" s="235"/>
      <c r="EW51" s="235"/>
      <c r="EZ51" t="s">
        <v>1466</v>
      </c>
    </row>
    <row r="52" spans="1:159" s="254" customFormat="1" ht="12.75" customHeight="1" x14ac:dyDescent="0.2">
      <c r="B52" t="s">
        <v>1130</v>
      </c>
      <c r="C52" s="243">
        <f>G52/0.94</f>
        <v>255.31914893617022</v>
      </c>
      <c r="D52" s="243">
        <f>H52/0.92</f>
        <v>259.78260869565219</v>
      </c>
      <c r="E52" s="243">
        <f>I52/0.94</f>
        <v>238.29787234042556</v>
      </c>
      <c r="F52" s="243">
        <f>141+141</f>
        <v>282</v>
      </c>
      <c r="G52" s="243">
        <f>120+120</f>
        <v>240</v>
      </c>
      <c r="H52" s="243">
        <f>116+123</f>
        <v>239</v>
      </c>
      <c r="I52" s="243">
        <f>109+115</f>
        <v>224</v>
      </c>
      <c r="J52" s="243">
        <f>141+144</f>
        <v>285</v>
      </c>
      <c r="K52" s="243">
        <f>114+120</f>
        <v>234</v>
      </c>
      <c r="L52" s="243">
        <f>121+118</f>
        <v>239</v>
      </c>
      <c r="M52" s="243">
        <f>108+118</f>
        <v>226</v>
      </c>
      <c r="N52" s="243">
        <f>114+127</f>
        <v>241</v>
      </c>
      <c r="O52" s="243">
        <v>249</v>
      </c>
      <c r="P52" s="243">
        <v>250</v>
      </c>
      <c r="Q52" s="243">
        <v>238</v>
      </c>
      <c r="R52" s="243">
        <v>241</v>
      </c>
      <c r="S52" s="243">
        <v>263</v>
      </c>
      <c r="T52" s="243">
        <v>254</v>
      </c>
      <c r="U52" s="243">
        <v>254</v>
      </c>
      <c r="V52" s="76">
        <v>252</v>
      </c>
      <c r="W52" s="76">
        <v>269</v>
      </c>
      <c r="X52" s="76">
        <v>269</v>
      </c>
      <c r="Y52" s="76">
        <v>274</v>
      </c>
      <c r="Z52" s="76">
        <v>282</v>
      </c>
      <c r="AA52" s="76">
        <v>286</v>
      </c>
      <c r="AB52" s="76">
        <v>294</v>
      </c>
      <c r="AC52" s="76">
        <v>287</v>
      </c>
      <c r="AD52" s="76">
        <v>309</v>
      </c>
      <c r="AE52" s="243">
        <v>303</v>
      </c>
      <c r="AF52" s="243">
        <v>317</v>
      </c>
      <c r="AG52" s="243">
        <v>309</v>
      </c>
      <c r="AH52" s="243">
        <v>344</v>
      </c>
      <c r="AI52" s="243">
        <v>355</v>
      </c>
      <c r="AJ52" s="243">
        <v>366</v>
      </c>
      <c r="AK52" s="243">
        <v>343</v>
      </c>
      <c r="AL52" s="243">
        <v>344</v>
      </c>
      <c r="AM52" s="243">
        <v>370</v>
      </c>
      <c r="AN52" s="243">
        <v>368</v>
      </c>
      <c r="AO52" s="243">
        <v>360</v>
      </c>
      <c r="AP52" s="243">
        <v>390</v>
      </c>
      <c r="AQ52" s="243">
        <v>393</v>
      </c>
      <c r="AR52" s="243">
        <v>406</v>
      </c>
      <c r="AS52" s="243">
        <v>404</v>
      </c>
      <c r="AT52" s="243">
        <v>456</v>
      </c>
      <c r="AU52" s="243">
        <v>443</v>
      </c>
      <c r="AV52" s="243">
        <v>476</v>
      </c>
      <c r="AW52" s="243">
        <v>470</v>
      </c>
      <c r="AX52" s="243">
        <v>452</v>
      </c>
      <c r="AY52" s="243">
        <v>467</v>
      </c>
      <c r="AZ52" s="243">
        <v>494</v>
      </c>
      <c r="BA52" s="243">
        <v>501</v>
      </c>
      <c r="BB52" s="243">
        <v>501</v>
      </c>
      <c r="BC52" s="243">
        <v>525</v>
      </c>
      <c r="BD52" s="243">
        <v>494</v>
      </c>
      <c r="BE52" s="243">
        <v>498</v>
      </c>
      <c r="BF52" s="243">
        <v>536</v>
      </c>
      <c r="BG52" s="243">
        <v>521</v>
      </c>
      <c r="BH52" s="243">
        <v>550</v>
      </c>
      <c r="BI52" s="243">
        <v>539</v>
      </c>
      <c r="BJ52" s="243">
        <v>554</v>
      </c>
      <c r="BK52" s="243">
        <v>512</v>
      </c>
      <c r="BL52" s="243">
        <v>514</v>
      </c>
      <c r="BM52" s="243">
        <v>513</v>
      </c>
      <c r="BN52" s="243">
        <v>530</v>
      </c>
      <c r="BO52" s="243">
        <v>477</v>
      </c>
      <c r="BP52" s="243">
        <v>483</v>
      </c>
      <c r="BQ52" s="243">
        <v>459</v>
      </c>
      <c r="BR52" s="243">
        <v>466</v>
      </c>
      <c r="BS52" s="243">
        <v>443</v>
      </c>
      <c r="BT52" s="243">
        <v>461</v>
      </c>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H52" s="271"/>
      <c r="DI52" s="271"/>
      <c r="DJ52" s="271"/>
      <c r="DK52" s="271"/>
      <c r="DL52" s="271"/>
      <c r="DM52" s="271"/>
      <c r="DN52" s="271"/>
      <c r="DO52" s="235">
        <f>+DP52/0.96</f>
        <v>1083.3333333333335</v>
      </c>
      <c r="DP52" s="235">
        <v>1040</v>
      </c>
      <c r="DQ52" s="235">
        <f>SUM(G52:J52)</f>
        <v>988</v>
      </c>
      <c r="DR52" s="235">
        <f>SUM(K52:N52)</f>
        <v>940</v>
      </c>
      <c r="DS52" s="235">
        <f t="shared" si="175"/>
        <v>978</v>
      </c>
      <c r="DT52" s="235">
        <f t="shared" si="176"/>
        <v>1023</v>
      </c>
      <c r="DU52" s="235">
        <f t="shared" si="177"/>
        <v>1094</v>
      </c>
      <c r="DV52" s="235">
        <f t="shared" si="178"/>
        <v>1176</v>
      </c>
      <c r="DW52" s="235">
        <f t="shared" si="179"/>
        <v>1273</v>
      </c>
      <c r="DX52" s="235">
        <f t="shared" si="180"/>
        <v>1408</v>
      </c>
      <c r="DY52" s="235">
        <f t="shared" si="153"/>
        <v>1488</v>
      </c>
      <c r="DZ52" s="235">
        <f t="shared" si="154"/>
        <v>1659</v>
      </c>
      <c r="EA52" s="235">
        <f t="shared" si="155"/>
        <v>1841</v>
      </c>
      <c r="EB52" s="235">
        <f t="shared" si="156"/>
        <v>1963</v>
      </c>
      <c r="EC52" s="235">
        <f t="shared" si="157"/>
        <v>2053</v>
      </c>
      <c r="ED52" s="235">
        <f t="shared" si="181"/>
        <v>2164</v>
      </c>
      <c r="EE52" s="235">
        <f t="shared" si="158"/>
        <v>2069</v>
      </c>
      <c r="EF52" s="235">
        <f t="shared" si="182"/>
        <v>1885</v>
      </c>
      <c r="EG52" s="235">
        <f>+EF52*0.995</f>
        <v>1875.575</v>
      </c>
      <c r="EH52" s="235">
        <f t="shared" ref="EH52:EL52" si="232">+EG52*0.995</f>
        <v>1866.1971250000001</v>
      </c>
      <c r="EI52" s="235">
        <f t="shared" si="232"/>
        <v>1856.8661393750001</v>
      </c>
      <c r="EJ52" s="235">
        <f t="shared" si="232"/>
        <v>1847.5818086781251</v>
      </c>
      <c r="EK52" s="235">
        <f t="shared" si="232"/>
        <v>1838.3438996347345</v>
      </c>
      <c r="EL52" s="235">
        <f t="shared" si="232"/>
        <v>1829.1521801365609</v>
      </c>
      <c r="EM52" s="235"/>
      <c r="EN52" s="235"/>
      <c r="EO52" s="235"/>
      <c r="EP52" s="235"/>
      <c r="EQ52" s="235"/>
      <c r="ER52" s="235"/>
      <c r="ES52" s="235"/>
      <c r="ET52" s="235"/>
      <c r="EU52" s="235"/>
      <c r="EV52" s="235"/>
      <c r="EW52" s="235"/>
      <c r="EZ52" t="s">
        <v>1587</v>
      </c>
    </row>
    <row r="53" spans="1:159" ht="12.75" customHeight="1" x14ac:dyDescent="0.2">
      <c r="B53" t="s">
        <v>336</v>
      </c>
      <c r="C53" s="243">
        <f>G53/1.03</f>
        <v>200.97087378640776</v>
      </c>
      <c r="D53" s="243">
        <f>H53/1</f>
        <v>210</v>
      </c>
      <c r="E53" s="243">
        <f>H53/0.95</f>
        <v>221.05263157894737</v>
      </c>
      <c r="F53" s="243">
        <f>99+107</f>
        <v>206</v>
      </c>
      <c r="G53" s="243">
        <f>100+107</f>
        <v>207</v>
      </c>
      <c r="H53" s="243">
        <f>94+116</f>
        <v>210</v>
      </c>
      <c r="I53" s="243">
        <f>95+122</f>
        <v>217</v>
      </c>
      <c r="J53" s="243">
        <f>92+128</f>
        <v>220</v>
      </c>
      <c r="K53" s="243">
        <v>221</v>
      </c>
      <c r="L53" s="243">
        <v>234</v>
      </c>
      <c r="M53" s="243">
        <v>249</v>
      </c>
      <c r="N53" s="243">
        <v>233</v>
      </c>
      <c r="O53" s="243">
        <v>242</v>
      </c>
      <c r="P53" s="243">
        <v>255</v>
      </c>
      <c r="Q53" s="243">
        <v>274</v>
      </c>
      <c r="R53" s="243">
        <v>260</v>
      </c>
      <c r="S53" s="243">
        <v>264</v>
      </c>
      <c r="T53" s="243">
        <v>265</v>
      </c>
      <c r="U53" s="243">
        <v>282</v>
      </c>
      <c r="V53" s="76">
        <v>252</v>
      </c>
      <c r="W53" s="76">
        <v>270</v>
      </c>
      <c r="X53" s="76">
        <v>288</v>
      </c>
      <c r="Y53" s="76">
        <v>312</v>
      </c>
      <c r="Z53" s="76">
        <v>298</v>
      </c>
      <c r="AA53" s="76">
        <v>300</v>
      </c>
      <c r="AB53" s="76">
        <v>317</v>
      </c>
      <c r="AC53" s="76">
        <v>342</v>
      </c>
      <c r="AD53" s="76">
        <v>339</v>
      </c>
      <c r="AE53" s="243">
        <v>354</v>
      </c>
      <c r="AF53" s="243">
        <v>377</v>
      </c>
      <c r="AG53" s="243">
        <v>392</v>
      </c>
      <c r="AH53" s="243">
        <v>407</v>
      </c>
      <c r="AI53" s="243">
        <v>407</v>
      </c>
      <c r="AJ53" s="243">
        <v>426</v>
      </c>
      <c r="AK53" s="243">
        <v>443</v>
      </c>
      <c r="AL53" s="243">
        <v>418</v>
      </c>
      <c r="AM53" s="243">
        <v>441</v>
      </c>
      <c r="AN53" s="243">
        <v>474</v>
      </c>
      <c r="AO53" s="243">
        <v>493</v>
      </c>
      <c r="AP53" s="243">
        <v>471</v>
      </c>
      <c r="AQ53" s="243">
        <v>513</v>
      </c>
      <c r="AR53" s="243">
        <v>553</v>
      </c>
      <c r="AS53" s="243">
        <v>577</v>
      </c>
      <c r="AT53" s="243">
        <v>566</v>
      </c>
      <c r="AU53" s="243">
        <v>607</v>
      </c>
      <c r="AV53" s="243">
        <v>639</v>
      </c>
      <c r="AW53" s="243">
        <v>652</v>
      </c>
      <c r="AX53" s="243">
        <v>602</v>
      </c>
      <c r="AY53" s="243">
        <v>599</v>
      </c>
      <c r="AZ53" s="243">
        <v>630</v>
      </c>
      <c r="BA53" s="243">
        <v>659</v>
      </c>
      <c r="BB53" s="243">
        <v>618</v>
      </c>
      <c r="BC53" s="243">
        <v>664</v>
      </c>
      <c r="BD53" s="243">
        <v>662</v>
      </c>
      <c r="BE53" s="243">
        <v>695</v>
      </c>
      <c r="BF53" s="243">
        <v>659</v>
      </c>
      <c r="BG53" s="243">
        <v>722</v>
      </c>
      <c r="BH53" s="243">
        <v>732</v>
      </c>
      <c r="BI53" s="243">
        <v>752</v>
      </c>
      <c r="BJ53" s="243">
        <v>710</v>
      </c>
      <c r="BK53" s="243">
        <v>757</v>
      </c>
      <c r="BL53" s="243">
        <v>730</v>
      </c>
      <c r="BM53" s="243">
        <v>764</v>
      </c>
      <c r="BN53" s="243">
        <v>745</v>
      </c>
      <c r="BO53" s="243">
        <v>740</v>
      </c>
      <c r="BP53" s="243">
        <v>730</v>
      </c>
      <c r="BQ53" s="243">
        <v>748</v>
      </c>
      <c r="BR53" s="243">
        <v>719</v>
      </c>
      <c r="BS53" s="243">
        <v>761</v>
      </c>
      <c r="BT53" s="243">
        <v>707</v>
      </c>
      <c r="BU53" s="243">
        <f>+BQ53*0.95</f>
        <v>710.6</v>
      </c>
      <c r="BV53" s="243">
        <f t="shared" ref="BV53:BZ53" si="233">+BR53*0.95</f>
        <v>683.05</v>
      </c>
      <c r="BW53" s="243">
        <f t="shared" si="233"/>
        <v>722.94999999999993</v>
      </c>
      <c r="BX53" s="243">
        <f t="shared" si="233"/>
        <v>671.65</v>
      </c>
      <c r="BY53" s="243">
        <f t="shared" si="233"/>
        <v>675.06999999999994</v>
      </c>
      <c r="BZ53" s="243">
        <f t="shared" si="233"/>
        <v>648.89749999999992</v>
      </c>
      <c r="CA53" s="243"/>
      <c r="CB53" s="243"/>
      <c r="CC53" s="243"/>
      <c r="CD53" s="243"/>
      <c r="CE53" s="243"/>
      <c r="CF53" s="243"/>
      <c r="CG53" s="243"/>
      <c r="CH53" s="243"/>
      <c r="CI53" s="243">
        <v>1115</v>
      </c>
      <c r="CJ53" s="243">
        <v>1173</v>
      </c>
      <c r="CK53" s="243">
        <v>1132</v>
      </c>
      <c r="CL53" s="243">
        <v>1133</v>
      </c>
      <c r="CM53" s="243">
        <v>1129</v>
      </c>
      <c r="CN53" s="243">
        <v>1161</v>
      </c>
      <c r="CO53" s="243">
        <v>1193</v>
      </c>
      <c r="CP53" s="243">
        <v>1141</v>
      </c>
      <c r="CQ53" s="243">
        <v>1067</v>
      </c>
      <c r="CR53" s="243">
        <v>695</v>
      </c>
      <c r="CS53" s="243">
        <v>1081</v>
      </c>
      <c r="CT53" s="243">
        <v>1076</v>
      </c>
      <c r="CU53" s="243">
        <v>1145</v>
      </c>
      <c r="CV53" s="243">
        <v>1183</v>
      </c>
      <c r="CW53" s="243">
        <v>1189</v>
      </c>
      <c r="CX53" s="243">
        <v>1171</v>
      </c>
      <c r="CY53" s="243">
        <v>1257</v>
      </c>
      <c r="CZ53" s="243">
        <v>1241</v>
      </c>
      <c r="DA53" s="243">
        <v>1206</v>
      </c>
      <c r="DB53" s="243">
        <f t="shared" ref="DB53:DF53" si="234">+CX53*1.02</f>
        <v>1194.42</v>
      </c>
      <c r="DC53" s="243">
        <f t="shared" si="234"/>
        <v>1282.1400000000001</v>
      </c>
      <c r="DD53" s="243">
        <f t="shared" si="234"/>
        <v>1265.82</v>
      </c>
      <c r="DE53" s="243">
        <f t="shared" si="234"/>
        <v>1230.1200000000001</v>
      </c>
      <c r="DF53" s="243">
        <f t="shared" si="234"/>
        <v>1218.3084000000001</v>
      </c>
      <c r="DH53" s="271"/>
      <c r="DI53" s="271"/>
      <c r="DJ53" s="271"/>
      <c r="DK53" s="271"/>
      <c r="DL53" s="271"/>
      <c r="DM53" s="271"/>
      <c r="DN53" s="271"/>
      <c r="DO53" s="235">
        <f>+DP53/1.17</f>
        <v>723.07692307692309</v>
      </c>
      <c r="DP53" s="235">
        <f>427+419</f>
        <v>846</v>
      </c>
      <c r="DQ53" s="235">
        <f>SUM(G53:J53)</f>
        <v>854</v>
      </c>
      <c r="DR53" s="235">
        <v>953</v>
      </c>
      <c r="DS53" s="235">
        <f t="shared" si="175"/>
        <v>1031</v>
      </c>
      <c r="DT53" s="235">
        <f t="shared" si="176"/>
        <v>1063</v>
      </c>
      <c r="DU53" s="235">
        <f t="shared" si="177"/>
        <v>1168</v>
      </c>
      <c r="DV53" s="235">
        <f t="shared" si="178"/>
        <v>1298</v>
      </c>
      <c r="DW53" s="235">
        <f t="shared" si="179"/>
        <v>1530</v>
      </c>
      <c r="DX53" s="235">
        <f t="shared" si="180"/>
        <v>1694</v>
      </c>
      <c r="DY53" s="235">
        <f t="shared" si="153"/>
        <v>1879</v>
      </c>
      <c r="DZ53" s="235">
        <f t="shared" si="154"/>
        <v>2209</v>
      </c>
      <c r="EA53" s="235">
        <f t="shared" si="155"/>
        <v>2500</v>
      </c>
      <c r="EB53" s="235">
        <f t="shared" si="156"/>
        <v>2506</v>
      </c>
      <c r="EC53" s="235">
        <f t="shared" si="157"/>
        <v>2680</v>
      </c>
      <c r="ED53" s="235">
        <f>SUM(BG53:BJ53)</f>
        <v>2916</v>
      </c>
      <c r="EE53" s="235">
        <f>SUM(BK53:BN53)</f>
        <v>2996</v>
      </c>
      <c r="EF53" s="235">
        <f t="shared" si="182"/>
        <v>2937</v>
      </c>
      <c r="EG53" s="235">
        <f>+EF53*0.995</f>
        <v>2922.3150000000001</v>
      </c>
      <c r="EH53" s="235">
        <f t="shared" ref="EH53:EQ53" si="235">+EG53*0.995</f>
        <v>2907.7034250000002</v>
      </c>
      <c r="EI53" s="235">
        <f t="shared" si="235"/>
        <v>2893.1649078750002</v>
      </c>
      <c r="EJ53" s="235">
        <f t="shared" si="235"/>
        <v>2878.6990833356253</v>
      </c>
      <c r="EK53" s="235">
        <f t="shared" si="235"/>
        <v>2864.3055879189474</v>
      </c>
      <c r="EL53" s="235">
        <f t="shared" si="235"/>
        <v>2849.9840599793524</v>
      </c>
      <c r="EM53" s="235">
        <f t="shared" si="82"/>
        <v>3919</v>
      </c>
      <c r="EN53" s="235">
        <f t="shared" si="70"/>
        <v>4688</v>
      </c>
      <c r="EO53" s="235">
        <f t="shared" si="160"/>
        <v>4898.42</v>
      </c>
      <c r="EP53" s="235">
        <f t="shared" si="235"/>
        <v>4873.9278999999997</v>
      </c>
      <c r="EQ53" s="235">
        <f t="shared" si="235"/>
        <v>4849.5582605</v>
      </c>
      <c r="ER53" s="235">
        <f t="shared" ref="ER53" si="236">+EQ53*0.995</f>
        <v>4825.3104691974995</v>
      </c>
      <c r="ES53" s="235">
        <f t="shared" ref="ES53" si="237">+ER53*0.995</f>
        <v>4801.1839168515116</v>
      </c>
      <c r="ET53" s="235">
        <f t="shared" ref="ET53" si="238">+ES53*0.995</f>
        <v>4777.1779972672539</v>
      </c>
      <c r="EU53" s="235">
        <f t="shared" ref="EU53" si="239">+ET53*0.995</f>
        <v>4753.2921072809177</v>
      </c>
      <c r="EV53" s="235">
        <f t="shared" ref="EV53" si="240">+EU53*0.995</f>
        <v>4729.5256467445133</v>
      </c>
      <c r="EW53" s="235">
        <f t="shared" ref="EW53" si="241">+EV53*0.995</f>
        <v>4705.8780185107908</v>
      </c>
      <c r="EZ53" t="s">
        <v>1465</v>
      </c>
      <c r="FC53" s="3"/>
    </row>
    <row r="54" spans="1:159" ht="12.75" customHeight="1" x14ac:dyDescent="0.2">
      <c r="B54" t="s">
        <v>337</v>
      </c>
      <c r="C54" s="243"/>
      <c r="D54" s="243"/>
      <c r="E54" s="243"/>
      <c r="F54" s="243"/>
      <c r="G54" s="243"/>
      <c r="H54" s="243"/>
      <c r="I54" s="243"/>
      <c r="J54" s="243"/>
      <c r="K54" s="243">
        <v>161</v>
      </c>
      <c r="L54" s="243">
        <v>168</v>
      </c>
      <c r="M54" s="243">
        <v>161</v>
      </c>
      <c r="N54" s="243">
        <v>214</v>
      </c>
      <c r="O54" s="243">
        <v>153</v>
      </c>
      <c r="P54" s="243">
        <v>146</v>
      </c>
      <c r="Q54" s="243">
        <v>154</v>
      </c>
      <c r="R54" s="243">
        <v>144</v>
      </c>
      <c r="S54" s="243">
        <v>141</v>
      </c>
      <c r="T54" s="243">
        <v>131</v>
      </c>
      <c r="U54" s="243">
        <v>99</v>
      </c>
      <c r="V54" s="76">
        <v>18</v>
      </c>
      <c r="W54" s="76">
        <v>30</v>
      </c>
      <c r="X54" s="76">
        <v>33</v>
      </c>
      <c r="Y54" s="76">
        <v>35</v>
      </c>
      <c r="Z54" s="76">
        <v>26</v>
      </c>
      <c r="AA54" s="76">
        <v>19</v>
      </c>
      <c r="AB54" s="76">
        <v>19</v>
      </c>
      <c r="AC54" s="76">
        <v>17</v>
      </c>
      <c r="AD54" s="76">
        <v>18</v>
      </c>
      <c r="AE54" s="243">
        <f>4136-SUM(AE45:AE53)</f>
        <v>17</v>
      </c>
      <c r="AF54" s="243">
        <f>4057-SUM(AF45:AF53)</f>
        <v>14</v>
      </c>
      <c r="AG54" s="243">
        <f>4044-SUM(AG45:AG53)</f>
        <v>18</v>
      </c>
      <c r="AH54" s="243">
        <f>4650-SUM(AH45:AH53)</f>
        <v>16</v>
      </c>
      <c r="AI54" s="243">
        <f>4797-SUM(AI45:AI53)</f>
        <v>18</v>
      </c>
      <c r="AJ54" s="243">
        <f>4856-SUM(AJ45:AJ53)</f>
        <v>13</v>
      </c>
      <c r="AK54" s="243">
        <f>4622-SUM(AK45:AK53)</f>
        <v>15</v>
      </c>
      <c r="AL54" s="243">
        <f>4821-SUM(AL45:AL53)</f>
        <v>12</v>
      </c>
      <c r="AM54" s="243">
        <f>5011-SUM(AM45:AM53)</f>
        <v>14</v>
      </c>
      <c r="AN54" s="243">
        <f>5155-SUM(AN45:AN53)</f>
        <v>15</v>
      </c>
      <c r="AO54" s="243">
        <f>4950-SUM(AO45:AO53)</f>
        <v>16</v>
      </c>
      <c r="AP54" s="243">
        <f>5167-SUM(AP45:AP53)</f>
        <v>16</v>
      </c>
      <c r="AQ54" s="243">
        <f>5320-SUM(AQ45:AQ53)</f>
        <v>19</v>
      </c>
      <c r="AR54" s="243">
        <f>5418-SUM(AR45:AR53)</f>
        <v>18</v>
      </c>
      <c r="AS54" s="243">
        <f>5248-SUM(AS45:AS53)</f>
        <v>20</v>
      </c>
      <c r="AT54" s="243"/>
      <c r="AU54" s="243"/>
      <c r="AV54" s="243"/>
      <c r="AW54" s="243"/>
      <c r="AX54" s="243"/>
      <c r="AY54" s="243"/>
      <c r="AZ54" s="243"/>
      <c r="BA54" s="243"/>
      <c r="BB54" s="243"/>
      <c r="BC54" s="243"/>
      <c r="BD54" s="243"/>
      <c r="BE54" s="243"/>
      <c r="BF54" s="243"/>
      <c r="BG54" s="243"/>
      <c r="BH54" s="243"/>
      <c r="BI54" s="243"/>
      <c r="BJ54" s="243"/>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c r="DC54" s="243"/>
      <c r="DD54" s="243"/>
      <c r="DE54" s="243"/>
      <c r="DF54" s="243"/>
      <c r="DH54" s="271"/>
      <c r="DI54" s="271"/>
      <c r="DJ54" s="271"/>
      <c r="DK54" s="271"/>
      <c r="DL54" s="271"/>
      <c r="DM54" s="271"/>
      <c r="DN54" s="271"/>
      <c r="DO54" s="271"/>
      <c r="DP54" s="271"/>
      <c r="DQ54" s="235">
        <f>1011+77</f>
        <v>1088</v>
      </c>
      <c r="DR54" s="235">
        <v>1071</v>
      </c>
      <c r="DS54" s="235">
        <f t="shared" si="175"/>
        <v>597</v>
      </c>
      <c r="DT54" s="235">
        <f t="shared" si="176"/>
        <v>389</v>
      </c>
      <c r="DU54" s="235">
        <f t="shared" si="177"/>
        <v>124</v>
      </c>
      <c r="DV54" s="235">
        <f t="shared" si="178"/>
        <v>73</v>
      </c>
      <c r="DW54" s="235">
        <f t="shared" si="179"/>
        <v>65</v>
      </c>
      <c r="DX54" s="235">
        <f t="shared" si="180"/>
        <v>58</v>
      </c>
      <c r="DY54" s="235">
        <f t="shared" si="153"/>
        <v>61</v>
      </c>
      <c r="DZ54" s="235">
        <f t="shared" si="154"/>
        <v>57</v>
      </c>
      <c r="EA54" s="235"/>
      <c r="EB54" s="235"/>
      <c r="EC54" s="235"/>
      <c r="ED54" s="235"/>
      <c r="EE54" s="235"/>
      <c r="EF54" s="235"/>
      <c r="EG54" s="235"/>
      <c r="EH54" s="235"/>
      <c r="EI54" s="235"/>
      <c r="EJ54" s="235"/>
      <c r="EK54" s="235"/>
      <c r="EL54" s="235"/>
      <c r="EM54" s="235"/>
      <c r="EN54" s="235"/>
      <c r="EO54" s="235"/>
      <c r="EP54" s="235"/>
      <c r="EQ54" s="235"/>
      <c r="ER54" s="235"/>
      <c r="ES54" s="235"/>
      <c r="ET54" s="235"/>
      <c r="EU54" s="235"/>
      <c r="EV54" s="235"/>
      <c r="EW54" s="235"/>
    </row>
    <row r="55" spans="1:159" s="275" customFormat="1" ht="12.75" customHeight="1" x14ac:dyDescent="0.2">
      <c r="A55"/>
      <c r="B55" t="s">
        <v>233</v>
      </c>
      <c r="C55" s="243"/>
      <c r="D55" s="243"/>
      <c r="E55" s="243"/>
      <c r="F55" s="243"/>
      <c r="G55" s="243"/>
      <c r="H55" s="243"/>
      <c r="I55" s="243"/>
      <c r="J55" s="243"/>
      <c r="K55" s="243">
        <v>1728</v>
      </c>
      <c r="L55" s="243">
        <v>1687</v>
      </c>
      <c r="M55" s="243">
        <v>1704</v>
      </c>
      <c r="N55" s="243">
        <v>1744</v>
      </c>
      <c r="O55" s="243">
        <v>1752</v>
      </c>
      <c r="P55" s="243">
        <v>1707</v>
      </c>
      <c r="Q55" s="243">
        <v>1722</v>
      </c>
      <c r="R55" s="243">
        <v>1723</v>
      </c>
      <c r="S55" s="243">
        <v>1785</v>
      </c>
      <c r="T55" s="243">
        <v>1684</v>
      </c>
      <c r="U55" s="243">
        <v>1777</v>
      </c>
      <c r="V55" s="243">
        <v>1551</v>
      </c>
      <c r="W55" s="243">
        <v>1604</v>
      </c>
      <c r="X55" s="243">
        <v>1648</v>
      </c>
      <c r="Y55" s="243">
        <v>1661</v>
      </c>
      <c r="Z55" s="243">
        <v>1652</v>
      </c>
      <c r="AA55" s="243">
        <v>1791</v>
      </c>
      <c r="AB55" s="243">
        <v>1819</v>
      </c>
      <c r="AC55" s="243">
        <v>1841</v>
      </c>
      <c r="AD55" s="243">
        <v>1979</v>
      </c>
      <c r="AE55" s="243">
        <v>2047</v>
      </c>
      <c r="AF55" s="243">
        <v>2000</v>
      </c>
      <c r="AG55" s="243">
        <v>2024</v>
      </c>
      <c r="AH55" s="243">
        <v>2262</v>
      </c>
      <c r="AI55" s="243">
        <v>2280</v>
      </c>
      <c r="AJ55" s="243">
        <v>2278</v>
      </c>
      <c r="AK55" s="243">
        <v>2231</v>
      </c>
      <c r="AL55" s="243">
        <v>2307</v>
      </c>
      <c r="AM55" s="243">
        <v>2355</v>
      </c>
      <c r="AN55" s="243">
        <v>2398</v>
      </c>
      <c r="AO55" s="243">
        <v>2456</v>
      </c>
      <c r="AP55" s="243">
        <v>2565</v>
      </c>
      <c r="AQ55" s="243">
        <v>3496</v>
      </c>
      <c r="AR55" s="243">
        <v>3564</v>
      </c>
      <c r="AS55" s="243">
        <v>3623</v>
      </c>
      <c r="AT55" s="243">
        <v>3810</v>
      </c>
      <c r="AU55" s="243">
        <v>4064</v>
      </c>
      <c r="AV55" s="243">
        <v>4036</v>
      </c>
      <c r="AW55" s="243">
        <v>4099</v>
      </c>
      <c r="AX55" s="243">
        <v>3855</v>
      </c>
      <c r="AY55" s="243">
        <v>3711</v>
      </c>
      <c r="AZ55" s="243">
        <v>3854</v>
      </c>
      <c r="BA55" s="243">
        <v>3989</v>
      </c>
      <c r="BB55" s="243">
        <v>4249</v>
      </c>
      <c r="BC55" s="243">
        <v>3766</v>
      </c>
      <c r="BD55" s="243">
        <v>3647</v>
      </c>
      <c r="BE55" s="243">
        <v>3567</v>
      </c>
      <c r="BF55" s="243">
        <v>3610</v>
      </c>
      <c r="BG55" s="243">
        <v>3682</v>
      </c>
      <c r="BH55" s="243">
        <v>3793</v>
      </c>
      <c r="BI55" s="243">
        <v>3740</v>
      </c>
      <c r="BJ55" s="243">
        <v>3668</v>
      </c>
      <c r="BK55" s="243">
        <v>3595</v>
      </c>
      <c r="BL55" s="243">
        <v>3619</v>
      </c>
      <c r="BM55" s="243">
        <v>3581</v>
      </c>
      <c r="BN55" s="243">
        <v>3652</v>
      </c>
      <c r="BO55" s="243">
        <v>3675</v>
      </c>
      <c r="BP55" s="243">
        <v>3658</v>
      </c>
      <c r="BQ55" s="243">
        <v>3611</v>
      </c>
      <c r="BR55" s="243">
        <v>3753</v>
      </c>
      <c r="BS55" s="243">
        <v>3557</v>
      </c>
      <c r="BT55" s="243">
        <v>3744</v>
      </c>
      <c r="BU55" s="243">
        <f t="shared" ref="BU55" si="242">+BQ55*1.03</f>
        <v>3719.33</v>
      </c>
      <c r="BV55" s="243">
        <f t="shared" ref="BV55" si="243">+BR55*1.03</f>
        <v>3865.59</v>
      </c>
      <c r="BW55" s="243">
        <f t="shared" ref="BW55" si="244">+BS55*1.03</f>
        <v>3663.71</v>
      </c>
      <c r="BX55" s="243">
        <f t="shared" ref="BX55" si="245">+BT55*1.03</f>
        <v>3856.32</v>
      </c>
      <c r="BY55" s="243">
        <f t="shared" ref="BY55" si="246">+BU55*1.03</f>
        <v>3830.9099000000001</v>
      </c>
      <c r="BZ55" s="243">
        <f t="shared" ref="BZ55" si="247">+BV55*1.03</f>
        <v>3981.5577000000003</v>
      </c>
      <c r="CA55" s="243"/>
      <c r="CB55" s="243"/>
      <c r="CC55" s="243"/>
      <c r="CD55" s="243"/>
      <c r="CE55" s="243"/>
      <c r="CF55" s="243"/>
      <c r="CG55" s="243"/>
      <c r="CH55" s="243"/>
      <c r="CI55" s="243">
        <v>3398</v>
      </c>
      <c r="CJ55" s="243">
        <v>3504</v>
      </c>
      <c r="CK55" s="243">
        <v>3415</v>
      </c>
      <c r="CL55" s="243">
        <v>3536</v>
      </c>
      <c r="CM55" s="243">
        <v>3318</v>
      </c>
      <c r="CN55" s="243">
        <v>3544</v>
      </c>
      <c r="CO55" s="243">
        <v>3469</v>
      </c>
      <c r="CP55" s="243">
        <v>3567</v>
      </c>
      <c r="CQ55" s="243">
        <v>3625</v>
      </c>
      <c r="CR55" s="243">
        <v>3296</v>
      </c>
      <c r="CS55" s="243">
        <v>3514</v>
      </c>
      <c r="CT55" s="243">
        <v>3618</v>
      </c>
      <c r="CU55" s="243">
        <v>3641</v>
      </c>
      <c r="CV55" s="243">
        <v>3854</v>
      </c>
      <c r="CW55" s="243">
        <v>3700</v>
      </c>
      <c r="CX55" s="243">
        <v>3657</v>
      </c>
      <c r="CY55" s="243">
        <v>3586</v>
      </c>
      <c r="CZ55" s="243">
        <v>3805</v>
      </c>
      <c r="DA55" s="243">
        <v>3795</v>
      </c>
      <c r="DB55" s="243">
        <f t="shared" ref="DB55:DF55" si="248">+CX55*1.01</f>
        <v>3693.57</v>
      </c>
      <c r="DC55" s="243">
        <f t="shared" si="248"/>
        <v>3621.86</v>
      </c>
      <c r="DD55" s="243">
        <f t="shared" si="248"/>
        <v>3843.05</v>
      </c>
      <c r="DE55" s="243">
        <f t="shared" si="248"/>
        <v>3832.95</v>
      </c>
      <c r="DF55" s="243">
        <f t="shared" si="248"/>
        <v>3730.5057000000002</v>
      </c>
      <c r="DH55" s="276"/>
      <c r="DI55" s="276"/>
      <c r="DJ55" s="276"/>
      <c r="DK55" s="243">
        <v>4780</v>
      </c>
      <c r="DL55" s="243">
        <v>4824</v>
      </c>
      <c r="DM55" s="243">
        <v>5251</v>
      </c>
      <c r="DN55" s="243">
        <v>5831</v>
      </c>
      <c r="DO55" s="243">
        <v>6364</v>
      </c>
      <c r="DP55" s="243">
        <v>6498</v>
      </c>
      <c r="DQ55" s="243">
        <v>6526</v>
      </c>
      <c r="DR55" s="243">
        <v>6864</v>
      </c>
      <c r="DS55" s="243">
        <v>6904</v>
      </c>
      <c r="DT55" s="243">
        <v>6962</v>
      </c>
      <c r="DU55" s="243">
        <v>6563.9</v>
      </c>
      <c r="DV55" s="235">
        <f t="shared" si="178"/>
        <v>7430</v>
      </c>
      <c r="DW55" s="235">
        <f t="shared" si="179"/>
        <v>8333</v>
      </c>
      <c r="DX55" s="235">
        <f t="shared" si="180"/>
        <v>9096</v>
      </c>
      <c r="DY55" s="235">
        <f t="shared" si="153"/>
        <v>9774</v>
      </c>
      <c r="DZ55" s="235">
        <f t="shared" si="154"/>
        <v>14493</v>
      </c>
      <c r="EA55" s="235">
        <f>SUM(AU55:AX55)</f>
        <v>16054</v>
      </c>
      <c r="EB55" s="235">
        <f>SUM(AY55:BB55)</f>
        <v>15803</v>
      </c>
      <c r="EC55" s="243">
        <f>SUM(BC55:BF55)</f>
        <v>14590</v>
      </c>
      <c r="ED55" s="235">
        <f t="shared" si="181"/>
        <v>14883</v>
      </c>
      <c r="EE55" s="235">
        <f t="shared" si="158"/>
        <v>14447</v>
      </c>
      <c r="EF55" s="235">
        <f>SUM(BO55:BR55)</f>
        <v>14697</v>
      </c>
      <c r="EG55" s="243">
        <f t="shared" ref="EG55:EI55" si="249">EF55*1.02</f>
        <v>14990.94</v>
      </c>
      <c r="EH55" s="243">
        <f t="shared" si="249"/>
        <v>15290.758800000001</v>
      </c>
      <c r="EI55" s="243">
        <f t="shared" si="249"/>
        <v>15596.573976000001</v>
      </c>
      <c r="EJ55" s="243">
        <f t="shared" ref="EJ55" si="250">EI55*1.02</f>
        <v>15908.505455520002</v>
      </c>
      <c r="EK55" s="243">
        <f t="shared" ref="EK55" si="251">EJ55*1.02</f>
        <v>16226.675564630403</v>
      </c>
      <c r="EL55" s="243">
        <f t="shared" ref="EL55" si="252">EK55*1.02</f>
        <v>16551.209075923012</v>
      </c>
      <c r="EM55" s="235">
        <f t="shared" si="82"/>
        <v>14053</v>
      </c>
      <c r="EN55" s="235">
        <f t="shared" si="70"/>
        <v>14852</v>
      </c>
      <c r="EO55" s="235">
        <f>SUM(CY55:DB55)</f>
        <v>14879.57</v>
      </c>
      <c r="EP55" s="243">
        <f t="shared" ref="EP55" si="253">EO55*1.02</f>
        <v>15177.161400000001</v>
      </c>
      <c r="EQ55" s="243">
        <f t="shared" ref="EQ55" si="254">EP55*1.02</f>
        <v>15480.704628000001</v>
      </c>
      <c r="ER55" s="243">
        <f>+EQ55*1.03</f>
        <v>15945.125766840001</v>
      </c>
      <c r="ES55" s="243">
        <f t="shared" ref="ES55:EW55" si="255">+ER55*1.03</f>
        <v>16423.479539845201</v>
      </c>
      <c r="ET55" s="243">
        <f t="shared" si="255"/>
        <v>16916.183926040558</v>
      </c>
      <c r="EU55" s="243">
        <f t="shared" si="255"/>
        <v>17423.669443821775</v>
      </c>
      <c r="EV55" s="243">
        <f t="shared" si="255"/>
        <v>17946.379527136429</v>
      </c>
      <c r="EW55" s="243">
        <f t="shared" si="255"/>
        <v>18484.770912950524</v>
      </c>
      <c r="FB55" s="277"/>
      <c r="FC55" s="277"/>
    </row>
    <row r="56" spans="1:159" s="279" customFormat="1" ht="12.75" customHeight="1" x14ac:dyDescent="0.2">
      <c r="A56" s="1"/>
      <c r="B56" s="1" t="s">
        <v>1375</v>
      </c>
      <c r="C56" s="239">
        <v>5715</v>
      </c>
      <c r="D56" s="239">
        <v>5698</v>
      </c>
      <c r="E56" s="239">
        <v>5586</v>
      </c>
      <c r="F56" s="239">
        <v>5630</v>
      </c>
      <c r="G56" s="239">
        <v>5783</v>
      </c>
      <c r="H56" s="239">
        <v>5783</v>
      </c>
      <c r="I56" s="239">
        <v>5724</v>
      </c>
      <c r="J56" s="239">
        <v>6367</v>
      </c>
      <c r="K56" s="239">
        <v>6638</v>
      </c>
      <c r="L56" s="239">
        <v>6854</v>
      </c>
      <c r="M56" s="239">
        <v>6749</v>
      </c>
      <c r="N56" s="239">
        <v>6877</v>
      </c>
      <c r="O56" s="239">
        <v>7319</v>
      </c>
      <c r="P56" s="239">
        <v>7508</v>
      </c>
      <c r="Q56" s="239">
        <v>7204</v>
      </c>
      <c r="R56" s="239">
        <v>7108</v>
      </c>
      <c r="S56" s="239">
        <v>7791</v>
      </c>
      <c r="T56" s="239">
        <v>8342</v>
      </c>
      <c r="U56" s="239">
        <v>8238</v>
      </c>
      <c r="V56" s="239">
        <v>8403</v>
      </c>
      <c r="W56" s="239">
        <v>8743</v>
      </c>
      <c r="X56" s="239">
        <v>9073</v>
      </c>
      <c r="Y56" s="239">
        <v>9079</v>
      </c>
      <c r="Z56" s="239">
        <v>9403</v>
      </c>
      <c r="AA56" s="239">
        <f t="shared" ref="AA56:BH56" si="256">SUM(AA3:AA55)</f>
        <v>9822</v>
      </c>
      <c r="AB56" s="239">
        <f t="shared" si="256"/>
        <v>10332</v>
      </c>
      <c r="AC56" s="239">
        <f t="shared" si="256"/>
        <v>10454</v>
      </c>
      <c r="AD56" s="239">
        <f t="shared" si="256"/>
        <v>11389</v>
      </c>
      <c r="AE56" s="239">
        <f t="shared" si="256"/>
        <v>11984</v>
      </c>
      <c r="AF56" s="239">
        <f t="shared" si="256"/>
        <v>11892</v>
      </c>
      <c r="AG56" s="239">
        <f t="shared" si="256"/>
        <v>11553</v>
      </c>
      <c r="AH56" s="239">
        <f t="shared" si="256"/>
        <v>12752</v>
      </c>
      <c r="AI56" s="239">
        <f t="shared" si="256"/>
        <v>12832</v>
      </c>
      <c r="AJ56" s="239">
        <f t="shared" si="256"/>
        <v>12762</v>
      </c>
      <c r="AK56" s="239">
        <f t="shared" si="256"/>
        <v>12310</v>
      </c>
      <c r="AL56" s="278">
        <f t="shared" si="256"/>
        <v>12610</v>
      </c>
      <c r="AM56" s="278">
        <f t="shared" si="256"/>
        <v>12992</v>
      </c>
      <c r="AN56" s="278">
        <f t="shared" si="256"/>
        <v>13363</v>
      </c>
      <c r="AO56" s="278">
        <f t="shared" si="256"/>
        <v>13287</v>
      </c>
      <c r="AP56" s="278">
        <f t="shared" si="256"/>
        <v>13682</v>
      </c>
      <c r="AQ56" s="278">
        <f t="shared" si="256"/>
        <v>15087</v>
      </c>
      <c r="AR56" s="278">
        <f t="shared" si="256"/>
        <v>15142</v>
      </c>
      <c r="AS56" s="278">
        <f t="shared" si="256"/>
        <v>15007</v>
      </c>
      <c r="AT56" s="278">
        <f t="shared" si="256"/>
        <v>15957</v>
      </c>
      <c r="AU56" s="278">
        <f t="shared" si="256"/>
        <v>16194</v>
      </c>
      <c r="AV56" s="278">
        <f t="shared" si="256"/>
        <v>16450</v>
      </c>
      <c r="AW56" s="278">
        <f t="shared" si="256"/>
        <v>15921</v>
      </c>
      <c r="AX56" s="278">
        <f t="shared" si="256"/>
        <v>15182</v>
      </c>
      <c r="AY56" s="278">
        <f t="shared" si="256"/>
        <v>15026</v>
      </c>
      <c r="AZ56" s="278">
        <f t="shared" si="256"/>
        <v>15239</v>
      </c>
      <c r="BA56" s="278">
        <f t="shared" si="256"/>
        <v>15081</v>
      </c>
      <c r="BB56" s="278">
        <f t="shared" si="256"/>
        <v>16551</v>
      </c>
      <c r="BC56" s="278">
        <f t="shared" si="256"/>
        <v>15631</v>
      </c>
      <c r="BD56" s="278">
        <f t="shared" si="256"/>
        <v>15389</v>
      </c>
      <c r="BE56" s="278">
        <f t="shared" si="256"/>
        <v>14982</v>
      </c>
      <c r="BF56" s="278">
        <f t="shared" si="256"/>
        <v>15644</v>
      </c>
      <c r="BG56" s="278">
        <f t="shared" si="256"/>
        <v>16966</v>
      </c>
      <c r="BH56" s="278">
        <f t="shared" si="256"/>
        <v>16597</v>
      </c>
      <c r="BI56" s="278">
        <f>SUM(BI3:BI46,BI49:BI55)</f>
        <v>16005</v>
      </c>
      <c r="BJ56" s="278">
        <f t="shared" ref="BJ56:BZ56" si="257">SUM(BJ3:BJ55)</f>
        <v>18821</v>
      </c>
      <c r="BK56" s="278">
        <f t="shared" si="257"/>
        <v>16139</v>
      </c>
      <c r="BL56" s="278">
        <f t="shared" si="257"/>
        <v>16626</v>
      </c>
      <c r="BM56" s="278">
        <f t="shared" si="257"/>
        <v>17191</v>
      </c>
      <c r="BN56" s="278">
        <f t="shared" si="257"/>
        <v>17791</v>
      </c>
      <c r="BO56" s="278">
        <f t="shared" si="257"/>
        <v>17548</v>
      </c>
      <c r="BP56" s="278">
        <f t="shared" si="257"/>
        <v>17933</v>
      </c>
      <c r="BQ56" s="278">
        <f t="shared" si="257"/>
        <v>17639</v>
      </c>
      <c r="BR56" s="278">
        <f t="shared" si="257"/>
        <v>18451</v>
      </c>
      <c r="BS56" s="278">
        <f t="shared" si="257"/>
        <v>18115</v>
      </c>
      <c r="BT56" s="278">
        <f t="shared" si="257"/>
        <v>19495</v>
      </c>
      <c r="BU56" s="278">
        <f t="shared" si="257"/>
        <v>18553.86</v>
      </c>
      <c r="BV56" s="278">
        <f t="shared" si="257"/>
        <v>19499.770000000004</v>
      </c>
      <c r="BW56" s="278">
        <f t="shared" si="257"/>
        <v>19043.41</v>
      </c>
      <c r="BX56" s="278">
        <f t="shared" si="257"/>
        <v>19977.39</v>
      </c>
      <c r="BY56" s="278">
        <f t="shared" si="257"/>
        <v>19487.184600000001</v>
      </c>
      <c r="BZ56" s="278">
        <f t="shared" si="257"/>
        <v>20445.237500000003</v>
      </c>
      <c r="CA56" s="278"/>
      <c r="CB56" s="278"/>
      <c r="CC56" s="278"/>
      <c r="CD56" s="278"/>
      <c r="CE56" s="278"/>
      <c r="CF56" s="278"/>
      <c r="CG56" s="278"/>
      <c r="CH56" s="278"/>
      <c r="CI56" s="278">
        <f>SUM(CI3:CI55)</f>
        <v>20009</v>
      </c>
      <c r="CJ56" s="278">
        <f>SUM(CJ3:CJ55)</f>
        <v>20830</v>
      </c>
      <c r="CK56" s="278">
        <f>SUM(CK3:CK55)</f>
        <v>20348</v>
      </c>
      <c r="CL56" s="278">
        <f t="shared" ref="CL56:CQ56" si="258">SUM(CL3:CL55)</f>
        <v>20394</v>
      </c>
      <c r="CM56" s="278">
        <f t="shared" si="258"/>
        <v>20021</v>
      </c>
      <c r="CN56" s="278">
        <f t="shared" si="258"/>
        <v>20564</v>
      </c>
      <c r="CO56" s="278">
        <f t="shared" si="258"/>
        <v>20728</v>
      </c>
      <c r="CP56" s="278">
        <f t="shared" si="258"/>
        <v>20744</v>
      </c>
      <c r="CQ56" s="278">
        <f t="shared" si="258"/>
        <v>20690</v>
      </c>
      <c r="CR56" s="278">
        <f t="shared" ref="CR56:CX56" si="259">SUM(CR3:CR55)</f>
        <v>18338</v>
      </c>
      <c r="CS56" s="278">
        <f t="shared" si="259"/>
        <v>21082</v>
      </c>
      <c r="CT56" s="278">
        <f t="shared" si="259"/>
        <v>22476</v>
      </c>
      <c r="CU56" s="278">
        <f t="shared" si="259"/>
        <v>22321</v>
      </c>
      <c r="CV56" s="278">
        <f>SUM(CV3:CV55)</f>
        <v>23441</v>
      </c>
      <c r="CW56" s="278">
        <f t="shared" si="259"/>
        <v>23335</v>
      </c>
      <c r="CX56" s="278">
        <f t="shared" si="259"/>
        <v>24807</v>
      </c>
      <c r="CY56" s="278">
        <f>SUM(CY3:CY55)</f>
        <v>23426</v>
      </c>
      <c r="CZ56" s="278">
        <f t="shared" ref="CZ56:DF56" si="260">SUM(CZ3:CZ55)</f>
        <v>24020</v>
      </c>
      <c r="DA56" s="278">
        <f t="shared" si="260"/>
        <v>23792</v>
      </c>
      <c r="DB56" s="278">
        <f t="shared" si="260"/>
        <v>23498.879999999997</v>
      </c>
      <c r="DC56" s="278">
        <f t="shared" si="260"/>
        <v>23439.85</v>
      </c>
      <c r="DD56" s="278">
        <f t="shared" si="260"/>
        <v>24049.49</v>
      </c>
      <c r="DE56" s="278">
        <f t="shared" si="260"/>
        <v>23978.76</v>
      </c>
      <c r="DF56" s="278">
        <f t="shared" si="260"/>
        <v>24236.312600000001</v>
      </c>
      <c r="DH56" s="239">
        <v>9757</v>
      </c>
      <c r="DI56" s="239">
        <v>11232</v>
      </c>
      <c r="DJ56" s="239">
        <v>12447</v>
      </c>
      <c r="DK56" s="239">
        <v>13753</v>
      </c>
      <c r="DL56" s="239">
        <v>14138</v>
      </c>
      <c r="DM56" s="239">
        <v>15734</v>
      </c>
      <c r="DN56" s="239">
        <v>18842</v>
      </c>
      <c r="DO56" s="239">
        <v>21620</v>
      </c>
      <c r="DP56" s="239">
        <v>22629</v>
      </c>
      <c r="DQ56" s="239">
        <v>23657</v>
      </c>
      <c r="DR56" s="239">
        <v>27471</v>
      </c>
      <c r="DS56" s="239">
        <v>29139</v>
      </c>
      <c r="DT56" s="239">
        <v>33004</v>
      </c>
      <c r="DU56" s="239">
        <f>SUM(DU3:DU55)</f>
        <v>36911.9</v>
      </c>
      <c r="DV56" s="239">
        <f>SUM(DV3:DV55)</f>
        <v>42365.4</v>
      </c>
      <c r="DW56" s="239">
        <f>SUM(DW9:DW55)+DW3</f>
        <v>48117</v>
      </c>
      <c r="DX56" s="239">
        <f>SUM(DX9:DX55)+DX3</f>
        <v>49498</v>
      </c>
      <c r="DY56" s="239">
        <f>SUM(DY3:DY55)</f>
        <v>53324</v>
      </c>
      <c r="DZ56" s="239">
        <f>SUM(DZ9:DZ55)+DZ3</f>
        <v>61095</v>
      </c>
      <c r="EA56" s="239">
        <f t="shared" ref="EA56:EQ56" si="261">SUM(EA3:EA55)</f>
        <v>63747</v>
      </c>
      <c r="EB56" s="239">
        <f t="shared" si="261"/>
        <v>61897</v>
      </c>
      <c r="EC56" s="239">
        <f t="shared" si="261"/>
        <v>61455</v>
      </c>
      <c r="ED56" s="239">
        <f t="shared" si="261"/>
        <v>65030</v>
      </c>
      <c r="EE56" s="239">
        <f t="shared" si="261"/>
        <v>67747</v>
      </c>
      <c r="EF56" s="239">
        <f t="shared" si="261"/>
        <v>71312</v>
      </c>
      <c r="EG56" s="239">
        <f t="shared" si="261"/>
        <v>76248.634999999995</v>
      </c>
      <c r="EH56" s="239">
        <f t="shared" si="261"/>
        <v>77004.854775</v>
      </c>
      <c r="EI56" s="239">
        <f t="shared" si="261"/>
        <v>73372.201641624997</v>
      </c>
      <c r="EJ56" s="239">
        <f t="shared" si="261"/>
        <v>70488.183447316886</v>
      </c>
      <c r="EK56" s="239">
        <f t="shared" si="261"/>
        <v>70494.054104134892</v>
      </c>
      <c r="EL56" s="239">
        <f t="shared" si="261"/>
        <v>70934.358885224967</v>
      </c>
      <c r="EM56" s="239">
        <f t="shared" si="261"/>
        <v>82586</v>
      </c>
      <c r="EN56" s="239">
        <f t="shared" si="261"/>
        <v>93904</v>
      </c>
      <c r="EO56" s="239">
        <f t="shared" si="261"/>
        <v>94736.88</v>
      </c>
      <c r="EP56" s="239">
        <f t="shared" si="261"/>
        <v>94040.613100000002</v>
      </c>
      <c r="EQ56" s="239">
        <f t="shared" si="261"/>
        <v>94476.122234500013</v>
      </c>
      <c r="ER56" s="239">
        <f t="shared" ref="ER56:EW56" si="262">SUM(ER3:ER55)</f>
        <v>93836.27955469751</v>
      </c>
      <c r="ES56" s="239">
        <f t="shared" si="262"/>
        <v>93465.644090087328</v>
      </c>
      <c r="ET56" s="239">
        <f t="shared" si="262"/>
        <v>93545.691720245944</v>
      </c>
      <c r="EU56" s="239">
        <f t="shared" si="262"/>
        <v>93844.279879290552</v>
      </c>
      <c r="EV56" s="239">
        <f t="shared" si="262"/>
        <v>92609.629626350332</v>
      </c>
      <c r="EW56" s="239">
        <f t="shared" si="262"/>
        <v>92381.522957190522</v>
      </c>
      <c r="FB56" s="280"/>
    </row>
    <row r="57" spans="1:159" s="275" customFormat="1" ht="12.75" customHeight="1" x14ac:dyDescent="0.2">
      <c r="A57"/>
      <c r="B57" t="s">
        <v>338</v>
      </c>
      <c r="C57" s="235">
        <v>1772</v>
      </c>
      <c r="D57" s="235">
        <v>1749</v>
      </c>
      <c r="E57" s="235">
        <v>1750</v>
      </c>
      <c r="F57" s="235">
        <v>1881</v>
      </c>
      <c r="G57" s="235">
        <v>1777</v>
      </c>
      <c r="H57" s="235">
        <v>1803</v>
      </c>
      <c r="I57" s="235">
        <v>1758</v>
      </c>
      <c r="J57" s="235">
        <v>2098</v>
      </c>
      <c r="K57" s="235">
        <v>2038</v>
      </c>
      <c r="L57" s="235">
        <v>2086</v>
      </c>
      <c r="M57" s="235">
        <v>2030</v>
      </c>
      <c r="N57" s="235">
        <v>2181</v>
      </c>
      <c r="O57" s="235">
        <v>2241</v>
      </c>
      <c r="P57" s="235">
        <v>2256</v>
      </c>
      <c r="Q57" s="235">
        <v>2179</v>
      </c>
      <c r="R57" s="235">
        <v>2185</v>
      </c>
      <c r="S57" s="235">
        <v>2279</v>
      </c>
      <c r="T57" s="235">
        <v>2362</v>
      </c>
      <c r="U57" s="235">
        <v>2385</v>
      </c>
      <c r="V57" s="235">
        <v>2489</v>
      </c>
      <c r="W57" s="235">
        <v>2457</v>
      </c>
      <c r="X57" s="235">
        <v>2582</v>
      </c>
      <c r="Y57" s="235">
        <v>2611</v>
      </c>
      <c r="Z57" s="235">
        <v>2797</v>
      </c>
      <c r="AA57" s="235">
        <v>2722</v>
      </c>
      <c r="AB57" s="235">
        <v>2966</v>
      </c>
      <c r="AC57" s="235">
        <v>2980</v>
      </c>
      <c r="AD57" s="235">
        <v>3508</v>
      </c>
      <c r="AE57" s="235">
        <v>3367</v>
      </c>
      <c r="AF57" s="243">
        <v>3162</v>
      </c>
      <c r="AG57" s="243">
        <v>3187</v>
      </c>
      <c r="AH57" s="243">
        <v>3706</v>
      </c>
      <c r="AI57" s="243">
        <v>3496</v>
      </c>
      <c r="AJ57" s="243">
        <v>3522</v>
      </c>
      <c r="AK57" s="243">
        <v>3354</v>
      </c>
      <c r="AL57" s="243">
        <v>3638</v>
      </c>
      <c r="AM57" s="243">
        <v>3612</v>
      </c>
      <c r="AN57" s="243">
        <v>3788</v>
      </c>
      <c r="AO57" s="243">
        <v>3650</v>
      </c>
      <c r="AP57" s="243">
        <v>4007</v>
      </c>
      <c r="AQ57" s="243">
        <v>4385</v>
      </c>
      <c r="AR57" s="243">
        <v>4358</v>
      </c>
      <c r="AS57" s="243">
        <v>4274</v>
      </c>
      <c r="AT57" s="243">
        <v>4734</v>
      </c>
      <c r="AU57" s="243">
        <v>4614</v>
      </c>
      <c r="AV57" s="243">
        <v>4751</v>
      </c>
      <c r="AW57" s="243">
        <v>4774</v>
      </c>
      <c r="AX57" s="243">
        <v>4372</v>
      </c>
      <c r="AY57" s="243">
        <v>4251</v>
      </c>
      <c r="AZ57" s="243">
        <v>4450</v>
      </c>
      <c r="BA57" s="243">
        <v>4434</v>
      </c>
      <c r="BB57" s="243">
        <f>5312-113</f>
        <v>5199</v>
      </c>
      <c r="BC57" s="243">
        <v>4528</v>
      </c>
      <c r="BD57" s="243">
        <v>4630</v>
      </c>
      <c r="BE57" s="243">
        <v>4594</v>
      </c>
      <c r="BF57" s="243">
        <v>5040</v>
      </c>
      <c r="BG57" s="243">
        <v>4778</v>
      </c>
      <c r="BH57" s="243">
        <v>5172</v>
      </c>
      <c r="BI57" s="243">
        <v>5072</v>
      </c>
      <c r="BJ57" s="243">
        <v>5338</v>
      </c>
      <c r="BK57" s="243">
        <v>4915</v>
      </c>
      <c r="BL57" s="243">
        <v>5143</v>
      </c>
      <c r="BM57" s="243">
        <v>5597</v>
      </c>
      <c r="BN57" s="243">
        <v>6003</v>
      </c>
      <c r="BO57" s="243">
        <v>5554</v>
      </c>
      <c r="BP57" s="243">
        <v>5489</v>
      </c>
      <c r="BQ57" s="243">
        <v>5344</v>
      </c>
      <c r="BR57" s="243">
        <v>5955</v>
      </c>
      <c r="BS57" s="243">
        <v>5455</v>
      </c>
      <c r="BT57" s="243">
        <v>6039</v>
      </c>
      <c r="BU57" s="243">
        <f t="shared" ref="BU57:BZ57" si="263">+BU56-BU58</f>
        <v>5566.1580000000013</v>
      </c>
      <c r="BV57" s="243">
        <f t="shared" si="263"/>
        <v>5849.9310000000023</v>
      </c>
      <c r="BW57" s="243">
        <f t="shared" si="263"/>
        <v>5713.023000000001</v>
      </c>
      <c r="BX57" s="243">
        <f t="shared" si="263"/>
        <v>5993.2170000000006</v>
      </c>
      <c r="BY57" s="243">
        <f t="shared" si="263"/>
        <v>5846.1553800000002</v>
      </c>
      <c r="BZ57" s="243">
        <f t="shared" si="263"/>
        <v>6133.5712500000009</v>
      </c>
      <c r="CA57" s="243"/>
      <c r="CB57" s="243"/>
      <c r="CC57" s="243"/>
      <c r="CD57" s="243"/>
      <c r="CE57" s="243"/>
      <c r="CF57" s="243"/>
      <c r="CG57" s="243"/>
      <c r="CH57" s="243"/>
      <c r="CI57" s="243">
        <v>6614</v>
      </c>
      <c r="CJ57" s="243">
        <v>6927</v>
      </c>
      <c r="CK57" s="243">
        <v>6589</v>
      </c>
      <c r="CL57" s="243">
        <v>6961</v>
      </c>
      <c r="CM57" s="243">
        <v>6615</v>
      </c>
      <c r="CN57" s="243">
        <v>6940</v>
      </c>
      <c r="CO57" s="243">
        <v>6867</v>
      </c>
      <c r="CP57" s="243">
        <v>7134</v>
      </c>
      <c r="CQ57" s="243">
        <v>7062</v>
      </c>
      <c r="CR57" s="243">
        <v>6579</v>
      </c>
      <c r="CS57" s="243">
        <v>6972</v>
      </c>
      <c r="CT57" s="243">
        <v>7814</v>
      </c>
      <c r="CU57" s="243">
        <v>7063</v>
      </c>
      <c r="CV57" s="243">
        <v>6345</v>
      </c>
      <c r="CW57" s="243">
        <v>7250</v>
      </c>
      <c r="CX57" s="243">
        <v>7955</v>
      </c>
      <c r="CY57" s="243">
        <v>7598</v>
      </c>
      <c r="CZ57" s="243">
        <v>6600</v>
      </c>
      <c r="DA57" s="243">
        <v>7807</v>
      </c>
      <c r="DB57" s="243">
        <f t="shared" ref="DB57:DF57" si="264">+DB56-DB58</f>
        <v>7637.1359999999986</v>
      </c>
      <c r="DC57" s="243">
        <f t="shared" si="264"/>
        <v>7617.9512499999983</v>
      </c>
      <c r="DD57" s="243">
        <f t="shared" si="264"/>
        <v>7816.0842499999999</v>
      </c>
      <c r="DE57" s="243">
        <f t="shared" si="264"/>
        <v>7793.0969999999979</v>
      </c>
      <c r="DF57" s="243">
        <f t="shared" si="264"/>
        <v>7876.801594999999</v>
      </c>
      <c r="DH57" s="235">
        <v>3480</v>
      </c>
      <c r="DI57" s="235">
        <v>3937</v>
      </c>
      <c r="DJ57" s="235">
        <v>4204</v>
      </c>
      <c r="DK57" s="235">
        <v>4678</v>
      </c>
      <c r="DL57" s="235">
        <v>4791</v>
      </c>
      <c r="DM57" s="235">
        <v>5299</v>
      </c>
      <c r="DN57" s="235">
        <v>6235</v>
      </c>
      <c r="DO57" s="235">
        <v>7018</v>
      </c>
      <c r="DP57" s="235">
        <v>7152</v>
      </c>
      <c r="DQ57" s="235">
        <f>7496-60</f>
        <v>7436</v>
      </c>
      <c r="DR57" s="235">
        <v>8442</v>
      </c>
      <c r="DS57" s="235">
        <v>8861</v>
      </c>
      <c r="DT57" s="235">
        <v>9536</v>
      </c>
      <c r="DU57" s="235">
        <v>10447</v>
      </c>
      <c r="DV57" s="235">
        <v>12176</v>
      </c>
      <c r="DW57" s="235">
        <v>13422</v>
      </c>
      <c r="DX57" s="235">
        <v>13954</v>
      </c>
      <c r="DY57" s="235">
        <f>SUM(AM57:AP57)</f>
        <v>15057</v>
      </c>
      <c r="DZ57" s="235">
        <f>SUM(AQ57:AT57)</f>
        <v>17751</v>
      </c>
      <c r="EA57" s="235">
        <f>SUM(AU57:AX57)</f>
        <v>18511</v>
      </c>
      <c r="EB57" s="235">
        <f>EB56-EB58</f>
        <v>18334</v>
      </c>
      <c r="EC57" s="235">
        <f>SUM(BC57:BF57)</f>
        <v>18792</v>
      </c>
      <c r="ED57" s="235">
        <f>ED56-ED58</f>
        <v>17001</v>
      </c>
      <c r="EE57" s="235">
        <f>SUM(BK57:BN57)</f>
        <v>21658</v>
      </c>
      <c r="EF57" s="235">
        <f>SUM(BO57:BR57)</f>
        <v>22342</v>
      </c>
      <c r="EG57" s="235">
        <f t="shared" ref="EG57:EI57" si="265">EG56-EG58</f>
        <v>23637.076850000005</v>
      </c>
      <c r="EH57" s="235">
        <f t="shared" si="265"/>
        <v>23871.504980250007</v>
      </c>
      <c r="EI57" s="235">
        <f t="shared" si="265"/>
        <v>22745.382508903756</v>
      </c>
      <c r="EJ57" s="235">
        <f>+EJ56-EJ58</f>
        <v>21851.336868668237</v>
      </c>
      <c r="EK57" s="235">
        <f t="shared" ref="EK57:EM57" si="266">+EK56-EK58</f>
        <v>21853.156772281822</v>
      </c>
      <c r="EL57" s="235">
        <f t="shared" si="266"/>
        <v>21989.651254419747</v>
      </c>
      <c r="EM57" s="235">
        <f t="shared" si="266"/>
        <v>25601.660000000003</v>
      </c>
      <c r="EN57" s="235">
        <f t="shared" ref="EN57:EN60" si="267">SUM(CU57:CX57)</f>
        <v>28613</v>
      </c>
      <c r="EO57" s="235">
        <f t="shared" ref="EO57:EQ57" si="268">+EO56-EO58</f>
        <v>29368.43280000001</v>
      </c>
      <c r="EP57" s="235">
        <f t="shared" si="268"/>
        <v>29152.590061000003</v>
      </c>
      <c r="EQ57" s="235">
        <f t="shared" si="268"/>
        <v>29287.597892695012</v>
      </c>
      <c r="ER57" s="235">
        <f>+ER56-ER58</f>
        <v>29089.246661956233</v>
      </c>
      <c r="ES57" s="235">
        <f t="shared" ref="ES57:EW57" si="269">+ES56-ES58</f>
        <v>28974.349667927076</v>
      </c>
      <c r="ET57" s="235">
        <f t="shared" si="269"/>
        <v>28999.164433276244</v>
      </c>
      <c r="EU57" s="235">
        <f t="shared" si="269"/>
        <v>29091.726762580074</v>
      </c>
      <c r="EV57" s="235">
        <f t="shared" si="269"/>
        <v>28708.98518416861</v>
      </c>
      <c r="EW57" s="235">
        <f t="shared" si="269"/>
        <v>28638.272116729066</v>
      </c>
    </row>
    <row r="58" spans="1:159" s="275" customFormat="1" ht="12.75" customHeight="1" x14ac:dyDescent="0.2">
      <c r="A58"/>
      <c r="B58" t="s">
        <v>339</v>
      </c>
      <c r="C58" s="235">
        <f t="shared" ref="C58:AW58" si="270">C56-C57</f>
        <v>3943</v>
      </c>
      <c r="D58" s="235">
        <f t="shared" si="270"/>
        <v>3949</v>
      </c>
      <c r="E58" s="235">
        <f t="shared" si="270"/>
        <v>3836</v>
      </c>
      <c r="F58" s="235">
        <f t="shared" si="270"/>
        <v>3749</v>
      </c>
      <c r="G58" s="235">
        <f t="shared" si="270"/>
        <v>4006</v>
      </c>
      <c r="H58" s="235">
        <f t="shared" si="270"/>
        <v>3980</v>
      </c>
      <c r="I58" s="235">
        <f t="shared" si="270"/>
        <v>3966</v>
      </c>
      <c r="J58" s="235">
        <f t="shared" si="270"/>
        <v>4269</v>
      </c>
      <c r="K58" s="235">
        <f t="shared" si="270"/>
        <v>4600</v>
      </c>
      <c r="L58" s="235">
        <f t="shared" si="270"/>
        <v>4768</v>
      </c>
      <c r="M58" s="235">
        <f t="shared" si="270"/>
        <v>4719</v>
      </c>
      <c r="N58" s="235">
        <f t="shared" si="270"/>
        <v>4696</v>
      </c>
      <c r="O58" s="235">
        <f t="shared" si="270"/>
        <v>5078</v>
      </c>
      <c r="P58" s="235">
        <f t="shared" si="270"/>
        <v>5252</v>
      </c>
      <c r="Q58" s="235">
        <f t="shared" si="270"/>
        <v>5025</v>
      </c>
      <c r="R58" s="235">
        <f t="shared" si="270"/>
        <v>4923</v>
      </c>
      <c r="S58" s="235">
        <f t="shared" si="270"/>
        <v>5512</v>
      </c>
      <c r="T58" s="235">
        <f t="shared" si="270"/>
        <v>5980</v>
      </c>
      <c r="U58" s="235">
        <f t="shared" si="270"/>
        <v>5853</v>
      </c>
      <c r="V58" s="235">
        <f t="shared" si="270"/>
        <v>5914</v>
      </c>
      <c r="W58" s="235">
        <f t="shared" si="270"/>
        <v>6286</v>
      </c>
      <c r="X58" s="235">
        <f t="shared" si="270"/>
        <v>6491</v>
      </c>
      <c r="Y58" s="235">
        <f t="shared" si="270"/>
        <v>6468</v>
      </c>
      <c r="Z58" s="235">
        <f t="shared" si="270"/>
        <v>6606</v>
      </c>
      <c r="AA58" s="235">
        <f t="shared" si="270"/>
        <v>7100</v>
      </c>
      <c r="AB58" s="235">
        <f t="shared" si="270"/>
        <v>7366</v>
      </c>
      <c r="AC58" s="235">
        <f t="shared" si="270"/>
        <v>7474</v>
      </c>
      <c r="AD58" s="235">
        <f t="shared" si="270"/>
        <v>7881</v>
      </c>
      <c r="AE58" s="243">
        <f t="shared" si="270"/>
        <v>8617</v>
      </c>
      <c r="AF58" s="243">
        <f t="shared" si="270"/>
        <v>8730</v>
      </c>
      <c r="AG58" s="243">
        <f t="shared" si="270"/>
        <v>8366</v>
      </c>
      <c r="AH58" s="243">
        <f t="shared" si="270"/>
        <v>9046</v>
      </c>
      <c r="AI58" s="243">
        <f t="shared" si="270"/>
        <v>9336</v>
      </c>
      <c r="AJ58" s="243">
        <f t="shared" si="270"/>
        <v>9240</v>
      </c>
      <c r="AK58" s="243">
        <f t="shared" si="270"/>
        <v>8956</v>
      </c>
      <c r="AL58" s="243">
        <f t="shared" si="270"/>
        <v>8972</v>
      </c>
      <c r="AM58" s="243">
        <f t="shared" si="270"/>
        <v>9380</v>
      </c>
      <c r="AN58" s="243">
        <f t="shared" si="270"/>
        <v>9575</v>
      </c>
      <c r="AO58" s="243">
        <f t="shared" si="270"/>
        <v>9637</v>
      </c>
      <c r="AP58" s="243">
        <f t="shared" si="270"/>
        <v>9675</v>
      </c>
      <c r="AQ58" s="243">
        <f>AQ56-AQ57</f>
        <v>10702</v>
      </c>
      <c r="AR58" s="243">
        <f>AR56-AR57</f>
        <v>10784</v>
      </c>
      <c r="AS58" s="243">
        <f>AS56-AS57</f>
        <v>10733</v>
      </c>
      <c r="AT58" s="243">
        <f>AT56-AT57</f>
        <v>11223</v>
      </c>
      <c r="AU58" s="243">
        <f t="shared" si="270"/>
        <v>11580</v>
      </c>
      <c r="AV58" s="243">
        <f t="shared" si="270"/>
        <v>11699</v>
      </c>
      <c r="AW58" s="243">
        <f t="shared" si="270"/>
        <v>11147</v>
      </c>
      <c r="AX58" s="243">
        <f t="shared" ref="AX58:BC58" si="271">AX56-AX57</f>
        <v>10810</v>
      </c>
      <c r="AY58" s="243">
        <f t="shared" si="271"/>
        <v>10775</v>
      </c>
      <c r="AZ58" s="243">
        <f t="shared" si="271"/>
        <v>10789</v>
      </c>
      <c r="BA58" s="243">
        <f t="shared" si="271"/>
        <v>10647</v>
      </c>
      <c r="BB58" s="243">
        <f t="shared" si="271"/>
        <v>11352</v>
      </c>
      <c r="BC58" s="243">
        <f t="shared" si="271"/>
        <v>11103</v>
      </c>
      <c r="BD58" s="243">
        <f>+BD56-BD57</f>
        <v>10759</v>
      </c>
      <c r="BE58" s="243">
        <f>+BE56-BE57</f>
        <v>10388</v>
      </c>
      <c r="BF58" s="243">
        <f>+BF56-BF57</f>
        <v>10604</v>
      </c>
      <c r="BG58" s="243">
        <f>+BG56-BG57</f>
        <v>12188</v>
      </c>
      <c r="BH58" s="243">
        <f>+BH56-BH57</f>
        <v>11425</v>
      </c>
      <c r="BI58" s="243">
        <f>BI56-BI57</f>
        <v>10933</v>
      </c>
      <c r="BJ58" s="243">
        <f>BJ56-BJ57</f>
        <v>13483</v>
      </c>
      <c r="BK58" s="243">
        <f>BK56-BK57</f>
        <v>11224</v>
      </c>
      <c r="BL58" s="243">
        <f>BL56-BL57</f>
        <v>11483</v>
      </c>
      <c r="BM58" s="243">
        <f>BM56-BM57</f>
        <v>11594</v>
      </c>
      <c r="BN58" s="243">
        <f t="shared" ref="BN58:BT58" si="272">+BN56-BN57</f>
        <v>11788</v>
      </c>
      <c r="BO58" s="243">
        <f t="shared" si="272"/>
        <v>11994</v>
      </c>
      <c r="BP58" s="243">
        <f t="shared" si="272"/>
        <v>12444</v>
      </c>
      <c r="BQ58" s="243">
        <f t="shared" si="272"/>
        <v>12295</v>
      </c>
      <c r="BR58" s="243">
        <f t="shared" si="272"/>
        <v>12496</v>
      </c>
      <c r="BS58" s="243">
        <f t="shared" si="272"/>
        <v>12660</v>
      </c>
      <c r="BT58" s="243">
        <f t="shared" si="272"/>
        <v>13456</v>
      </c>
      <c r="BU58" s="243">
        <f>+BU56*0.7</f>
        <v>12987.701999999999</v>
      </c>
      <c r="BV58" s="243">
        <f>+BV56*0.7</f>
        <v>13649.839000000002</v>
      </c>
      <c r="BW58" s="243">
        <f t="shared" ref="BW58:BZ58" si="273">+BW56*0.7</f>
        <v>13330.386999999999</v>
      </c>
      <c r="BX58" s="243">
        <f t="shared" si="273"/>
        <v>13984.172999999999</v>
      </c>
      <c r="BY58" s="243">
        <f t="shared" si="273"/>
        <v>13641.02922</v>
      </c>
      <c r="BZ58" s="243">
        <f t="shared" si="273"/>
        <v>14311.666250000002</v>
      </c>
      <c r="CA58" s="243"/>
      <c r="CB58" s="243"/>
      <c r="CC58" s="243"/>
      <c r="CD58" s="243"/>
      <c r="CE58" s="243"/>
      <c r="CF58" s="243"/>
      <c r="CG58" s="243"/>
      <c r="CH58" s="243"/>
      <c r="CI58" s="243">
        <f t="shared" ref="CI58:CP58" si="274">+CI56-CI57</f>
        <v>13395</v>
      </c>
      <c r="CJ58" s="243">
        <f t="shared" si="274"/>
        <v>13903</v>
      </c>
      <c r="CK58" s="243">
        <f t="shared" si="274"/>
        <v>13759</v>
      </c>
      <c r="CL58" s="243">
        <f t="shared" si="274"/>
        <v>13433</v>
      </c>
      <c r="CM58" s="243">
        <f t="shared" si="274"/>
        <v>13406</v>
      </c>
      <c r="CN58" s="243">
        <f t="shared" si="274"/>
        <v>13624</v>
      </c>
      <c r="CO58" s="243">
        <f t="shared" si="274"/>
        <v>13861</v>
      </c>
      <c r="CP58" s="243">
        <f t="shared" si="274"/>
        <v>13610</v>
      </c>
      <c r="CQ58" s="243">
        <f t="shared" ref="CQ58" si="275">+CQ56-CQ57</f>
        <v>13628</v>
      </c>
      <c r="CR58" s="243">
        <f t="shared" ref="CR58:CV58" si="276">+CR56-CR57</f>
        <v>11759</v>
      </c>
      <c r="CS58" s="243">
        <f t="shared" si="276"/>
        <v>14110</v>
      </c>
      <c r="CT58" s="243">
        <f t="shared" si="276"/>
        <v>14662</v>
      </c>
      <c r="CU58" s="243">
        <f t="shared" si="276"/>
        <v>15258</v>
      </c>
      <c r="CV58" s="243">
        <f t="shared" si="276"/>
        <v>17096</v>
      </c>
      <c r="CW58" s="243">
        <f>+CW56-CW57</f>
        <v>16085</v>
      </c>
      <c r="CX58" s="243">
        <f>+CX56-CX57</f>
        <v>16852</v>
      </c>
      <c r="CY58" s="243">
        <f>+CY56-CY57</f>
        <v>15828</v>
      </c>
      <c r="CZ58" s="243">
        <f>+CZ56-CZ57</f>
        <v>17420</v>
      </c>
      <c r="DA58" s="243">
        <f>+DA56-DA57</f>
        <v>15985</v>
      </c>
      <c r="DB58" s="243">
        <f t="shared" ref="DB58:DF58" si="277">+DB56*0.675</f>
        <v>15861.743999999999</v>
      </c>
      <c r="DC58" s="243">
        <f t="shared" si="277"/>
        <v>15821.89875</v>
      </c>
      <c r="DD58" s="243">
        <f t="shared" si="277"/>
        <v>16233.405750000002</v>
      </c>
      <c r="DE58" s="243">
        <f t="shared" si="277"/>
        <v>16185.663</v>
      </c>
      <c r="DF58" s="243">
        <f t="shared" si="277"/>
        <v>16359.511005000002</v>
      </c>
      <c r="DH58" s="235">
        <f t="shared" ref="DH58:DY58" si="278">DH56-DH57</f>
        <v>6277</v>
      </c>
      <c r="DI58" s="235">
        <f t="shared" si="278"/>
        <v>7295</v>
      </c>
      <c r="DJ58" s="235">
        <f t="shared" si="278"/>
        <v>8243</v>
      </c>
      <c r="DK58" s="235">
        <f t="shared" si="278"/>
        <v>9075</v>
      </c>
      <c r="DL58" s="235">
        <f t="shared" si="278"/>
        <v>9347</v>
      </c>
      <c r="DM58" s="235">
        <f t="shared" si="278"/>
        <v>10435</v>
      </c>
      <c r="DN58" s="235">
        <f t="shared" si="278"/>
        <v>12607</v>
      </c>
      <c r="DO58" s="235">
        <f t="shared" si="278"/>
        <v>14602</v>
      </c>
      <c r="DP58" s="235">
        <f t="shared" si="278"/>
        <v>15477</v>
      </c>
      <c r="DQ58" s="235">
        <f t="shared" si="278"/>
        <v>16221</v>
      </c>
      <c r="DR58" s="235">
        <f t="shared" si="278"/>
        <v>19029</v>
      </c>
      <c r="DS58" s="235">
        <f t="shared" si="278"/>
        <v>20278</v>
      </c>
      <c r="DT58" s="235">
        <f t="shared" si="278"/>
        <v>23468</v>
      </c>
      <c r="DU58" s="235">
        <f t="shared" si="278"/>
        <v>26464.9</v>
      </c>
      <c r="DV58" s="235">
        <f t="shared" si="278"/>
        <v>30189.4</v>
      </c>
      <c r="DW58" s="235">
        <f t="shared" si="278"/>
        <v>34695</v>
      </c>
      <c r="DX58" s="235">
        <f t="shared" si="278"/>
        <v>35544</v>
      </c>
      <c r="DY58" s="235">
        <f t="shared" si="278"/>
        <v>38267</v>
      </c>
      <c r="DZ58" s="235">
        <f>DZ56-DZ57</f>
        <v>43344</v>
      </c>
      <c r="EA58" s="235">
        <f>EA56-EA57</f>
        <v>45236</v>
      </c>
      <c r="EB58" s="235">
        <f>SUM(AY58:BB58)</f>
        <v>43563</v>
      </c>
      <c r="EC58" s="235">
        <f>EC56-EC57</f>
        <v>42663</v>
      </c>
      <c r="ED58" s="235">
        <f>SUM(BG58:BJ58)</f>
        <v>48029</v>
      </c>
      <c r="EE58" s="235">
        <f>EE56-EE57</f>
        <v>46089</v>
      </c>
      <c r="EF58" s="235">
        <f>EF56-EF57</f>
        <v>48970</v>
      </c>
      <c r="EG58" s="235">
        <f>+EG56*0.69</f>
        <v>52611.55814999999</v>
      </c>
      <c r="EH58" s="235">
        <f t="shared" ref="EH58:EW58" si="279">+EH56*0.69</f>
        <v>53133.349794749993</v>
      </c>
      <c r="EI58" s="235">
        <f t="shared" si="279"/>
        <v>50626.819132721241</v>
      </c>
      <c r="EJ58" s="235">
        <f t="shared" si="279"/>
        <v>48636.846578648649</v>
      </c>
      <c r="EK58" s="235">
        <f t="shared" si="279"/>
        <v>48640.89733185307</v>
      </c>
      <c r="EL58" s="235">
        <f t="shared" si="279"/>
        <v>48944.70763080522</v>
      </c>
      <c r="EM58" s="235">
        <f t="shared" si="279"/>
        <v>56984.34</v>
      </c>
      <c r="EN58" s="235">
        <f>+EN56-EN57</f>
        <v>65291</v>
      </c>
      <c r="EO58" s="235">
        <f t="shared" si="279"/>
        <v>65368.447199999995</v>
      </c>
      <c r="EP58" s="235">
        <f t="shared" si="279"/>
        <v>64888.023039</v>
      </c>
      <c r="EQ58" s="235">
        <f t="shared" si="279"/>
        <v>65188.524341805001</v>
      </c>
      <c r="ER58" s="235">
        <f t="shared" si="279"/>
        <v>64747.032892741277</v>
      </c>
      <c r="ES58" s="235">
        <f t="shared" si="279"/>
        <v>64491.294422160252</v>
      </c>
      <c r="ET58" s="235">
        <f t="shared" si="279"/>
        <v>64546.5272869697</v>
      </c>
      <c r="EU58" s="235">
        <f t="shared" si="279"/>
        <v>64752.553116710478</v>
      </c>
      <c r="EV58" s="235">
        <f t="shared" si="279"/>
        <v>63900.644442181721</v>
      </c>
      <c r="EW58" s="235">
        <f t="shared" si="279"/>
        <v>63743.250840461456</v>
      </c>
    </row>
    <row r="59" spans="1:159" s="275" customFormat="1" ht="12.75" customHeight="1" x14ac:dyDescent="0.2">
      <c r="A59"/>
      <c r="B59" t="s">
        <v>1796</v>
      </c>
      <c r="C59" s="235">
        <v>2138</v>
      </c>
      <c r="D59" s="235">
        <v>2142</v>
      </c>
      <c r="E59" s="235">
        <v>2149</v>
      </c>
      <c r="F59" s="235">
        <v>2286</v>
      </c>
      <c r="G59" s="235">
        <v>2100</v>
      </c>
      <c r="H59" s="235">
        <v>2114</v>
      </c>
      <c r="I59" s="235">
        <v>2151</v>
      </c>
      <c r="J59" s="235">
        <v>2542</v>
      </c>
      <c r="K59" s="235">
        <v>2403</v>
      </c>
      <c r="L59" s="235">
        <v>2549</v>
      </c>
      <c r="M59" s="235">
        <v>2564</v>
      </c>
      <c r="N59" s="235">
        <v>2861</v>
      </c>
      <c r="O59" s="235">
        <v>2609</v>
      </c>
      <c r="P59" s="235">
        <v>2745</v>
      </c>
      <c r="Q59" s="235">
        <v>2675</v>
      </c>
      <c r="R59" s="235">
        <v>2846</v>
      </c>
      <c r="S59" s="235">
        <v>2721</v>
      </c>
      <c r="T59" s="235">
        <v>2975</v>
      </c>
      <c r="U59" s="235">
        <v>2894</v>
      </c>
      <c r="V59" s="235">
        <v>3280</v>
      </c>
      <c r="W59" s="235">
        <v>2843</v>
      </c>
      <c r="X59" s="235">
        <v>3017</v>
      </c>
      <c r="Y59" s="235">
        <v>3006</v>
      </c>
      <c r="Z59" s="235">
        <v>3350</v>
      </c>
      <c r="AA59" s="235">
        <v>3253</v>
      </c>
      <c r="AB59" s="235">
        <v>3396</v>
      </c>
      <c r="AC59" s="235">
        <v>3428</v>
      </c>
      <c r="AD59" s="235">
        <v>4054</v>
      </c>
      <c r="AE59" s="235">
        <v>3640</v>
      </c>
      <c r="AF59" s="243">
        <v>3711</v>
      </c>
      <c r="AG59" s="243">
        <v>3854</v>
      </c>
      <c r="AH59" s="243">
        <v>4655</v>
      </c>
      <c r="AI59" s="243">
        <v>4127</v>
      </c>
      <c r="AJ59" s="243">
        <v>4194</v>
      </c>
      <c r="AK59" s="243">
        <v>4161</v>
      </c>
      <c r="AL59" s="243">
        <v>4645</v>
      </c>
      <c r="AM59" s="243">
        <v>4095</v>
      </c>
      <c r="AN59" s="243">
        <v>4351</v>
      </c>
      <c r="AO59" s="243">
        <v>4291</v>
      </c>
      <c r="AP59" s="243">
        <v>4696</v>
      </c>
      <c r="AQ59" s="243">
        <v>4802</v>
      </c>
      <c r="AR59" s="243">
        <v>5029</v>
      </c>
      <c r="AS59" s="243">
        <v>4899</v>
      </c>
      <c r="AT59" s="243">
        <v>5721</v>
      </c>
      <c r="AU59" s="243">
        <v>5123</v>
      </c>
      <c r="AV59" s="243">
        <v>5507</v>
      </c>
      <c r="AW59" s="243">
        <v>5195</v>
      </c>
      <c r="AX59" s="243">
        <v>5665</v>
      </c>
      <c r="AY59" s="243">
        <v>4608</v>
      </c>
      <c r="AZ59" s="243">
        <v>4797</v>
      </c>
      <c r="BA59" s="243">
        <v>4767</v>
      </c>
      <c r="BB59" s="243">
        <v>5629</v>
      </c>
      <c r="BC59" s="243">
        <v>4779</v>
      </c>
      <c r="BD59" s="243">
        <v>4756</v>
      </c>
      <c r="BE59" s="243">
        <v>4709</v>
      </c>
      <c r="BF59" s="243">
        <v>5180</v>
      </c>
      <c r="BG59" s="243">
        <v>5056</v>
      </c>
      <c r="BH59" s="243">
        <v>5215</v>
      </c>
      <c r="BI59" s="243">
        <v>5240</v>
      </c>
      <c r="BJ59" s="243">
        <v>5458</v>
      </c>
      <c r="BK59" s="243">
        <v>5015</v>
      </c>
      <c r="BL59" s="243">
        <v>4965</v>
      </c>
      <c r="BM59" s="243">
        <v>5228</v>
      </c>
      <c r="BN59" s="243">
        <v>5661</v>
      </c>
      <c r="BO59" s="243">
        <v>5223</v>
      </c>
      <c r="BP59" s="243">
        <f>5376-375</f>
        <v>5001</v>
      </c>
      <c r="BQ59" s="243">
        <v>5314</v>
      </c>
      <c r="BR59" s="243">
        <v>5917</v>
      </c>
      <c r="BS59" s="243">
        <v>5183</v>
      </c>
      <c r="BT59" s="243">
        <v>5481</v>
      </c>
      <c r="BU59" s="243">
        <f>+BQ59*1.02</f>
        <v>5420.28</v>
      </c>
      <c r="BV59" s="243">
        <f t="shared" ref="BV59:BZ59" si="280">+BR59*1.02</f>
        <v>6035.34</v>
      </c>
      <c r="BW59" s="243">
        <f t="shared" si="280"/>
        <v>5286.66</v>
      </c>
      <c r="BX59" s="243">
        <f t="shared" si="280"/>
        <v>5590.62</v>
      </c>
      <c r="BY59" s="243">
        <f t="shared" si="280"/>
        <v>5528.6855999999998</v>
      </c>
      <c r="BZ59" s="243">
        <f t="shared" si="280"/>
        <v>6156.0468000000001</v>
      </c>
      <c r="CA59" s="243"/>
      <c r="CB59" s="243"/>
      <c r="CC59" s="243"/>
      <c r="CD59" s="243"/>
      <c r="CE59" s="243"/>
      <c r="CF59" s="243"/>
      <c r="CG59" s="243"/>
      <c r="CH59" s="243"/>
      <c r="CI59" s="243">
        <v>5263</v>
      </c>
      <c r="CJ59" s="243">
        <v>5743</v>
      </c>
      <c r="CK59" s="243">
        <f>5543-1085</f>
        <v>4458</v>
      </c>
      <c r="CL59" s="243">
        <f>5991-1073</f>
        <v>4918</v>
      </c>
      <c r="CM59" s="243">
        <v>5219</v>
      </c>
      <c r="CN59" s="243">
        <v>5546</v>
      </c>
      <c r="CO59" s="243">
        <f>5374-1138</f>
        <v>4236</v>
      </c>
      <c r="CP59" s="243">
        <f>6039-1142</f>
        <v>4897</v>
      </c>
      <c r="CQ59" s="243">
        <v>5203</v>
      </c>
      <c r="CR59" s="243">
        <v>4993</v>
      </c>
      <c r="CS59" s="243">
        <v>5431</v>
      </c>
      <c r="CT59" s="243">
        <v>6457</v>
      </c>
      <c r="CU59" s="243">
        <v>5432</v>
      </c>
      <c r="CV59" s="243">
        <v>6067</v>
      </c>
      <c r="CW59" s="243">
        <v>6000</v>
      </c>
      <c r="CX59" s="243">
        <v>7154</v>
      </c>
      <c r="CY59" s="243">
        <v>5938</v>
      </c>
      <c r="CZ59" s="243">
        <v>6220</v>
      </c>
      <c r="DA59" s="243">
        <f t="shared" ref="DA59:DF59" si="281">+DA56*0.25</f>
        <v>5948</v>
      </c>
      <c r="DB59" s="243">
        <f t="shared" si="281"/>
        <v>5874.7199999999993</v>
      </c>
      <c r="DC59" s="243">
        <f t="shared" si="281"/>
        <v>5859.9624999999996</v>
      </c>
      <c r="DD59" s="243">
        <f t="shared" si="281"/>
        <v>6012.3725000000004</v>
      </c>
      <c r="DE59" s="243">
        <f t="shared" si="281"/>
        <v>5994.69</v>
      </c>
      <c r="DF59" s="243">
        <f t="shared" si="281"/>
        <v>6059.0781500000003</v>
      </c>
      <c r="DH59" s="235">
        <v>3897</v>
      </c>
      <c r="DI59" s="235">
        <v>4469</v>
      </c>
      <c r="DJ59" s="235">
        <v>5099</v>
      </c>
      <c r="DK59" s="235">
        <v>5671</v>
      </c>
      <c r="DL59" s="235">
        <v>5771</v>
      </c>
      <c r="DM59" s="235">
        <v>6350</v>
      </c>
      <c r="DN59" s="235">
        <v>7462</v>
      </c>
      <c r="DO59" s="235">
        <v>8394</v>
      </c>
      <c r="DP59" s="235">
        <v>8715</v>
      </c>
      <c r="DQ59" s="235">
        <v>8907</v>
      </c>
      <c r="DR59" s="235">
        <v>10503</v>
      </c>
      <c r="DS59" s="235">
        <v>10875</v>
      </c>
      <c r="DT59" s="235">
        <v>11992</v>
      </c>
      <c r="DU59" s="235">
        <v>12216</v>
      </c>
      <c r="DV59" s="235">
        <v>14131</v>
      </c>
      <c r="DW59" s="235">
        <v>15860</v>
      </c>
      <c r="DX59" s="235">
        <v>16877</v>
      </c>
      <c r="DY59" s="235">
        <f>SUM(AM59:AP59)</f>
        <v>17433</v>
      </c>
      <c r="DZ59" s="235">
        <f>SUM(AQ59:AT59)</f>
        <v>20451</v>
      </c>
      <c r="EA59" s="235">
        <f>SUM(AU59:AX59)</f>
        <v>21490</v>
      </c>
      <c r="EB59" s="235">
        <f>SUM(AY59:BB59)</f>
        <v>19801</v>
      </c>
      <c r="EC59" s="235">
        <f>SUM(BC59:BF59)</f>
        <v>19424</v>
      </c>
      <c r="ED59" s="235">
        <f>SUM(BG59:BJ59)</f>
        <v>20969</v>
      </c>
      <c r="EE59" s="235">
        <f>SUM(BK59:BN59)</f>
        <v>20869</v>
      </c>
      <c r="EF59" s="235">
        <f>SUM(BO59:BR59)</f>
        <v>21455</v>
      </c>
      <c r="EG59" s="235">
        <f>EG56*EG90</f>
        <v>25162.04955</v>
      </c>
      <c r="EH59" s="235"/>
      <c r="EI59" s="235"/>
      <c r="EJ59" s="235">
        <f>+EI59</f>
        <v>0</v>
      </c>
      <c r="EK59" s="235">
        <f t="shared" ref="EK59:EM59" si="282">+EJ59</f>
        <v>0</v>
      </c>
      <c r="EL59" s="235">
        <f t="shared" si="282"/>
        <v>0</v>
      </c>
      <c r="EM59" s="235">
        <f t="shared" si="282"/>
        <v>0</v>
      </c>
      <c r="EN59" s="235">
        <f>SUM(CU59:CX59)</f>
        <v>24653</v>
      </c>
      <c r="EO59" s="235">
        <f>+EO56*0.26</f>
        <v>24631.588800000001</v>
      </c>
      <c r="EP59" s="235">
        <f t="shared" ref="EP59:EW59" si="283">+EP56*0.26</f>
        <v>24450.559406</v>
      </c>
      <c r="EQ59" s="235">
        <f t="shared" si="283"/>
        <v>24563.791780970005</v>
      </c>
      <c r="ER59" s="235">
        <f t="shared" si="283"/>
        <v>24397.432684221352</v>
      </c>
      <c r="ES59" s="235">
        <f t="shared" si="283"/>
        <v>24301.067463422707</v>
      </c>
      <c r="ET59" s="235">
        <f t="shared" si="283"/>
        <v>24321.879847263946</v>
      </c>
      <c r="EU59" s="235">
        <f t="shared" si="283"/>
        <v>24399.512768615543</v>
      </c>
      <c r="EV59" s="235">
        <f t="shared" si="283"/>
        <v>24078.503702851089</v>
      </c>
      <c r="EW59" s="235">
        <f t="shared" si="283"/>
        <v>24019.195968869535</v>
      </c>
    </row>
    <row r="60" spans="1:159" s="275" customFormat="1" ht="12.75" customHeight="1" x14ac:dyDescent="0.2">
      <c r="A60"/>
      <c r="B60" t="s">
        <v>1797</v>
      </c>
      <c r="C60" s="235">
        <v>478</v>
      </c>
      <c r="D60" s="235">
        <v>520</v>
      </c>
      <c r="E60" s="235">
        <v>516</v>
      </c>
      <c r="F60" s="235">
        <v>626</v>
      </c>
      <c r="G60" s="235">
        <v>494</v>
      </c>
      <c r="H60" s="235">
        <v>532</v>
      </c>
      <c r="I60" s="235">
        <v>511</v>
      </c>
      <c r="J60" s="235">
        <v>732</v>
      </c>
      <c r="K60" s="235">
        <v>536</v>
      </c>
      <c r="L60" s="235">
        <v>574</v>
      </c>
      <c r="M60" s="235">
        <v>613</v>
      </c>
      <c r="N60" s="235">
        <v>812</v>
      </c>
      <c r="O60" s="235">
        <v>637</v>
      </c>
      <c r="P60" s="235">
        <v>667</v>
      </c>
      <c r="Q60" s="235">
        <v>692</v>
      </c>
      <c r="R60" s="235">
        <v>930</v>
      </c>
      <c r="S60" s="235">
        <v>701</v>
      </c>
      <c r="T60" s="235">
        <v>829</v>
      </c>
      <c r="U60" s="235">
        <v>899</v>
      </c>
      <c r="V60" s="235">
        <v>1104</v>
      </c>
      <c r="W60" s="235">
        <v>831</v>
      </c>
      <c r="X60" s="235">
        <v>932</v>
      </c>
      <c r="Y60" s="235">
        <v>952</v>
      </c>
      <c r="Z60" s="235">
        <v>1242</v>
      </c>
      <c r="AA60" s="235">
        <v>936</v>
      </c>
      <c r="AB60" s="235">
        <v>1082</v>
      </c>
      <c r="AC60" s="235">
        <v>1177</v>
      </c>
      <c r="AD60" s="235">
        <v>1489</v>
      </c>
      <c r="AE60" s="235">
        <v>1095</v>
      </c>
      <c r="AF60" s="243">
        <v>1182</v>
      </c>
      <c r="AG60" s="243">
        <v>1198</v>
      </c>
      <c r="AH60" s="243">
        <v>1727</v>
      </c>
      <c r="AI60" s="243">
        <v>1384</v>
      </c>
      <c r="AJ60" s="243">
        <v>1487</v>
      </c>
      <c r="AK60" s="243">
        <v>1539</v>
      </c>
      <c r="AL60" s="243">
        <v>2014</v>
      </c>
      <c r="AM60" s="243">
        <v>1532</v>
      </c>
      <c r="AN60" s="243">
        <f>1828-165</f>
        <v>1663</v>
      </c>
      <c r="AO60" s="243">
        <v>1719</v>
      </c>
      <c r="AP60" s="243">
        <v>2046</v>
      </c>
      <c r="AQ60" s="243">
        <v>1652</v>
      </c>
      <c r="AR60" s="243">
        <v>1866</v>
      </c>
      <c r="AS60" s="243">
        <v>1834</v>
      </c>
      <c r="AT60" s="243">
        <f>2328</f>
        <v>2328</v>
      </c>
      <c r="AU60" s="243">
        <v>1712</v>
      </c>
      <c r="AV60" s="243">
        <v>1896</v>
      </c>
      <c r="AW60" s="243">
        <v>1861</v>
      </c>
      <c r="AX60" s="243">
        <v>2108</v>
      </c>
      <c r="AY60" s="243">
        <v>1518</v>
      </c>
      <c r="AZ60" s="243">
        <v>1638</v>
      </c>
      <c r="BA60" s="243">
        <v>1617</v>
      </c>
      <c r="BB60" s="243">
        <v>2213</v>
      </c>
      <c r="BC60" s="243">
        <v>1557</v>
      </c>
      <c r="BD60" s="243">
        <v>1648</v>
      </c>
      <c r="BE60" s="243">
        <v>1657</v>
      </c>
      <c r="BF60" s="243">
        <v>1982</v>
      </c>
      <c r="BG60" s="243">
        <v>1738</v>
      </c>
      <c r="BH60" s="243">
        <v>1882</v>
      </c>
      <c r="BI60" s="243">
        <v>1773</v>
      </c>
      <c r="BJ60" s="243">
        <v>2155</v>
      </c>
      <c r="BK60" s="243">
        <v>1645</v>
      </c>
      <c r="BL60" s="243">
        <v>1766</v>
      </c>
      <c r="BM60" s="243">
        <v>1923</v>
      </c>
      <c r="BN60" s="243">
        <v>2331</v>
      </c>
      <c r="BO60" s="243">
        <v>1784</v>
      </c>
      <c r="BP60" s="243">
        <v>1946</v>
      </c>
      <c r="BQ60" s="243">
        <v>2042</v>
      </c>
      <c r="BR60" s="243">
        <v>2411</v>
      </c>
      <c r="BS60" s="243">
        <v>1831</v>
      </c>
      <c r="BT60" s="243">
        <v>2005</v>
      </c>
      <c r="BU60" s="243">
        <f>+BQ60*1.01</f>
        <v>2062.42</v>
      </c>
      <c r="BV60" s="243">
        <f>+BR60*1.01</f>
        <v>2435.11</v>
      </c>
      <c r="BW60" s="243">
        <f t="shared" ref="BW60:BZ60" si="284">+BS60*1.01</f>
        <v>1849.31</v>
      </c>
      <c r="BX60" s="243">
        <f t="shared" si="284"/>
        <v>2025.05</v>
      </c>
      <c r="BY60" s="243">
        <f t="shared" si="284"/>
        <v>2083.0442000000003</v>
      </c>
      <c r="BZ60" s="243">
        <f t="shared" si="284"/>
        <v>2459.4611</v>
      </c>
      <c r="CA60" s="243"/>
      <c r="CB60" s="243"/>
      <c r="CC60" s="243"/>
      <c r="CD60" s="243"/>
      <c r="CE60" s="243"/>
      <c r="CF60" s="243"/>
      <c r="CG60" s="243"/>
      <c r="CH60" s="243"/>
      <c r="CI60" s="243">
        <v>2404</v>
      </c>
      <c r="CJ60" s="243">
        <v>2639</v>
      </c>
      <c r="CK60" s="243">
        <v>2508</v>
      </c>
      <c r="CL60" s="243">
        <v>3224</v>
      </c>
      <c r="CM60" s="243">
        <v>2858</v>
      </c>
      <c r="CN60" s="243">
        <v>2666</v>
      </c>
      <c r="CO60" s="243">
        <v>2599</v>
      </c>
      <c r="CP60" s="243">
        <v>3232</v>
      </c>
      <c r="CQ60" s="243">
        <v>2580</v>
      </c>
      <c r="CR60" s="243">
        <v>2707</v>
      </c>
      <c r="CS60" s="243">
        <v>2840</v>
      </c>
      <c r="CT60" s="243">
        <v>4032</v>
      </c>
      <c r="CU60" s="243">
        <v>3178</v>
      </c>
      <c r="CV60" s="243">
        <v>3364</v>
      </c>
      <c r="CW60" s="243">
        <v>3422</v>
      </c>
      <c r="CX60" s="243">
        <v>4720</v>
      </c>
      <c r="CY60" s="243">
        <v>3462</v>
      </c>
      <c r="CZ60" s="243">
        <v>3554</v>
      </c>
      <c r="DA60" s="243">
        <v>3597</v>
      </c>
      <c r="DB60" s="243"/>
      <c r="DC60" s="243"/>
      <c r="DD60" s="243"/>
      <c r="DE60" s="243"/>
      <c r="DF60" s="243"/>
      <c r="DH60" s="235">
        <v>719</v>
      </c>
      <c r="DI60" s="235">
        <v>834</v>
      </c>
      <c r="DJ60" s="235">
        <v>980</v>
      </c>
      <c r="DK60" s="235">
        <v>1127</v>
      </c>
      <c r="DL60" s="235">
        <v>1182</v>
      </c>
      <c r="DM60" s="235">
        <v>1278</v>
      </c>
      <c r="DN60" s="235">
        <v>1634</v>
      </c>
      <c r="DO60" s="235">
        <v>1905</v>
      </c>
      <c r="DP60" s="235">
        <v>2140</v>
      </c>
      <c r="DQ60" s="235">
        <v>2269</v>
      </c>
      <c r="DR60" s="235">
        <v>2600</v>
      </c>
      <c r="DS60" s="235">
        <v>2926</v>
      </c>
      <c r="DT60" s="235">
        <v>3591</v>
      </c>
      <c r="DU60" s="235">
        <v>3957</v>
      </c>
      <c r="DV60" s="235">
        <v>4684</v>
      </c>
      <c r="DW60" s="235">
        <v>5203</v>
      </c>
      <c r="DX60" s="235">
        <v>6312</v>
      </c>
      <c r="DY60" s="235">
        <f>SUM(AM60:AP60)</f>
        <v>6960</v>
      </c>
      <c r="DZ60" s="235">
        <f>SUM(AQ60:AT60)</f>
        <v>7680</v>
      </c>
      <c r="EA60" s="235">
        <f>SUM(AU60:AX60)</f>
        <v>7577</v>
      </c>
      <c r="EB60" s="235">
        <f>SUM(AY60:BB60)</f>
        <v>6986</v>
      </c>
      <c r="EC60" s="235">
        <f>SUM(BC60:BF60)</f>
        <v>6844</v>
      </c>
      <c r="ED60" s="235">
        <f>SUM(BG60:BJ60)</f>
        <v>7548</v>
      </c>
      <c r="EE60" s="235">
        <f>SUM(BK60:BN60)</f>
        <v>7665</v>
      </c>
      <c r="EF60" s="235">
        <f>SUM(BO60:BR60)</f>
        <v>8183</v>
      </c>
      <c r="EG60" s="235">
        <v>3000</v>
      </c>
      <c r="EH60" s="235">
        <v>3000</v>
      </c>
      <c r="EI60" s="235">
        <v>3000</v>
      </c>
      <c r="EJ60" s="235">
        <v>3000</v>
      </c>
      <c r="EK60" s="235">
        <v>3000</v>
      </c>
      <c r="EL60" s="235">
        <v>3000</v>
      </c>
      <c r="EM60" s="235">
        <v>3000</v>
      </c>
      <c r="EN60" s="235">
        <f t="shared" si="267"/>
        <v>14684</v>
      </c>
      <c r="EO60" s="235">
        <v>3000</v>
      </c>
      <c r="EP60" s="235">
        <v>3000</v>
      </c>
      <c r="EQ60" s="235">
        <v>3000</v>
      </c>
      <c r="ER60" s="235">
        <v>3000</v>
      </c>
      <c r="ES60" s="235">
        <v>3000</v>
      </c>
      <c r="ET60" s="235">
        <v>3000</v>
      </c>
      <c r="EU60" s="235">
        <v>3000</v>
      </c>
      <c r="EV60" s="235">
        <v>3000</v>
      </c>
      <c r="EW60" s="235">
        <v>3000</v>
      </c>
    </row>
    <row r="61" spans="1:159" s="275" customFormat="1" ht="12.75" customHeight="1" x14ac:dyDescent="0.2">
      <c r="A61"/>
      <c r="B61" t="s">
        <v>523</v>
      </c>
      <c r="C61" s="235"/>
      <c r="D61" s="235"/>
      <c r="E61" s="235"/>
      <c r="F61" s="235"/>
      <c r="G61" s="235"/>
      <c r="H61" s="235"/>
      <c r="I61" s="235"/>
      <c r="J61" s="235"/>
      <c r="K61" s="235"/>
      <c r="L61" s="235"/>
      <c r="M61" s="235"/>
      <c r="N61" s="235"/>
      <c r="O61" s="235"/>
      <c r="P61" s="235"/>
      <c r="Q61" s="235"/>
      <c r="R61" s="235"/>
      <c r="S61" s="235"/>
      <c r="T61" s="235"/>
      <c r="U61" s="235"/>
      <c r="V61" s="235"/>
      <c r="W61" s="235"/>
      <c r="X61" s="235"/>
      <c r="Y61" s="235"/>
      <c r="Z61" s="235"/>
      <c r="AA61" s="235"/>
      <c r="AB61" s="235"/>
      <c r="AC61" s="235"/>
      <c r="AD61" s="235"/>
      <c r="AE61" s="235"/>
      <c r="AF61" s="243"/>
      <c r="AG61" s="243"/>
      <c r="AH61" s="243"/>
      <c r="AI61" s="243"/>
      <c r="AJ61" s="243"/>
      <c r="AK61" s="243"/>
      <c r="AL61" s="243"/>
      <c r="AM61" s="243"/>
      <c r="AN61" s="243"/>
      <c r="AO61" s="243"/>
      <c r="AP61" s="243"/>
      <c r="AQ61" s="243"/>
      <c r="AR61" s="243"/>
      <c r="AS61" s="243"/>
      <c r="AT61" s="243"/>
      <c r="AU61" s="243"/>
      <c r="AV61" s="243"/>
      <c r="AW61" s="243"/>
      <c r="AX61" s="243"/>
      <c r="AY61" s="243"/>
      <c r="AZ61" s="243"/>
      <c r="BA61" s="243"/>
      <c r="BB61" s="243"/>
      <c r="BC61" s="243"/>
      <c r="BD61" s="243"/>
      <c r="BE61" s="243"/>
      <c r="BF61" s="243"/>
      <c r="BG61" s="243"/>
      <c r="BH61" s="243"/>
      <c r="BI61" s="243"/>
      <c r="BJ61" s="243"/>
      <c r="BK61" s="243"/>
      <c r="BL61" s="243"/>
      <c r="BM61" s="243"/>
      <c r="BN61" s="243"/>
      <c r="BO61" s="243"/>
      <c r="BP61" s="243"/>
      <c r="BQ61" s="243"/>
      <c r="BR61" s="243"/>
      <c r="BS61" s="243"/>
      <c r="BT61" s="243"/>
      <c r="BU61" s="243"/>
      <c r="BV61" s="243"/>
      <c r="BW61" s="243"/>
      <c r="BX61" s="243"/>
      <c r="BY61" s="243"/>
      <c r="BZ61" s="243"/>
      <c r="CA61" s="243"/>
      <c r="CB61" s="243"/>
      <c r="CC61" s="243"/>
      <c r="CD61" s="243"/>
      <c r="CE61" s="243"/>
      <c r="CF61" s="243"/>
      <c r="CG61" s="243"/>
      <c r="CH61" s="243"/>
      <c r="CI61" s="243">
        <f>+CI59+CI60</f>
        <v>7667</v>
      </c>
      <c r="CJ61" s="243">
        <f>+CJ59+CJ60</f>
        <v>8382</v>
      </c>
      <c r="CK61" s="243">
        <f>+CK60+CK59</f>
        <v>6966</v>
      </c>
      <c r="CL61" s="243">
        <f>+CL60+CL59</f>
        <v>8142</v>
      </c>
      <c r="CM61" s="243">
        <f t="shared" ref="CM61" si="285">+CM60+CM59</f>
        <v>8077</v>
      </c>
      <c r="CN61" s="243">
        <f>+CN60+CN59</f>
        <v>8212</v>
      </c>
      <c r="CO61" s="243">
        <f>+CO60+CO59</f>
        <v>6835</v>
      </c>
      <c r="CP61" s="243">
        <f>+CP60+CP59</f>
        <v>8129</v>
      </c>
      <c r="CQ61" s="243">
        <f t="shared" ref="CQ61" si="286">+CQ60+CQ59</f>
        <v>7783</v>
      </c>
      <c r="CR61" s="243">
        <f t="shared" ref="CR61" si="287">+CR60+CR59</f>
        <v>7700</v>
      </c>
      <c r="CS61" s="243">
        <f t="shared" ref="CS61" si="288">+CS60+CS59</f>
        <v>8271</v>
      </c>
      <c r="CT61" s="243">
        <f t="shared" ref="CT61" si="289">+CT60+CT59</f>
        <v>10489</v>
      </c>
      <c r="CU61" s="243">
        <f t="shared" ref="CU61" si="290">+CU60+CU59</f>
        <v>8610</v>
      </c>
      <c r="CV61" s="243">
        <f t="shared" ref="CV61" si="291">+CV60+CV59</f>
        <v>9431</v>
      </c>
      <c r="CW61" s="243">
        <f t="shared" ref="CW61" si="292">+CW60+CW59</f>
        <v>9422</v>
      </c>
      <c r="CX61" s="243">
        <f t="shared" ref="CX61" si="293">+CX60+CX59</f>
        <v>11874</v>
      </c>
      <c r="CY61" s="243">
        <f>+CY60+CY59</f>
        <v>9400</v>
      </c>
      <c r="CZ61" s="243">
        <f>+CZ60+CZ59</f>
        <v>9774</v>
      </c>
      <c r="DA61" s="243">
        <f t="shared" ref="DA61:DF61" si="294">+DA60+DA59</f>
        <v>9545</v>
      </c>
      <c r="DB61" s="243">
        <f t="shared" si="294"/>
        <v>5874.7199999999993</v>
      </c>
      <c r="DC61" s="243">
        <f t="shared" si="294"/>
        <v>5859.9624999999996</v>
      </c>
      <c r="DD61" s="243">
        <f t="shared" si="294"/>
        <v>6012.3725000000004</v>
      </c>
      <c r="DE61" s="243">
        <f t="shared" si="294"/>
        <v>5994.69</v>
      </c>
      <c r="DF61" s="243">
        <f t="shared" si="294"/>
        <v>6059.0781500000003</v>
      </c>
      <c r="DH61" s="235"/>
      <c r="DI61" s="235"/>
      <c r="DJ61" s="235"/>
      <c r="DK61" s="235"/>
      <c r="DL61" s="235"/>
      <c r="DM61" s="235"/>
      <c r="DN61" s="235"/>
      <c r="DO61" s="235"/>
      <c r="DP61" s="235"/>
      <c r="DQ61" s="235"/>
      <c r="DR61" s="235"/>
      <c r="DS61" s="235"/>
      <c r="DT61" s="235"/>
      <c r="DU61" s="235"/>
      <c r="DV61" s="235"/>
      <c r="DW61" s="235"/>
      <c r="DX61" s="235"/>
      <c r="DY61" s="235"/>
      <c r="DZ61" s="235"/>
      <c r="EA61" s="235"/>
      <c r="EB61" s="235"/>
      <c r="EC61" s="235"/>
      <c r="ED61" s="235"/>
      <c r="EE61" s="235"/>
      <c r="EF61" s="235"/>
      <c r="EG61" s="235"/>
      <c r="EH61" s="235"/>
      <c r="EI61" s="235"/>
      <c r="EJ61" s="235"/>
      <c r="EK61" s="235">
        <f t="shared" ref="EK61:EO61" si="295">+EK60+EK59</f>
        <v>3000</v>
      </c>
      <c r="EL61" s="235">
        <f t="shared" si="295"/>
        <v>3000</v>
      </c>
      <c r="EM61" s="235">
        <f t="shared" si="295"/>
        <v>3000</v>
      </c>
      <c r="EN61" s="235">
        <f t="shared" si="295"/>
        <v>39337</v>
      </c>
      <c r="EO61" s="235">
        <f t="shared" si="295"/>
        <v>27631.588800000001</v>
      </c>
      <c r="EP61" s="235">
        <f t="shared" ref="EP61" si="296">+EP60+EP59</f>
        <v>27450.559406</v>
      </c>
      <c r="EQ61" s="235">
        <f t="shared" ref="EQ61" si="297">+EQ60+EQ59</f>
        <v>27563.791780970005</v>
      </c>
      <c r="ER61" s="235">
        <f t="shared" ref="ER61" si="298">+ER60+ER59</f>
        <v>27397.432684221352</v>
      </c>
      <c r="ES61" s="235">
        <f t="shared" ref="ES61" si="299">+ES60+ES59</f>
        <v>27301.067463422707</v>
      </c>
      <c r="ET61" s="235">
        <f t="shared" ref="ET61" si="300">+ET60+ET59</f>
        <v>27321.879847263946</v>
      </c>
      <c r="EU61" s="235">
        <f t="shared" ref="EU61" si="301">+EU60+EU59</f>
        <v>27399.512768615543</v>
      </c>
      <c r="EV61" s="235">
        <f t="shared" ref="EV61" si="302">+EV60+EV59</f>
        <v>27078.503702851089</v>
      </c>
      <c r="EW61" s="235">
        <f t="shared" ref="EW61" si="303">+EW60+EW59</f>
        <v>27019.195968869535</v>
      </c>
    </row>
    <row r="62" spans="1:159" s="275" customFormat="1" ht="12.75" customHeight="1" x14ac:dyDescent="0.2">
      <c r="A62"/>
      <c r="B62" t="s">
        <v>342</v>
      </c>
      <c r="C62" s="235">
        <f t="shared" ref="C62:AH62" si="304">C58-C59-C60</f>
        <v>1327</v>
      </c>
      <c r="D62" s="235">
        <f t="shared" si="304"/>
        <v>1287</v>
      </c>
      <c r="E62" s="235">
        <f t="shared" si="304"/>
        <v>1171</v>
      </c>
      <c r="F62" s="235">
        <f t="shared" si="304"/>
        <v>837</v>
      </c>
      <c r="G62" s="235">
        <f t="shared" si="304"/>
        <v>1412</v>
      </c>
      <c r="H62" s="235">
        <f t="shared" si="304"/>
        <v>1334</v>
      </c>
      <c r="I62" s="235">
        <f t="shared" si="304"/>
        <v>1304</v>
      </c>
      <c r="J62" s="235">
        <f t="shared" si="304"/>
        <v>995</v>
      </c>
      <c r="K62" s="235">
        <f t="shared" si="304"/>
        <v>1661</v>
      </c>
      <c r="L62" s="235">
        <f t="shared" si="304"/>
        <v>1645</v>
      </c>
      <c r="M62" s="235">
        <f t="shared" si="304"/>
        <v>1542</v>
      </c>
      <c r="N62" s="235">
        <f t="shared" si="304"/>
        <v>1023</v>
      </c>
      <c r="O62" s="235">
        <f t="shared" si="304"/>
        <v>1832</v>
      </c>
      <c r="P62" s="235">
        <f t="shared" si="304"/>
        <v>1840</v>
      </c>
      <c r="Q62" s="235">
        <f t="shared" si="304"/>
        <v>1658</v>
      </c>
      <c r="R62" s="235">
        <f t="shared" si="304"/>
        <v>1147</v>
      </c>
      <c r="S62" s="235">
        <f t="shared" si="304"/>
        <v>2090</v>
      </c>
      <c r="T62" s="235">
        <f t="shared" si="304"/>
        <v>2176</v>
      </c>
      <c r="U62" s="235">
        <f t="shared" si="304"/>
        <v>2060</v>
      </c>
      <c r="V62" s="235">
        <f t="shared" si="304"/>
        <v>1530</v>
      </c>
      <c r="W62" s="235">
        <f t="shared" si="304"/>
        <v>2612</v>
      </c>
      <c r="X62" s="235">
        <f t="shared" si="304"/>
        <v>2542</v>
      </c>
      <c r="Y62" s="235">
        <f t="shared" si="304"/>
        <v>2510</v>
      </c>
      <c r="Z62" s="235">
        <f t="shared" si="304"/>
        <v>2014</v>
      </c>
      <c r="AA62" s="235">
        <f t="shared" si="304"/>
        <v>2911</v>
      </c>
      <c r="AB62" s="235">
        <f t="shared" si="304"/>
        <v>2888</v>
      </c>
      <c r="AC62" s="235">
        <f t="shared" si="304"/>
        <v>2869</v>
      </c>
      <c r="AD62" s="235">
        <f t="shared" si="304"/>
        <v>2338</v>
      </c>
      <c r="AE62" s="235">
        <f t="shared" si="304"/>
        <v>3882</v>
      </c>
      <c r="AF62" s="243">
        <f t="shared" si="304"/>
        <v>3837</v>
      </c>
      <c r="AG62" s="243">
        <f t="shared" si="304"/>
        <v>3314</v>
      </c>
      <c r="AH62" s="243">
        <f t="shared" si="304"/>
        <v>2664</v>
      </c>
      <c r="AI62" s="243">
        <f t="shared" ref="AI62:BA62" si="305">AI58-AI59-AI60</f>
        <v>3825</v>
      </c>
      <c r="AJ62" s="243">
        <f t="shared" si="305"/>
        <v>3559</v>
      </c>
      <c r="AK62" s="243">
        <f t="shared" si="305"/>
        <v>3256</v>
      </c>
      <c r="AL62" s="243">
        <f t="shared" si="305"/>
        <v>2313</v>
      </c>
      <c r="AM62" s="243">
        <f t="shared" si="305"/>
        <v>3753</v>
      </c>
      <c r="AN62" s="243">
        <f t="shared" si="305"/>
        <v>3561</v>
      </c>
      <c r="AO62" s="243">
        <f t="shared" si="305"/>
        <v>3627</v>
      </c>
      <c r="AP62" s="243">
        <f t="shared" si="305"/>
        <v>2933</v>
      </c>
      <c r="AQ62" s="243">
        <f>AQ58-AQ59-AQ60</f>
        <v>4248</v>
      </c>
      <c r="AR62" s="243">
        <f t="shared" si="305"/>
        <v>3889</v>
      </c>
      <c r="AS62" s="243">
        <f t="shared" si="305"/>
        <v>4000</v>
      </c>
      <c r="AT62" s="243">
        <f t="shared" si="305"/>
        <v>3174</v>
      </c>
      <c r="AU62" s="243">
        <f t="shared" si="305"/>
        <v>4745</v>
      </c>
      <c r="AV62" s="243">
        <f t="shared" si="305"/>
        <v>4296</v>
      </c>
      <c r="AW62" s="243">
        <f t="shared" si="305"/>
        <v>4091</v>
      </c>
      <c r="AX62" s="243">
        <f t="shared" si="305"/>
        <v>3037</v>
      </c>
      <c r="AY62" s="243">
        <f t="shared" si="305"/>
        <v>4649</v>
      </c>
      <c r="AZ62" s="243">
        <f t="shared" si="305"/>
        <v>4354</v>
      </c>
      <c r="BA62" s="243">
        <f t="shared" si="305"/>
        <v>4263</v>
      </c>
      <c r="BB62" s="243">
        <f t="shared" ref="BB62:BH62" si="306">BB58-BB59-BB60</f>
        <v>3510</v>
      </c>
      <c r="BC62" s="243">
        <f t="shared" si="306"/>
        <v>4767</v>
      </c>
      <c r="BD62" s="243">
        <f t="shared" si="306"/>
        <v>4355</v>
      </c>
      <c r="BE62" s="243">
        <f t="shared" si="306"/>
        <v>4022</v>
      </c>
      <c r="BF62" s="243">
        <f t="shared" si="306"/>
        <v>3442</v>
      </c>
      <c r="BG62" s="243">
        <f t="shared" si="306"/>
        <v>5394</v>
      </c>
      <c r="BH62" s="243">
        <f t="shared" si="306"/>
        <v>4328</v>
      </c>
      <c r="BI62" s="243">
        <f>BI58-BI59-BI60</f>
        <v>3920</v>
      </c>
      <c r="BJ62" s="243">
        <f t="shared" ref="BJ62:BN62" si="307">BJ58-BJ59-BJ60</f>
        <v>5870</v>
      </c>
      <c r="BK62" s="243">
        <f>BK58-BK59-BK60</f>
        <v>4564</v>
      </c>
      <c r="BL62" s="243">
        <f t="shared" si="307"/>
        <v>4752</v>
      </c>
      <c r="BM62" s="243">
        <f>BM58-BM59-BM60</f>
        <v>4443</v>
      </c>
      <c r="BN62" s="243">
        <f t="shared" si="307"/>
        <v>3796</v>
      </c>
      <c r="BO62" s="243">
        <f t="shared" ref="BO62:BQ62" si="308">BO58-BO59-BO60</f>
        <v>4987</v>
      </c>
      <c r="BP62" s="243">
        <f t="shared" si="308"/>
        <v>5497</v>
      </c>
      <c r="BQ62" s="243">
        <f t="shared" si="308"/>
        <v>4939</v>
      </c>
      <c r="BR62" s="243">
        <f>BR58-BR59-BR60</f>
        <v>4168</v>
      </c>
      <c r="BS62" s="243">
        <f>BS58-BS59-BS60</f>
        <v>5646</v>
      </c>
      <c r="BT62" s="243">
        <f t="shared" ref="BT62:BZ62" si="309">BT58-BT59-BT60</f>
        <v>5970</v>
      </c>
      <c r="BU62" s="243">
        <f t="shared" si="309"/>
        <v>5505.0019999999995</v>
      </c>
      <c r="BV62" s="243">
        <f t="shared" si="309"/>
        <v>5179.389000000001</v>
      </c>
      <c r="BW62" s="243">
        <f t="shared" si="309"/>
        <v>6194.4169999999995</v>
      </c>
      <c r="BX62" s="243">
        <f t="shared" si="309"/>
        <v>6368.5029999999997</v>
      </c>
      <c r="BY62" s="243">
        <f t="shared" si="309"/>
        <v>6029.2994200000003</v>
      </c>
      <c r="BZ62" s="243">
        <f t="shared" si="309"/>
        <v>5696.1583500000015</v>
      </c>
      <c r="CA62" s="243"/>
      <c r="CB62" s="243"/>
      <c r="CC62" s="243"/>
      <c r="CD62" s="243"/>
      <c r="CE62" s="243"/>
      <c r="CF62" s="243"/>
      <c r="CG62" s="243"/>
      <c r="CH62" s="243"/>
      <c r="CI62" s="243">
        <f>+CI58-CI61</f>
        <v>5728</v>
      </c>
      <c r="CJ62" s="243">
        <f>+CJ58-CJ61</f>
        <v>5521</v>
      </c>
      <c r="CK62" s="243">
        <f>+CK58-CK61</f>
        <v>6793</v>
      </c>
      <c r="CL62" s="243">
        <f>+CL58-CL61</f>
        <v>5291</v>
      </c>
      <c r="CM62" s="243">
        <f t="shared" ref="CM62" si="310">+CM58-CM61</f>
        <v>5329</v>
      </c>
      <c r="CN62" s="243">
        <f>+CN58-CN61</f>
        <v>5412</v>
      </c>
      <c r="CO62" s="243">
        <f>+CO58-CO61</f>
        <v>7026</v>
      </c>
      <c r="CP62" s="243">
        <f>+CP58-CP61</f>
        <v>5481</v>
      </c>
      <c r="CQ62" s="243">
        <f t="shared" ref="CQ62" si="311">+CQ58-CQ61</f>
        <v>5845</v>
      </c>
      <c r="CR62" s="243">
        <f t="shared" ref="CR62" si="312">+CR58-CR61</f>
        <v>4059</v>
      </c>
      <c r="CS62" s="243">
        <f t="shared" ref="CS62" si="313">+CS58-CS61</f>
        <v>5839</v>
      </c>
      <c r="CT62" s="243">
        <f t="shared" ref="CT62" si="314">+CT58-CT61</f>
        <v>4173</v>
      </c>
      <c r="CU62" s="243">
        <f t="shared" ref="CU62" si="315">+CU58-CU61</f>
        <v>6648</v>
      </c>
      <c r="CV62" s="243">
        <f t="shared" ref="CV62" si="316">+CV58-CV61</f>
        <v>7665</v>
      </c>
      <c r="CW62" s="243">
        <f t="shared" ref="CW62" si="317">+CW58-CW61</f>
        <v>6663</v>
      </c>
      <c r="CX62" s="243">
        <f t="shared" ref="CX62" si="318">+CX58-CX61</f>
        <v>4978</v>
      </c>
      <c r="CY62" s="243">
        <f>+CY58-CY61</f>
        <v>6428</v>
      </c>
      <c r="CZ62" s="243">
        <f>+CZ58-CZ61</f>
        <v>7646</v>
      </c>
      <c r="DA62" s="243">
        <f t="shared" ref="DA62:DF62" si="319">+DA58-DA61</f>
        <v>6440</v>
      </c>
      <c r="DB62" s="243">
        <f t="shared" si="319"/>
        <v>9987.0239999999994</v>
      </c>
      <c r="DC62" s="243">
        <f t="shared" si="319"/>
        <v>9961.9362500000007</v>
      </c>
      <c r="DD62" s="243">
        <f t="shared" si="319"/>
        <v>10221.03325</v>
      </c>
      <c r="DE62" s="243">
        <f t="shared" si="319"/>
        <v>10190.973000000002</v>
      </c>
      <c r="DF62" s="243">
        <f t="shared" si="319"/>
        <v>10300.432855000003</v>
      </c>
      <c r="DH62" s="235">
        <f t="shared" ref="DH62:EI62" si="320">DH58-DH59-DH60</f>
        <v>1661</v>
      </c>
      <c r="DI62" s="235">
        <f t="shared" si="320"/>
        <v>1992</v>
      </c>
      <c r="DJ62" s="235">
        <f t="shared" si="320"/>
        <v>2164</v>
      </c>
      <c r="DK62" s="235">
        <f t="shared" si="320"/>
        <v>2277</v>
      </c>
      <c r="DL62" s="235">
        <f t="shared" si="320"/>
        <v>2394</v>
      </c>
      <c r="DM62" s="235">
        <f t="shared" si="320"/>
        <v>2807</v>
      </c>
      <c r="DN62" s="235">
        <f t="shared" si="320"/>
        <v>3511</v>
      </c>
      <c r="DO62" s="235">
        <f t="shared" si="320"/>
        <v>4303</v>
      </c>
      <c r="DP62" s="235">
        <f t="shared" si="320"/>
        <v>4622</v>
      </c>
      <c r="DQ62" s="235">
        <f t="shared" si="320"/>
        <v>5045</v>
      </c>
      <c r="DR62" s="235">
        <f t="shared" si="320"/>
        <v>5926</v>
      </c>
      <c r="DS62" s="235">
        <f t="shared" si="320"/>
        <v>6477</v>
      </c>
      <c r="DT62" s="235">
        <f t="shared" si="320"/>
        <v>7885</v>
      </c>
      <c r="DU62" s="235">
        <f t="shared" si="320"/>
        <v>10291.900000000001</v>
      </c>
      <c r="DV62" s="235">
        <f t="shared" si="320"/>
        <v>11374.400000000001</v>
      </c>
      <c r="DW62" s="235">
        <f t="shared" si="320"/>
        <v>13632</v>
      </c>
      <c r="DX62" s="235">
        <f t="shared" si="320"/>
        <v>12355</v>
      </c>
      <c r="DY62" s="235">
        <f t="shared" si="320"/>
        <v>13874</v>
      </c>
      <c r="DZ62" s="235">
        <f>DZ58-DZ59-DZ60</f>
        <v>15213</v>
      </c>
      <c r="EA62" s="235">
        <f>EA58-EA59-EA60</f>
        <v>16169</v>
      </c>
      <c r="EB62" s="235">
        <f>EB58-EB59-EB60</f>
        <v>16776</v>
      </c>
      <c r="EC62" s="235">
        <f>EC58-EC59-EC60</f>
        <v>16395</v>
      </c>
      <c r="ED62" s="235">
        <f t="shared" si="320"/>
        <v>19512</v>
      </c>
      <c r="EE62" s="235">
        <f t="shared" si="320"/>
        <v>17555</v>
      </c>
      <c r="EF62" s="235">
        <f t="shared" si="320"/>
        <v>19332</v>
      </c>
      <c r="EG62" s="235">
        <f t="shared" si="320"/>
        <v>24449.50859999999</v>
      </c>
      <c r="EH62" s="235">
        <f t="shared" si="320"/>
        <v>50133.349794749993</v>
      </c>
      <c r="EI62" s="235">
        <f t="shared" si="320"/>
        <v>47626.819132721241</v>
      </c>
      <c r="EJ62" s="235">
        <f t="shared" ref="EJ62:EM62" si="321">EJ58-EJ59-EJ60</f>
        <v>45636.846578648649</v>
      </c>
      <c r="EK62" s="235">
        <f t="shared" si="321"/>
        <v>45640.89733185307</v>
      </c>
      <c r="EL62" s="235">
        <f t="shared" si="321"/>
        <v>45944.70763080522</v>
      </c>
      <c r="EM62" s="235">
        <f t="shared" si="321"/>
        <v>53984.34</v>
      </c>
      <c r="EN62" s="235">
        <f>+EN58-EN61</f>
        <v>25954</v>
      </c>
      <c r="EO62" s="235">
        <f t="shared" ref="EO62:EW62" si="322">+EO58-EO61</f>
        <v>37736.858399999997</v>
      </c>
      <c r="EP62" s="235">
        <f t="shared" si="322"/>
        <v>37437.463632999999</v>
      </c>
      <c r="EQ62" s="235">
        <f t="shared" si="322"/>
        <v>37624.732560834993</v>
      </c>
      <c r="ER62" s="235">
        <f t="shared" si="322"/>
        <v>37349.600208519929</v>
      </c>
      <c r="ES62" s="235">
        <f t="shared" si="322"/>
        <v>37190.226958737549</v>
      </c>
      <c r="ET62" s="235">
        <f t="shared" si="322"/>
        <v>37224.647439705754</v>
      </c>
      <c r="EU62" s="235">
        <f t="shared" si="322"/>
        <v>37353.040348094932</v>
      </c>
      <c r="EV62" s="235">
        <f t="shared" si="322"/>
        <v>36822.140739330629</v>
      </c>
      <c r="EW62" s="235">
        <f t="shared" si="322"/>
        <v>36724.054871591921</v>
      </c>
    </row>
    <row r="63" spans="1:159" s="275" customFormat="1" ht="12.75" customHeight="1" x14ac:dyDescent="0.2">
      <c r="A63"/>
      <c r="B63" t="s">
        <v>343</v>
      </c>
      <c r="C63" s="235">
        <v>36</v>
      </c>
      <c r="D63" s="235">
        <v>57</v>
      </c>
      <c r="E63" s="235">
        <v>58</v>
      </c>
      <c r="F63" s="235">
        <v>36</v>
      </c>
      <c r="G63" s="235">
        <v>61</v>
      </c>
      <c r="H63" s="235">
        <v>64</v>
      </c>
      <c r="I63" s="235">
        <v>67</v>
      </c>
      <c r="J63" s="235">
        <v>40</v>
      </c>
      <c r="K63" s="235">
        <v>52</v>
      </c>
      <c r="L63" s="235">
        <v>51</v>
      </c>
      <c r="M63" s="235">
        <v>61</v>
      </c>
      <c r="N63" s="235">
        <v>32</v>
      </c>
      <c r="O63" s="235">
        <v>77</v>
      </c>
      <c r="P63" s="235">
        <v>81</v>
      </c>
      <c r="Q63" s="235">
        <v>106</v>
      </c>
      <c r="R63" s="235">
        <v>84</v>
      </c>
      <c r="S63" s="235">
        <v>105</v>
      </c>
      <c r="T63" s="235">
        <v>120</v>
      </c>
      <c r="U63" s="235">
        <v>106</v>
      </c>
      <c r="V63" s="235">
        <v>74</v>
      </c>
      <c r="W63" s="235">
        <v>76</v>
      </c>
      <c r="X63" s="235">
        <v>189</v>
      </c>
      <c r="Y63" s="235">
        <v>51</v>
      </c>
      <c r="Z63" s="235">
        <v>12</v>
      </c>
      <c r="AA63" s="235">
        <v>38</v>
      </c>
      <c r="AB63" s="235">
        <v>43</v>
      </c>
      <c r="AC63" s="235">
        <v>63</v>
      </c>
      <c r="AD63" s="235">
        <v>-11</v>
      </c>
      <c r="AE63" s="235">
        <v>-6</v>
      </c>
      <c r="AF63" s="243">
        <v>-17</v>
      </c>
      <c r="AG63" s="243">
        <v>19</v>
      </c>
      <c r="AH63" s="243">
        <v>12</v>
      </c>
      <c r="AI63" s="243">
        <v>69</v>
      </c>
      <c r="AJ63" s="243">
        <v>94</v>
      </c>
      <c r="AK63" s="243">
        <v>101</v>
      </c>
      <c r="AL63" s="243">
        <v>169</v>
      </c>
      <c r="AM63" s="243">
        <v>181</v>
      </c>
      <c r="AN63" s="243">
        <v>196</v>
      </c>
      <c r="AO63" s="243">
        <v>194</v>
      </c>
      <c r="AP63" s="243">
        <v>195</v>
      </c>
      <c r="AQ63" s="243">
        <v>33</v>
      </c>
      <c r="AR63" s="243">
        <f>36+117</f>
        <v>153</v>
      </c>
      <c r="AS63" s="243">
        <v>54</v>
      </c>
      <c r="AT63" s="243">
        <v>35</v>
      </c>
      <c r="AU63" s="243">
        <v>-16</v>
      </c>
      <c r="AV63" s="243">
        <v>135</v>
      </c>
      <c r="AW63" s="243">
        <v>224</v>
      </c>
      <c r="AX63" s="243">
        <v>-17</v>
      </c>
      <c r="AY63" s="243">
        <v>-81</v>
      </c>
      <c r="AZ63" s="243">
        <v>-85</v>
      </c>
      <c r="BA63" s="243">
        <v>-114</v>
      </c>
      <c r="BB63" s="243">
        <v>-81</v>
      </c>
      <c r="BC63" s="243">
        <v>-81</v>
      </c>
      <c r="BD63" s="243">
        <v>-58</v>
      </c>
      <c r="BE63" s="243">
        <v>-95</v>
      </c>
      <c r="BF63" s="243">
        <v>-114</v>
      </c>
      <c r="BG63" s="243">
        <f>13-104</f>
        <v>-91</v>
      </c>
      <c r="BH63" s="243">
        <f>-111-206</f>
        <v>-317</v>
      </c>
      <c r="BI63" s="243">
        <f>308-117</f>
        <v>191</v>
      </c>
      <c r="BJ63" s="243">
        <f>-148-2858+1134+1522+412+277+14</f>
        <v>353</v>
      </c>
      <c r="BK63" s="243">
        <f>-130+611</f>
        <v>481</v>
      </c>
      <c r="BL63" s="243">
        <v>-129</v>
      </c>
      <c r="BM63" s="243">
        <f>-120+90</f>
        <v>-30</v>
      </c>
      <c r="BN63" s="243"/>
      <c r="BO63" s="243"/>
      <c r="BP63" s="243"/>
      <c r="BQ63" s="243"/>
      <c r="BR63" s="243"/>
      <c r="BS63" s="243"/>
      <c r="BT63" s="243"/>
      <c r="BU63" s="243"/>
      <c r="BV63" s="243"/>
      <c r="BW63" s="243"/>
      <c r="BX63" s="243"/>
      <c r="BY63" s="243"/>
      <c r="BZ63" s="243"/>
      <c r="CA63" s="243"/>
      <c r="CB63" s="243"/>
      <c r="CC63" s="243"/>
      <c r="CD63" s="243"/>
      <c r="CE63" s="243"/>
      <c r="CF63" s="243"/>
      <c r="CG63" s="243"/>
      <c r="CH63" s="243"/>
      <c r="CI63" s="243">
        <f>-145-60</f>
        <v>-205</v>
      </c>
      <c r="CJ63" s="243">
        <v>-127</v>
      </c>
      <c r="CK63" s="243">
        <f>-68-3-184</f>
        <v>-255</v>
      </c>
      <c r="CL63" s="243">
        <f>-54-978+1288</f>
        <v>256</v>
      </c>
      <c r="CM63" s="243">
        <f>-3+22</f>
        <v>19</v>
      </c>
      <c r="CN63" s="243">
        <v>5</v>
      </c>
      <c r="CO63" s="243">
        <f>41-214</f>
        <v>-173</v>
      </c>
      <c r="CP63" s="243">
        <f>-4-16</f>
        <v>-20</v>
      </c>
      <c r="CQ63" s="243">
        <v>-42</v>
      </c>
      <c r="CR63" s="243">
        <f>-26-24</f>
        <v>-50</v>
      </c>
      <c r="CS63" s="243">
        <v>-32</v>
      </c>
      <c r="CT63" s="243">
        <v>-74</v>
      </c>
      <c r="CU63" s="243">
        <f>-48+882</f>
        <v>834</v>
      </c>
      <c r="CV63" s="243">
        <f>-28+268</f>
        <v>240</v>
      </c>
      <c r="CW63" s="243">
        <v>-7</v>
      </c>
      <c r="CX63" s="243">
        <f>-47-9</f>
        <v>-56</v>
      </c>
      <c r="CY63" s="243">
        <f>12+102</f>
        <v>114</v>
      </c>
      <c r="CZ63" s="243">
        <f>26+499</f>
        <v>525</v>
      </c>
      <c r="DA63" s="243">
        <v>0</v>
      </c>
      <c r="DB63" s="243">
        <v>0</v>
      </c>
      <c r="DC63" s="243">
        <v>0</v>
      </c>
      <c r="DD63" s="243">
        <v>0</v>
      </c>
      <c r="DE63" s="243">
        <v>0</v>
      </c>
      <c r="DF63" s="243">
        <v>0</v>
      </c>
      <c r="DH63" s="235">
        <f>-87+141+93</f>
        <v>147</v>
      </c>
      <c r="DI63" s="235">
        <f>-98+201+162</f>
        <v>265</v>
      </c>
      <c r="DJ63" s="235">
        <f>-88+129+85</f>
        <v>126</v>
      </c>
      <c r="DK63" s="235">
        <f>-93+124+39</f>
        <v>70</v>
      </c>
      <c r="DL63" s="235">
        <f>-80+126+16</f>
        <v>62</v>
      </c>
      <c r="DM63" s="235">
        <f>-60+142+44</f>
        <v>126</v>
      </c>
      <c r="DN63" s="235">
        <v>115</v>
      </c>
      <c r="DO63" s="235">
        <v>139</v>
      </c>
      <c r="DP63" s="235">
        <v>203</v>
      </c>
      <c r="DQ63" s="235">
        <v>262</v>
      </c>
      <c r="DR63" s="235">
        <v>246</v>
      </c>
      <c r="DS63" s="235">
        <v>379</v>
      </c>
      <c r="DT63" s="235">
        <v>456</v>
      </c>
      <c r="DU63" s="235">
        <v>256</v>
      </c>
      <c r="DV63" s="235">
        <v>177</v>
      </c>
      <c r="DW63" s="235">
        <v>195</v>
      </c>
      <c r="DX63" s="235">
        <v>487</v>
      </c>
      <c r="DY63" s="235">
        <v>766</v>
      </c>
      <c r="DZ63" s="235">
        <f>SUM(AQ63:AT63)</f>
        <v>275</v>
      </c>
      <c r="EA63" s="235">
        <f>SUM(AU63:AX63)</f>
        <v>326</v>
      </c>
      <c r="EB63" s="235">
        <f>EA139*0.05</f>
        <v>2.5</v>
      </c>
      <c r="EC63" s="235">
        <f>SUM(BC63:BF63)</f>
        <v>-348</v>
      </c>
      <c r="ED63" s="235">
        <f>SUM(BG63:BJ63)</f>
        <v>136</v>
      </c>
      <c r="EE63" s="235"/>
      <c r="EF63" s="235"/>
      <c r="EG63" s="235">
        <f>EF139*$FA$69</f>
        <v>389.677775</v>
      </c>
      <c r="EH63" s="235">
        <f>EG139*$FA$69</f>
        <v>490.44512535327885</v>
      </c>
      <c r="EI63" s="235">
        <f>EH139*$FA$69</f>
        <v>743.56409995379522</v>
      </c>
      <c r="EJ63" s="235">
        <f t="shared" ref="EJ63" si="323">EI139*$FA$69</f>
        <v>985.41601611717044</v>
      </c>
      <c r="EK63" s="235">
        <f t="shared" ref="EK63" si="324">EJ139*$FA$69</f>
        <v>1160.2495008475423</v>
      </c>
      <c r="EL63" s="235">
        <f t="shared" ref="EL63" si="325">EK139*$FA$69</f>
        <v>1335.7538014701695</v>
      </c>
      <c r="EM63" s="235">
        <f t="shared" ref="EM63" si="326">EL139*$FA$69</f>
        <v>1513.0555318412023</v>
      </c>
      <c r="EN63" s="235">
        <f t="shared" ref="EN63" si="327">SUM(CU63:CX63)</f>
        <v>1011</v>
      </c>
      <c r="EO63" s="235">
        <f t="shared" ref="EO63" si="328">EN139*$FA$69</f>
        <v>1842.6707650856065</v>
      </c>
      <c r="EP63" s="235">
        <f t="shared" ref="EP63" si="329">EO139*$FA$69</f>
        <v>1991.0939994546777</v>
      </c>
      <c r="EQ63" s="235">
        <f t="shared" ref="EQ63" si="330">EP139*$FA$69</f>
        <v>2138.9510905763827</v>
      </c>
      <c r="ER63" s="235">
        <f>EQ139*$FA$69</f>
        <v>2288.0649042691753</v>
      </c>
      <c r="ES63" s="235">
        <f t="shared" ref="ES63" si="331">ER139*$FA$69</f>
        <v>0</v>
      </c>
      <c r="ET63" s="235">
        <f t="shared" ref="ET63" si="332">ES139*$FA$69</f>
        <v>0</v>
      </c>
      <c r="EU63" s="235">
        <f t="shared" ref="EU63" si="333">ET139*$FA$69</f>
        <v>0</v>
      </c>
      <c r="EV63" s="235">
        <f t="shared" ref="EV63" si="334">EU139*$FA$69</f>
        <v>0</v>
      </c>
      <c r="EW63" s="235">
        <f t="shared" ref="EW63" si="335">EV139*$FA$69</f>
        <v>0</v>
      </c>
    </row>
    <row r="64" spans="1:159" s="275" customFormat="1" ht="12.75" customHeight="1" x14ac:dyDescent="0.2">
      <c r="A64"/>
      <c r="B64" t="s">
        <v>344</v>
      </c>
      <c r="C64" s="235">
        <f>33+28</f>
        <v>61</v>
      </c>
      <c r="D64" s="235">
        <f>35+15</f>
        <v>50</v>
      </c>
      <c r="E64" s="235">
        <f>36-4</f>
        <v>32</v>
      </c>
      <c r="F64" s="235">
        <v>90</v>
      </c>
      <c r="G64" s="235">
        <f>28+11</f>
        <v>39</v>
      </c>
      <c r="H64" s="235">
        <f>26+1</f>
        <v>27</v>
      </c>
      <c r="I64" s="235">
        <f>26+28</f>
        <v>54</v>
      </c>
      <c r="J64" s="235">
        <v>111</v>
      </c>
      <c r="K64" s="235">
        <f>49+59</f>
        <v>108</v>
      </c>
      <c r="L64" s="235">
        <f>48+34</f>
        <v>82</v>
      </c>
      <c r="M64" s="235">
        <f>42+50</f>
        <v>92</v>
      </c>
      <c r="N64" s="235">
        <v>84</v>
      </c>
      <c r="O64" s="235">
        <f>46-29</f>
        <v>17</v>
      </c>
      <c r="P64" s="235">
        <f>38+17</f>
        <v>55</v>
      </c>
      <c r="Q64" s="235">
        <f>31-13</f>
        <v>18</v>
      </c>
      <c r="R64" s="235">
        <v>59</v>
      </c>
      <c r="S64" s="235">
        <f>19+36</f>
        <v>55</v>
      </c>
      <c r="T64" s="235">
        <f>50+117</f>
        <v>167</v>
      </c>
      <c r="U64" s="235">
        <f>39+19</f>
        <v>58</v>
      </c>
      <c r="V64" s="235">
        <v>55</v>
      </c>
      <c r="W64" s="235">
        <f>34+33</f>
        <v>67</v>
      </c>
      <c r="X64" s="235">
        <f>44-45</f>
        <v>-1</v>
      </c>
      <c r="Y64" s="235">
        <f>39+129</f>
        <v>168</v>
      </c>
      <c r="Z64" s="235">
        <v>177</v>
      </c>
      <c r="AA64" s="235">
        <f>38-37</f>
        <v>1</v>
      </c>
      <c r="AB64" s="235">
        <f>50-75</f>
        <v>-25</v>
      </c>
      <c r="AC64" s="235">
        <f>75-91</f>
        <v>-16</v>
      </c>
      <c r="AD64" s="235">
        <v>-182</v>
      </c>
      <c r="AE64" s="235">
        <v>-53</v>
      </c>
      <c r="AF64" s="243">
        <v>-23</v>
      </c>
      <c r="AG64" s="243">
        <f>41</f>
        <v>41</v>
      </c>
      <c r="AH64" s="243">
        <v>51</v>
      </c>
      <c r="AI64" s="243">
        <v>-33</v>
      </c>
      <c r="AJ64" s="243">
        <v>-88</v>
      </c>
      <c r="AK64" s="243">
        <v>-63</v>
      </c>
      <c r="AL64" s="243">
        <v>-30</v>
      </c>
      <c r="AM64" s="243">
        <v>-718</v>
      </c>
      <c r="AN64" s="243">
        <v>-98</v>
      </c>
      <c r="AO64" s="243">
        <v>45</v>
      </c>
      <c r="AP64" s="243">
        <v>100</v>
      </c>
      <c r="AQ64" s="243">
        <v>-228</v>
      </c>
      <c r="AR64" s="243">
        <v>0</v>
      </c>
      <c r="AS64" s="243">
        <f>AR64</f>
        <v>0</v>
      </c>
      <c r="AT64" s="243">
        <f>AS64</f>
        <v>0</v>
      </c>
      <c r="AU64" s="243">
        <v>-18</v>
      </c>
      <c r="AV64" s="243">
        <v>16</v>
      </c>
      <c r="AW64" s="243">
        <v>25</v>
      </c>
      <c r="AX64" s="243">
        <f>-638+379</f>
        <v>-259</v>
      </c>
      <c r="AY64" s="243">
        <v>-75</v>
      </c>
      <c r="AZ64" s="243">
        <v>6</v>
      </c>
      <c r="BA64" s="243">
        <v>-96</v>
      </c>
      <c r="BB64" s="243">
        <f>-361</f>
        <v>-361</v>
      </c>
      <c r="BC64" s="243">
        <f>-1594+1497</f>
        <v>-97</v>
      </c>
      <c r="BD64" s="243">
        <v>18</v>
      </c>
      <c r="BE64" s="243">
        <v>-292</v>
      </c>
      <c r="BF64" s="243">
        <f>1100-569-374-280</f>
        <v>-123</v>
      </c>
      <c r="BG64" s="243">
        <v>0</v>
      </c>
      <c r="BH64" s="243">
        <v>0</v>
      </c>
      <c r="BI64" s="243">
        <v>0</v>
      </c>
      <c r="BJ64" s="243">
        <v>0</v>
      </c>
      <c r="BK64" s="243">
        <v>0</v>
      </c>
      <c r="BL64" s="243">
        <v>0</v>
      </c>
      <c r="BM64" s="243">
        <v>0</v>
      </c>
      <c r="BN64" s="243">
        <f>89+319</f>
        <v>408</v>
      </c>
      <c r="BO64" s="243">
        <f>104+515</f>
        <v>619</v>
      </c>
      <c r="BP64" s="243">
        <v>69</v>
      </c>
      <c r="BQ64" s="243">
        <v>44</v>
      </c>
      <c r="BR64" s="243">
        <v>163</v>
      </c>
      <c r="BS64" s="243">
        <v>86</v>
      </c>
      <c r="BT64" s="243">
        <f>114+226-276-144</f>
        <v>-80</v>
      </c>
      <c r="BU64" s="243"/>
      <c r="BV64" s="243"/>
      <c r="BW64" s="243"/>
      <c r="BX64" s="243"/>
      <c r="BY64" s="243"/>
      <c r="BZ64" s="243"/>
      <c r="CA64" s="243"/>
      <c r="CB64" s="243"/>
      <c r="CC64" s="243"/>
      <c r="CD64" s="243"/>
      <c r="CE64" s="243"/>
      <c r="CF64" s="243"/>
      <c r="CG64" s="243"/>
      <c r="CH64" s="243"/>
      <c r="CI64" s="243">
        <v>0</v>
      </c>
      <c r="CJ64" s="243">
        <v>0</v>
      </c>
      <c r="CK64" s="243">
        <v>0</v>
      </c>
      <c r="CL64" s="243">
        <v>0</v>
      </c>
      <c r="CM64" s="243">
        <v>0</v>
      </c>
      <c r="CN64" s="243">
        <v>0</v>
      </c>
      <c r="CO64" s="243">
        <v>0</v>
      </c>
      <c r="CP64" s="243">
        <v>0</v>
      </c>
      <c r="CQ64" s="243">
        <v>0</v>
      </c>
      <c r="CR64" s="243">
        <v>0</v>
      </c>
      <c r="CS64" s="243">
        <v>0</v>
      </c>
      <c r="CT64" s="243">
        <v>0</v>
      </c>
      <c r="CU64" s="243">
        <v>0</v>
      </c>
      <c r="CV64" s="243">
        <v>0</v>
      </c>
      <c r="CW64" s="243">
        <v>0</v>
      </c>
      <c r="CX64" s="243">
        <v>0</v>
      </c>
      <c r="CY64" s="243">
        <v>0</v>
      </c>
      <c r="CZ64" s="243">
        <v>0</v>
      </c>
      <c r="DA64" s="243">
        <v>0</v>
      </c>
      <c r="DB64" s="243">
        <v>0</v>
      </c>
      <c r="DC64" s="243">
        <v>0</v>
      </c>
      <c r="DD64" s="243">
        <v>0</v>
      </c>
      <c r="DE64" s="243">
        <v>0</v>
      </c>
      <c r="DF64" s="243">
        <v>0</v>
      </c>
      <c r="DH64" s="235"/>
      <c r="DI64" s="235"/>
      <c r="DJ64" s="235"/>
      <c r="DK64" s="235"/>
      <c r="DL64" s="235"/>
      <c r="DM64" s="235"/>
      <c r="DN64" s="235">
        <f>143+166</f>
        <v>309</v>
      </c>
      <c r="DO64" s="235">
        <f>125+284</f>
        <v>409</v>
      </c>
      <c r="DP64" s="235">
        <f>120+129</f>
        <v>249</v>
      </c>
      <c r="DQ64" s="235">
        <f>110+151</f>
        <v>261</v>
      </c>
      <c r="DR64" s="235">
        <f>197+222</f>
        <v>419</v>
      </c>
      <c r="DS64" s="235">
        <f>146+67</f>
        <v>213</v>
      </c>
      <c r="DT64" s="235">
        <f>153+185</f>
        <v>338</v>
      </c>
      <c r="DU64" s="235">
        <f>160+294</f>
        <v>454</v>
      </c>
      <c r="DV64" s="235">
        <f>207-385</f>
        <v>-178</v>
      </c>
      <c r="DW64" s="235">
        <f>187+15</f>
        <v>202</v>
      </c>
      <c r="DX64" s="235">
        <f>54-214</f>
        <v>-160</v>
      </c>
      <c r="DY64" s="235">
        <v>-671</v>
      </c>
      <c r="DZ64" s="235">
        <f>SUM(AQ64:AT64)</f>
        <v>-228</v>
      </c>
      <c r="EA64" s="235">
        <f>SUM(AU64:AX64)</f>
        <v>-236</v>
      </c>
      <c r="EB64" s="235"/>
      <c r="EC64" s="235">
        <f>SUM(BC64:BF64)</f>
        <v>-494</v>
      </c>
      <c r="ED64" s="235"/>
      <c r="EE64" s="235">
        <f>SUM(BK64:BN64)</f>
        <v>408</v>
      </c>
      <c r="EF64" s="235">
        <f>SUM(BO64:BR64)</f>
        <v>895</v>
      </c>
      <c r="EG64" s="235"/>
      <c r="EH64" s="235"/>
      <c r="EI64" s="235"/>
      <c r="EJ64" s="235"/>
      <c r="EK64" s="235"/>
      <c r="EL64" s="235"/>
      <c r="EM64" s="235"/>
      <c r="EN64" s="235"/>
    </row>
    <row r="65" spans="1:257" s="275" customFormat="1" ht="12.75" customHeight="1" x14ac:dyDescent="0.2">
      <c r="A65"/>
      <c r="B65" t="s">
        <v>730</v>
      </c>
      <c r="C65" s="235">
        <f t="shared" ref="C65:AY65" si="336">C62+C63-C64</f>
        <v>1302</v>
      </c>
      <c r="D65" s="235">
        <f t="shared" si="336"/>
        <v>1294</v>
      </c>
      <c r="E65" s="235">
        <f t="shared" si="336"/>
        <v>1197</v>
      </c>
      <c r="F65" s="235">
        <f t="shared" si="336"/>
        <v>783</v>
      </c>
      <c r="G65" s="235">
        <f t="shared" si="336"/>
        <v>1434</v>
      </c>
      <c r="H65" s="235">
        <f t="shared" si="336"/>
        <v>1371</v>
      </c>
      <c r="I65" s="235">
        <f t="shared" si="336"/>
        <v>1317</v>
      </c>
      <c r="J65" s="235">
        <f t="shared" si="336"/>
        <v>924</v>
      </c>
      <c r="K65" s="235">
        <f t="shared" si="336"/>
        <v>1605</v>
      </c>
      <c r="L65" s="235">
        <f t="shared" si="336"/>
        <v>1614</v>
      </c>
      <c r="M65" s="235">
        <f t="shared" si="336"/>
        <v>1511</v>
      </c>
      <c r="N65" s="235">
        <f t="shared" si="336"/>
        <v>971</v>
      </c>
      <c r="O65" s="235">
        <f t="shared" si="336"/>
        <v>1892</v>
      </c>
      <c r="P65" s="235">
        <f t="shared" si="336"/>
        <v>1866</v>
      </c>
      <c r="Q65" s="235">
        <f t="shared" si="336"/>
        <v>1746</v>
      </c>
      <c r="R65" s="235">
        <f t="shared" si="336"/>
        <v>1172</v>
      </c>
      <c r="S65" s="235">
        <f>S62+S63-S64</f>
        <v>2140</v>
      </c>
      <c r="T65" s="235">
        <f t="shared" si="336"/>
        <v>2129</v>
      </c>
      <c r="U65" s="235">
        <f t="shared" si="336"/>
        <v>2108</v>
      </c>
      <c r="V65" s="235">
        <f t="shared" si="336"/>
        <v>1549</v>
      </c>
      <c r="W65" s="235">
        <f t="shared" si="336"/>
        <v>2621</v>
      </c>
      <c r="X65" s="235">
        <f t="shared" si="336"/>
        <v>2732</v>
      </c>
      <c r="Y65" s="235">
        <f t="shared" si="336"/>
        <v>2393</v>
      </c>
      <c r="Z65" s="235">
        <f t="shared" si="336"/>
        <v>1849</v>
      </c>
      <c r="AA65" s="235">
        <f t="shared" si="336"/>
        <v>2948</v>
      </c>
      <c r="AB65" s="235">
        <f t="shared" si="336"/>
        <v>2956</v>
      </c>
      <c r="AC65" s="235">
        <f t="shared" si="336"/>
        <v>2948</v>
      </c>
      <c r="AD65" s="235">
        <f t="shared" si="336"/>
        <v>2509</v>
      </c>
      <c r="AE65" s="235">
        <f t="shared" si="336"/>
        <v>3929</v>
      </c>
      <c r="AF65" s="243">
        <f t="shared" si="336"/>
        <v>3843</v>
      </c>
      <c r="AG65" s="243">
        <f t="shared" si="336"/>
        <v>3292</v>
      </c>
      <c r="AH65" s="243">
        <f t="shared" si="336"/>
        <v>2625</v>
      </c>
      <c r="AI65" s="243">
        <f t="shared" si="336"/>
        <v>3927</v>
      </c>
      <c r="AJ65" s="243">
        <f t="shared" si="336"/>
        <v>3741</v>
      </c>
      <c r="AK65" s="243">
        <f t="shared" si="336"/>
        <v>3420</v>
      </c>
      <c r="AL65" s="243">
        <f t="shared" si="336"/>
        <v>2512</v>
      </c>
      <c r="AM65" s="243">
        <f t="shared" si="336"/>
        <v>4652</v>
      </c>
      <c r="AN65" s="243">
        <f t="shared" si="336"/>
        <v>3855</v>
      </c>
      <c r="AO65" s="243">
        <f t="shared" si="336"/>
        <v>3776</v>
      </c>
      <c r="AP65" s="243">
        <f t="shared" si="336"/>
        <v>3028</v>
      </c>
      <c r="AQ65" s="243">
        <f>AQ62+AQ63-AQ64</f>
        <v>4509</v>
      </c>
      <c r="AR65" s="243">
        <f t="shared" si="336"/>
        <v>4042</v>
      </c>
      <c r="AS65" s="243">
        <f t="shared" si="336"/>
        <v>4054</v>
      </c>
      <c r="AT65" s="243">
        <f t="shared" si="336"/>
        <v>3209</v>
      </c>
      <c r="AU65" s="243">
        <f t="shared" si="336"/>
        <v>4747</v>
      </c>
      <c r="AV65" s="243">
        <f t="shared" si="336"/>
        <v>4415</v>
      </c>
      <c r="AW65" s="243">
        <f t="shared" si="336"/>
        <v>4290</v>
      </c>
      <c r="AX65" s="243">
        <f t="shared" si="336"/>
        <v>3279</v>
      </c>
      <c r="AY65" s="243">
        <f t="shared" si="336"/>
        <v>4643</v>
      </c>
      <c r="AZ65" s="243">
        <f t="shared" ref="AZ65:BG65" si="337">AZ62+AZ63-AZ64</f>
        <v>4263</v>
      </c>
      <c r="BA65" s="243">
        <f t="shared" si="337"/>
        <v>4245</v>
      </c>
      <c r="BB65" s="243">
        <f t="shared" si="337"/>
        <v>3790</v>
      </c>
      <c r="BC65" s="243">
        <f t="shared" si="337"/>
        <v>4783</v>
      </c>
      <c r="BD65" s="243">
        <f t="shared" si="337"/>
        <v>4279</v>
      </c>
      <c r="BE65" s="243">
        <f t="shared" si="337"/>
        <v>4219</v>
      </c>
      <c r="BF65" s="243">
        <f t="shared" si="337"/>
        <v>3451</v>
      </c>
      <c r="BG65" s="243">
        <f t="shared" si="337"/>
        <v>5303</v>
      </c>
      <c r="BH65" s="243">
        <f>BH62+BH63-BH64</f>
        <v>4011</v>
      </c>
      <c r="BI65" s="243">
        <f>BI62+BI63-BI64</f>
        <v>4111</v>
      </c>
      <c r="BJ65" s="243">
        <f t="shared" ref="BJ65" si="338">BJ62+BJ63-BJ64</f>
        <v>6223</v>
      </c>
      <c r="BK65" s="243">
        <f t="shared" ref="BK65" si="339">BK62+BK63-BK64</f>
        <v>5045</v>
      </c>
      <c r="BL65" s="243">
        <f t="shared" ref="BL65" si="340">BL62+BL63-BL64</f>
        <v>4623</v>
      </c>
      <c r="BM65" s="243">
        <f t="shared" ref="BM65" si="341">BM62+BM63-BM64</f>
        <v>4413</v>
      </c>
      <c r="BN65" s="243">
        <f t="shared" ref="BN65:BZ65" si="342">BN62+BN63-BN64</f>
        <v>3388</v>
      </c>
      <c r="BO65" s="243">
        <f t="shared" si="342"/>
        <v>4368</v>
      </c>
      <c r="BP65" s="243">
        <f t="shared" si="342"/>
        <v>5428</v>
      </c>
      <c r="BQ65" s="243">
        <f t="shared" si="342"/>
        <v>4895</v>
      </c>
      <c r="BR65" s="243">
        <f t="shared" si="342"/>
        <v>4005</v>
      </c>
      <c r="BS65" s="243">
        <f t="shared" si="342"/>
        <v>5560</v>
      </c>
      <c r="BT65" s="243">
        <f t="shared" si="342"/>
        <v>6050</v>
      </c>
      <c r="BU65" s="243">
        <f t="shared" si="342"/>
        <v>5505.0019999999995</v>
      </c>
      <c r="BV65" s="243">
        <f t="shared" si="342"/>
        <v>5179.389000000001</v>
      </c>
      <c r="BW65" s="243">
        <f t="shared" si="342"/>
        <v>6194.4169999999995</v>
      </c>
      <c r="BX65" s="243">
        <f t="shared" si="342"/>
        <v>6368.5029999999997</v>
      </c>
      <c r="BY65" s="243">
        <f t="shared" si="342"/>
        <v>6029.2994200000003</v>
      </c>
      <c r="BZ65" s="243">
        <f t="shared" si="342"/>
        <v>5696.1583500000015</v>
      </c>
      <c r="CA65" s="243"/>
      <c r="CB65" s="243"/>
      <c r="CC65" s="243"/>
      <c r="CD65" s="243"/>
      <c r="CE65" s="243"/>
      <c r="CF65" s="243"/>
      <c r="CG65" s="243"/>
      <c r="CH65" s="243"/>
      <c r="CI65" s="243">
        <f>+CI62+CI63+CI64</f>
        <v>5523</v>
      </c>
      <c r="CJ65" s="243">
        <f t="shared" ref="CJ65:CP65" si="343">+CJ62+CJ63</f>
        <v>5394</v>
      </c>
      <c r="CK65" s="243">
        <f t="shared" si="343"/>
        <v>6538</v>
      </c>
      <c r="CL65" s="243">
        <f t="shared" si="343"/>
        <v>5547</v>
      </c>
      <c r="CM65" s="243">
        <f t="shared" si="343"/>
        <v>5348</v>
      </c>
      <c r="CN65" s="243">
        <f t="shared" si="343"/>
        <v>5417</v>
      </c>
      <c r="CO65" s="243">
        <f t="shared" si="343"/>
        <v>6853</v>
      </c>
      <c r="CP65" s="243">
        <f t="shared" si="343"/>
        <v>5461</v>
      </c>
      <c r="CQ65" s="243">
        <f t="shared" ref="CQ65" si="344">+CQ62+CQ63+CQ64</f>
        <v>5803</v>
      </c>
      <c r="CR65" s="243">
        <f t="shared" ref="CR65" si="345">+CR62+CR63+CR64</f>
        <v>4009</v>
      </c>
      <c r="CS65" s="243">
        <f t="shared" ref="CS65:CY65" si="346">+CS62+CS63+CS64</f>
        <v>5807</v>
      </c>
      <c r="CT65" s="243">
        <f t="shared" si="346"/>
        <v>4099</v>
      </c>
      <c r="CU65" s="243">
        <f t="shared" si="346"/>
        <v>7482</v>
      </c>
      <c r="CV65" s="243">
        <f t="shared" si="346"/>
        <v>7905</v>
      </c>
      <c r="CW65" s="243">
        <f t="shared" si="346"/>
        <v>6656</v>
      </c>
      <c r="CX65" s="243">
        <f t="shared" si="346"/>
        <v>4922</v>
      </c>
      <c r="CY65" s="243">
        <f t="shared" si="346"/>
        <v>6542</v>
      </c>
      <c r="CZ65" s="243">
        <f t="shared" ref="CZ65:DF65" si="347">+CZ62+CZ63+CZ64</f>
        <v>8171</v>
      </c>
      <c r="DA65" s="243">
        <f t="shared" si="347"/>
        <v>6440</v>
      </c>
      <c r="DB65" s="243">
        <f t="shared" si="347"/>
        <v>9987.0239999999994</v>
      </c>
      <c r="DC65" s="243">
        <f t="shared" si="347"/>
        <v>9961.9362500000007</v>
      </c>
      <c r="DD65" s="243">
        <f t="shared" si="347"/>
        <v>10221.03325</v>
      </c>
      <c r="DE65" s="243">
        <f t="shared" si="347"/>
        <v>10190.973000000002</v>
      </c>
      <c r="DF65" s="243">
        <f t="shared" si="347"/>
        <v>10300.432855000003</v>
      </c>
      <c r="DH65" s="235">
        <f t="shared" ref="DH65:DM65" si="348">DH62-DH63</f>
        <v>1514</v>
      </c>
      <c r="DI65" s="235">
        <f t="shared" si="348"/>
        <v>1727</v>
      </c>
      <c r="DJ65" s="235">
        <f t="shared" si="348"/>
        <v>2038</v>
      </c>
      <c r="DK65" s="235">
        <f t="shared" si="348"/>
        <v>2207</v>
      </c>
      <c r="DL65" s="235">
        <f t="shared" si="348"/>
        <v>2332</v>
      </c>
      <c r="DM65" s="235">
        <f t="shared" si="348"/>
        <v>2681</v>
      </c>
      <c r="DN65" s="235">
        <f t="shared" ref="DN65:EI65" si="349">DN62+DN63-DN64</f>
        <v>3317</v>
      </c>
      <c r="DO65" s="235">
        <f t="shared" si="349"/>
        <v>4033</v>
      </c>
      <c r="DP65" s="235">
        <f t="shared" si="349"/>
        <v>4576</v>
      </c>
      <c r="DQ65" s="235">
        <f t="shared" si="349"/>
        <v>5046</v>
      </c>
      <c r="DR65" s="235">
        <f t="shared" si="349"/>
        <v>5753</v>
      </c>
      <c r="DS65" s="235">
        <f t="shared" si="349"/>
        <v>6643</v>
      </c>
      <c r="DT65" s="235">
        <f t="shared" si="349"/>
        <v>8003</v>
      </c>
      <c r="DU65" s="235">
        <f t="shared" si="349"/>
        <v>10093.900000000001</v>
      </c>
      <c r="DV65" s="235">
        <f t="shared" si="349"/>
        <v>11729.400000000001</v>
      </c>
      <c r="DW65" s="235">
        <f t="shared" si="349"/>
        <v>13625</v>
      </c>
      <c r="DX65" s="235">
        <f t="shared" si="349"/>
        <v>13002</v>
      </c>
      <c r="DY65" s="235">
        <f t="shared" si="349"/>
        <v>15311</v>
      </c>
      <c r="DZ65" s="235">
        <f>DZ62+DZ63-DZ64</f>
        <v>15716</v>
      </c>
      <c r="EA65" s="235">
        <f>EA62+EA63-EA64</f>
        <v>16731</v>
      </c>
      <c r="EB65" s="235">
        <f>EB62+EB63-EB64</f>
        <v>16778.5</v>
      </c>
      <c r="EC65" s="235">
        <f>EC62+EC63-EC64</f>
        <v>16541</v>
      </c>
      <c r="ED65" s="235">
        <f>ED62+ED63-ED64</f>
        <v>19648</v>
      </c>
      <c r="EE65" s="235">
        <f t="shared" si="349"/>
        <v>17147</v>
      </c>
      <c r="EF65" s="235">
        <f t="shared" si="349"/>
        <v>18437</v>
      </c>
      <c r="EG65" s="235">
        <f t="shared" si="349"/>
        <v>24839.18637499999</v>
      </c>
      <c r="EH65" s="235">
        <f t="shared" si="349"/>
        <v>50623.794920103275</v>
      </c>
      <c r="EI65" s="235">
        <f t="shared" si="349"/>
        <v>48370.383232675034</v>
      </c>
      <c r="EJ65" s="235">
        <f t="shared" ref="EJ65:EW65" si="350">EJ62+EJ63-EJ64</f>
        <v>46622.262594765816</v>
      </c>
      <c r="EK65" s="235">
        <f t="shared" si="350"/>
        <v>46801.146832700615</v>
      </c>
      <c r="EL65" s="235">
        <f t="shared" si="350"/>
        <v>47280.461432275391</v>
      </c>
      <c r="EM65" s="235">
        <f t="shared" si="350"/>
        <v>55497.395531841197</v>
      </c>
      <c r="EN65" s="235">
        <f t="shared" si="350"/>
        <v>26965</v>
      </c>
      <c r="EO65" s="235">
        <f t="shared" si="350"/>
        <v>39579.529165085602</v>
      </c>
      <c r="EP65" s="235">
        <f t="shared" si="350"/>
        <v>39428.557632454678</v>
      </c>
      <c r="EQ65" s="235">
        <f t="shared" si="350"/>
        <v>39763.683651411375</v>
      </c>
      <c r="ER65" s="235">
        <f t="shared" si="350"/>
        <v>39637.665112789102</v>
      </c>
      <c r="ES65" s="235">
        <f t="shared" si="350"/>
        <v>37190.226958737549</v>
      </c>
      <c r="ET65" s="235">
        <f t="shared" si="350"/>
        <v>37224.647439705754</v>
      </c>
      <c r="EU65" s="235">
        <f t="shared" si="350"/>
        <v>37353.040348094932</v>
      </c>
      <c r="EV65" s="235">
        <f t="shared" si="350"/>
        <v>36822.140739330629</v>
      </c>
      <c r="EW65" s="235">
        <f t="shared" si="350"/>
        <v>36724.054871591921</v>
      </c>
    </row>
    <row r="66" spans="1:257" s="275" customFormat="1" ht="12.75" customHeight="1" x14ac:dyDescent="0.2">
      <c r="A66"/>
      <c r="B66" t="s">
        <v>731</v>
      </c>
      <c r="C66" s="235">
        <v>393</v>
      </c>
      <c r="D66" s="235">
        <v>385</v>
      </c>
      <c r="E66" s="235">
        <v>342</v>
      </c>
      <c r="F66" s="235">
        <v>153</v>
      </c>
      <c r="G66" s="235">
        <v>424</v>
      </c>
      <c r="H66" s="235">
        <v>366</v>
      </c>
      <c r="I66" s="235">
        <v>356</v>
      </c>
      <c r="J66" s="235">
        <v>231</v>
      </c>
      <c r="K66" s="235">
        <v>477</v>
      </c>
      <c r="L66" s="235">
        <v>459</v>
      </c>
      <c r="M66" s="235">
        <v>412</v>
      </c>
      <c r="N66" s="235">
        <v>217</v>
      </c>
      <c r="O66" s="235">
        <v>578</v>
      </c>
      <c r="P66" s="235">
        <v>535</v>
      </c>
      <c r="Q66" s="235">
        <v>482</v>
      </c>
      <c r="R66" s="235">
        <v>227</v>
      </c>
      <c r="S66" s="235">
        <v>640</v>
      </c>
      <c r="T66" s="235">
        <v>647</v>
      </c>
      <c r="U66" s="235">
        <v>579</v>
      </c>
      <c r="V66" s="235">
        <v>339</v>
      </c>
      <c r="W66" s="235">
        <v>787</v>
      </c>
      <c r="X66" s="235">
        <v>774</v>
      </c>
      <c r="Y66" s="235">
        <v>668</v>
      </c>
      <c r="Z66" s="235">
        <v>465</v>
      </c>
      <c r="AA66" s="235">
        <v>859</v>
      </c>
      <c r="AB66" s="235">
        <v>846</v>
      </c>
      <c r="AC66" s="235">
        <v>877</v>
      </c>
      <c r="AD66" s="235">
        <v>529</v>
      </c>
      <c r="AE66" s="235">
        <v>1011</v>
      </c>
      <c r="AF66" s="243">
        <v>977</v>
      </c>
      <c r="AG66" s="243">
        <v>933</v>
      </c>
      <c r="AH66" s="243">
        <f>1408-789</f>
        <v>619</v>
      </c>
      <c r="AI66" s="243">
        <v>1088</v>
      </c>
      <c r="AJ66" s="243">
        <v>726</v>
      </c>
      <c r="AK66" s="243">
        <v>882</v>
      </c>
      <c r="AL66" s="243">
        <v>411</v>
      </c>
      <c r="AM66" s="243">
        <v>1310</v>
      </c>
      <c r="AN66" s="243">
        <v>783</v>
      </c>
      <c r="AO66" s="243">
        <v>901</v>
      </c>
      <c r="AP66" s="243">
        <f>AP65-2385</f>
        <v>643</v>
      </c>
      <c r="AQ66" s="243">
        <v>1079</v>
      </c>
      <c r="AR66" s="243">
        <v>950</v>
      </c>
      <c r="AS66" s="243">
        <f>AS65*0.233</f>
        <v>944.58200000000011</v>
      </c>
      <c r="AT66" s="243">
        <f>AT65*0.153</f>
        <v>490.97699999999998</v>
      </c>
      <c r="AU66" s="243">
        <v>1149</v>
      </c>
      <c r="AV66" s="243">
        <v>1048</v>
      </c>
      <c r="AW66" s="243">
        <v>980</v>
      </c>
      <c r="AX66" s="243">
        <f>803-379+229</f>
        <v>653</v>
      </c>
      <c r="AY66" s="243">
        <v>1136</v>
      </c>
      <c r="AZ66" s="243">
        <v>1055</v>
      </c>
      <c r="BA66" s="243">
        <v>900</v>
      </c>
      <c r="BB66" s="243">
        <f>398+334+174</f>
        <v>906</v>
      </c>
      <c r="BC66" s="243">
        <f>1754-1497+910</f>
        <v>1167</v>
      </c>
      <c r="BD66" s="243">
        <f>771+67</f>
        <v>838</v>
      </c>
      <c r="BE66" s="243">
        <v>802</v>
      </c>
      <c r="BF66" s="243">
        <f>286+569-404+374-279+280-239</f>
        <v>587</v>
      </c>
      <c r="BG66" s="243">
        <v>1034</v>
      </c>
      <c r="BH66" s="243">
        <v>646</v>
      </c>
      <c r="BI66" s="243">
        <v>909</v>
      </c>
      <c r="BJ66" s="243">
        <f>3657-3129</f>
        <v>528</v>
      </c>
      <c r="BK66" s="243">
        <v>1135</v>
      </c>
      <c r="BL66" s="243">
        <f>4646-3644</f>
        <v>1002</v>
      </c>
      <c r="BM66" s="243">
        <v>966</v>
      </c>
      <c r="BN66" s="243">
        <v>533</v>
      </c>
      <c r="BO66" s="243">
        <v>764</v>
      </c>
      <c r="BP66" s="243">
        <v>1083</v>
      </c>
      <c r="BQ66" s="243">
        <v>912</v>
      </c>
      <c r="BR66" s="243">
        <f>+BR65*0.089</f>
        <v>356.44499999999999</v>
      </c>
      <c r="BS66" s="243">
        <v>697</v>
      </c>
      <c r="BT66" s="243">
        <v>1300</v>
      </c>
      <c r="BU66" s="243">
        <f>+BU65*0.2</f>
        <v>1101.0003999999999</v>
      </c>
      <c r="BV66" s="243">
        <f t="shared" ref="BV66:BZ66" si="351">+BV65*0.2</f>
        <v>1035.8778000000002</v>
      </c>
      <c r="BW66" s="243">
        <f t="shared" si="351"/>
        <v>1238.8833999999999</v>
      </c>
      <c r="BX66" s="243">
        <f t="shared" si="351"/>
        <v>1273.7006000000001</v>
      </c>
      <c r="BY66" s="243">
        <f t="shared" si="351"/>
        <v>1205.8598840000002</v>
      </c>
      <c r="BZ66" s="243">
        <f t="shared" si="351"/>
        <v>1139.2316700000003</v>
      </c>
      <c r="CA66" s="243"/>
      <c r="CB66" s="243"/>
      <c r="CC66" s="243"/>
      <c r="CD66" s="243"/>
      <c r="CE66" s="243"/>
      <c r="CF66" s="243"/>
      <c r="CG66" s="243"/>
      <c r="CH66" s="243"/>
      <c r="CI66" s="243">
        <v>1114</v>
      </c>
      <c r="CJ66" s="243">
        <v>1019</v>
      </c>
      <c r="CK66" s="243">
        <f>489+265</f>
        <v>754</v>
      </c>
      <c r="CL66" s="243">
        <v>200</v>
      </c>
      <c r="CM66" s="243">
        <v>673</v>
      </c>
      <c r="CN66" s="243">
        <v>1434</v>
      </c>
      <c r="CO66" s="243">
        <f>814+391</f>
        <v>1205</v>
      </c>
      <c r="CP66" s="243">
        <v>400</v>
      </c>
      <c r="CQ66" s="243">
        <v>713</v>
      </c>
      <c r="CR66" s="243">
        <v>314</v>
      </c>
      <c r="CS66" s="243">
        <v>847</v>
      </c>
      <c r="CT66" s="243">
        <v>0</v>
      </c>
      <c r="CU66" s="243">
        <v>1232</v>
      </c>
      <c r="CV66" s="243">
        <v>1151</v>
      </c>
      <c r="CW66" s="243">
        <v>182</v>
      </c>
      <c r="CX66" s="243">
        <v>100</v>
      </c>
      <c r="CY66" s="243">
        <v>713</v>
      </c>
      <c r="CZ66" s="243">
        <v>1259</v>
      </c>
      <c r="DA66" s="243">
        <v>1364</v>
      </c>
      <c r="DB66" s="243">
        <f t="shared" ref="DB66:DF66" si="352">+DB65*0.2</f>
        <v>1997.4048</v>
      </c>
      <c r="DC66" s="243">
        <f t="shared" si="352"/>
        <v>1992.3872500000002</v>
      </c>
      <c r="DD66" s="243">
        <f t="shared" si="352"/>
        <v>2044.2066500000001</v>
      </c>
      <c r="DE66" s="243">
        <f t="shared" si="352"/>
        <v>2038.1946000000005</v>
      </c>
      <c r="DF66" s="243">
        <f t="shared" si="352"/>
        <v>2060.0865710000007</v>
      </c>
      <c r="DH66" s="235">
        <v>432</v>
      </c>
      <c r="DI66" s="235">
        <v>480</v>
      </c>
      <c r="DJ66" s="235">
        <v>577</v>
      </c>
      <c r="DK66" s="235">
        <v>582</v>
      </c>
      <c r="DL66" s="235">
        <v>545</v>
      </c>
      <c r="DM66" s="235">
        <v>675</v>
      </c>
      <c r="DN66" s="235">
        <v>914</v>
      </c>
      <c r="DO66" s="235">
        <v>1146</v>
      </c>
      <c r="DP66" s="235">
        <v>1273</v>
      </c>
      <c r="DQ66" s="235">
        <v>1210</v>
      </c>
      <c r="DR66" s="235">
        <v>1586</v>
      </c>
      <c r="DS66" s="235">
        <v>1822</v>
      </c>
      <c r="DT66" s="235">
        <v>2230</v>
      </c>
      <c r="DU66" s="235">
        <f>+DU65*0.25</f>
        <v>2523.4750000000004</v>
      </c>
      <c r="DV66" s="235">
        <v>3111</v>
      </c>
      <c r="DW66" s="235">
        <v>4329</v>
      </c>
      <c r="DX66" s="235">
        <v>3245</v>
      </c>
      <c r="DY66" s="235">
        <f>DY65-11133</f>
        <v>4178</v>
      </c>
      <c r="DZ66" s="235">
        <f>SUM(AQ66:AT66)</f>
        <v>3464.5590000000002</v>
      </c>
      <c r="EA66" s="235">
        <f>SUM(AU66:AX66)</f>
        <v>3830</v>
      </c>
      <c r="EB66" s="235"/>
      <c r="EC66" s="235">
        <f>SUM(BC66:BF66)</f>
        <v>3394</v>
      </c>
      <c r="ED66" s="235">
        <f>SUM(BG66:BJ66)</f>
        <v>3117</v>
      </c>
      <c r="EE66" s="235">
        <f>SUM(BK66:BN66)</f>
        <v>3636</v>
      </c>
      <c r="EF66" s="235">
        <f>SUM(BO66:BR66)</f>
        <v>3115.4450000000002</v>
      </c>
      <c r="EG66" s="235">
        <f>EG65*EG94</f>
        <v>4685.7163043442069</v>
      </c>
      <c r="EH66" s="235"/>
      <c r="EI66" s="235"/>
      <c r="EJ66" s="235">
        <f>+EJ65*0.25</f>
        <v>11655.565648691454</v>
      </c>
      <c r="EK66" s="235">
        <f t="shared" ref="EK66:EW66" si="353">+EK65*0.25</f>
        <v>11700.286708175154</v>
      </c>
      <c r="EL66" s="235">
        <f t="shared" si="353"/>
        <v>11820.115358068848</v>
      </c>
      <c r="EM66" s="235">
        <f t="shared" si="353"/>
        <v>13874.348882960299</v>
      </c>
      <c r="EN66" s="235">
        <f t="shared" ref="EN66" si="354">SUM(CU66:CX66)</f>
        <v>2665</v>
      </c>
      <c r="EO66" s="235">
        <f t="shared" si="353"/>
        <v>9894.8822912714004</v>
      </c>
      <c r="EP66" s="235">
        <f t="shared" si="353"/>
        <v>9857.1394081136696</v>
      </c>
      <c r="EQ66" s="235">
        <f t="shared" si="353"/>
        <v>9940.9209128528437</v>
      </c>
      <c r="ER66" s="235">
        <f t="shared" si="353"/>
        <v>9909.4162781972755</v>
      </c>
      <c r="ES66" s="235">
        <f t="shared" si="353"/>
        <v>9297.5567396843871</v>
      </c>
      <c r="ET66" s="235">
        <f t="shared" si="353"/>
        <v>9306.1618599264384</v>
      </c>
      <c r="EU66" s="235">
        <f t="shared" si="353"/>
        <v>9338.2600870237329</v>
      </c>
      <c r="EV66" s="235">
        <f t="shared" si="353"/>
        <v>9205.5351848326573</v>
      </c>
      <c r="EW66" s="235">
        <f t="shared" si="353"/>
        <v>9181.0137178979803</v>
      </c>
    </row>
    <row r="67" spans="1:257" s="275" customFormat="1" ht="12.75" customHeight="1" x14ac:dyDescent="0.2">
      <c r="A67"/>
      <c r="B67" t="s">
        <v>345</v>
      </c>
      <c r="C67" s="235">
        <f t="shared" ref="C67:AS67" si="355">C65-C66</f>
        <v>909</v>
      </c>
      <c r="D67" s="235">
        <f t="shared" si="355"/>
        <v>909</v>
      </c>
      <c r="E67" s="235">
        <f t="shared" si="355"/>
        <v>855</v>
      </c>
      <c r="F67" s="235">
        <f t="shared" si="355"/>
        <v>630</v>
      </c>
      <c r="G67" s="235">
        <f t="shared" si="355"/>
        <v>1010</v>
      </c>
      <c r="H67" s="235">
        <f t="shared" si="355"/>
        <v>1005</v>
      </c>
      <c r="I67" s="235">
        <f t="shared" si="355"/>
        <v>961</v>
      </c>
      <c r="J67" s="235">
        <f t="shared" si="355"/>
        <v>693</v>
      </c>
      <c r="K67" s="235">
        <f t="shared" si="355"/>
        <v>1128</v>
      </c>
      <c r="L67" s="235">
        <f t="shared" si="355"/>
        <v>1155</v>
      </c>
      <c r="M67" s="235">
        <f t="shared" si="355"/>
        <v>1099</v>
      </c>
      <c r="N67" s="235">
        <f t="shared" si="355"/>
        <v>754</v>
      </c>
      <c r="O67" s="235">
        <f t="shared" si="355"/>
        <v>1314</v>
      </c>
      <c r="P67" s="235">
        <f t="shared" si="355"/>
        <v>1331</v>
      </c>
      <c r="Q67" s="235">
        <f t="shared" si="355"/>
        <v>1264</v>
      </c>
      <c r="R67" s="235">
        <f t="shared" si="355"/>
        <v>945</v>
      </c>
      <c r="S67" s="235">
        <f t="shared" si="355"/>
        <v>1500</v>
      </c>
      <c r="T67" s="235">
        <f t="shared" si="355"/>
        <v>1482</v>
      </c>
      <c r="U67" s="235">
        <f t="shared" si="355"/>
        <v>1529</v>
      </c>
      <c r="V67" s="235">
        <f t="shared" si="355"/>
        <v>1210</v>
      </c>
      <c r="W67" s="235">
        <f t="shared" si="355"/>
        <v>1834</v>
      </c>
      <c r="X67" s="235">
        <f t="shared" si="355"/>
        <v>1958</v>
      </c>
      <c r="Y67" s="235">
        <f t="shared" si="355"/>
        <v>1725</v>
      </c>
      <c r="Z67" s="235">
        <f t="shared" si="355"/>
        <v>1384</v>
      </c>
      <c r="AA67" s="235">
        <f t="shared" si="355"/>
        <v>2089</v>
      </c>
      <c r="AB67" s="235">
        <f t="shared" si="355"/>
        <v>2110</v>
      </c>
      <c r="AC67" s="235">
        <f t="shared" si="355"/>
        <v>2071</v>
      </c>
      <c r="AD67" s="235">
        <f t="shared" si="355"/>
        <v>1980</v>
      </c>
      <c r="AE67" s="235">
        <f t="shared" si="355"/>
        <v>2918</v>
      </c>
      <c r="AF67" s="243">
        <f t="shared" si="355"/>
        <v>2866</v>
      </c>
      <c r="AG67" s="243">
        <f t="shared" si="355"/>
        <v>2359</v>
      </c>
      <c r="AH67" s="243">
        <f t="shared" si="355"/>
        <v>2006</v>
      </c>
      <c r="AI67" s="243">
        <f t="shared" si="355"/>
        <v>2839</v>
      </c>
      <c r="AJ67" s="243">
        <f t="shared" si="355"/>
        <v>3015</v>
      </c>
      <c r="AK67" s="243">
        <f t="shared" si="355"/>
        <v>2538</v>
      </c>
      <c r="AL67" s="243">
        <f t="shared" si="355"/>
        <v>2101</v>
      </c>
      <c r="AM67" s="243">
        <f t="shared" si="355"/>
        <v>3342</v>
      </c>
      <c r="AN67" s="243">
        <f t="shared" si="355"/>
        <v>3072</v>
      </c>
      <c r="AO67" s="243">
        <f t="shared" si="355"/>
        <v>2875</v>
      </c>
      <c r="AP67" s="243">
        <f t="shared" si="355"/>
        <v>2385</v>
      </c>
      <c r="AQ67" s="243">
        <f>AQ65-AQ66</f>
        <v>3430</v>
      </c>
      <c r="AR67" s="243">
        <f t="shared" si="355"/>
        <v>3092</v>
      </c>
      <c r="AS67" s="243">
        <f t="shared" si="355"/>
        <v>3109.4179999999997</v>
      </c>
      <c r="AT67" s="243">
        <f>AT65-AT66+441-267</f>
        <v>2892.0230000000001</v>
      </c>
      <c r="AU67" s="243">
        <f t="shared" ref="AU67:BC67" si="356">AU65-AU66</f>
        <v>3598</v>
      </c>
      <c r="AV67" s="243">
        <f t="shared" si="356"/>
        <v>3367</v>
      </c>
      <c r="AW67" s="243">
        <f t="shared" si="356"/>
        <v>3310</v>
      </c>
      <c r="AX67" s="243">
        <f t="shared" si="356"/>
        <v>2626</v>
      </c>
      <c r="AY67" s="243">
        <f t="shared" si="356"/>
        <v>3507</v>
      </c>
      <c r="AZ67" s="243">
        <f t="shared" si="356"/>
        <v>3208</v>
      </c>
      <c r="BA67" s="243">
        <f t="shared" si="356"/>
        <v>3345</v>
      </c>
      <c r="BB67" s="243">
        <f t="shared" si="356"/>
        <v>2884</v>
      </c>
      <c r="BC67" s="243">
        <f t="shared" si="356"/>
        <v>3616</v>
      </c>
      <c r="BD67" s="243">
        <f t="shared" ref="BD67:BG67" si="357">BD65-BD66</f>
        <v>3441</v>
      </c>
      <c r="BE67" s="243">
        <f t="shared" si="357"/>
        <v>3417</v>
      </c>
      <c r="BF67" s="243">
        <f t="shared" si="357"/>
        <v>2864</v>
      </c>
      <c r="BG67" s="243">
        <f t="shared" si="357"/>
        <v>4269</v>
      </c>
      <c r="BH67" s="243">
        <f>BH65-BH66</f>
        <v>3365</v>
      </c>
      <c r="BI67" s="243">
        <f>BI65-BI66</f>
        <v>3202</v>
      </c>
      <c r="BJ67" s="243">
        <f t="shared" ref="BJ67" si="358">BJ65-BJ66</f>
        <v>5695</v>
      </c>
      <c r="BK67" s="243">
        <f t="shared" ref="BK67" si="359">BK65-BK66</f>
        <v>3910</v>
      </c>
      <c r="BL67" s="243">
        <f t="shared" ref="BL67" si="360">BL65-BL66</f>
        <v>3621</v>
      </c>
      <c r="BM67" s="243">
        <f t="shared" ref="BM67" si="361">BM65-BM66</f>
        <v>3447</v>
      </c>
      <c r="BN67" s="243">
        <f t="shared" ref="BN67:BR67" si="362">BN65-BN66</f>
        <v>2855</v>
      </c>
      <c r="BO67" s="243">
        <f t="shared" si="362"/>
        <v>3604</v>
      </c>
      <c r="BP67" s="243">
        <f t="shared" si="362"/>
        <v>4345</v>
      </c>
      <c r="BQ67" s="243">
        <f t="shared" si="362"/>
        <v>3983</v>
      </c>
      <c r="BR67" s="243">
        <f t="shared" si="362"/>
        <v>3648.5549999999998</v>
      </c>
      <c r="BS67" s="243">
        <f t="shared" ref="BS67:BV67" si="363">BS65-BS66</f>
        <v>4863</v>
      </c>
      <c r="BT67" s="243">
        <f t="shared" si="363"/>
        <v>4750</v>
      </c>
      <c r="BU67" s="243">
        <f t="shared" si="363"/>
        <v>4404.0015999999996</v>
      </c>
      <c r="BV67" s="243">
        <f t="shared" si="363"/>
        <v>4143.5112000000008</v>
      </c>
      <c r="BW67" s="243">
        <f t="shared" ref="BW67:BZ67" si="364">BW65-BW66</f>
        <v>4955.5335999999998</v>
      </c>
      <c r="BX67" s="243">
        <f t="shared" si="364"/>
        <v>5094.8023999999996</v>
      </c>
      <c r="BY67" s="243">
        <f t="shared" si="364"/>
        <v>4823.4395359999999</v>
      </c>
      <c r="BZ67" s="243">
        <f t="shared" si="364"/>
        <v>4556.9266800000014</v>
      </c>
      <c r="CA67" s="243"/>
      <c r="CB67" s="243"/>
      <c r="CC67" s="243"/>
      <c r="CD67" s="243"/>
      <c r="CE67" s="243"/>
      <c r="CF67" s="243"/>
      <c r="CG67" s="243"/>
      <c r="CH67" s="243"/>
      <c r="CI67" s="243">
        <f t="shared" ref="CI67:CP67" si="365">+CI65-CI66</f>
        <v>4409</v>
      </c>
      <c r="CJ67" s="243">
        <f t="shared" si="365"/>
        <v>4375</v>
      </c>
      <c r="CK67" s="243">
        <f t="shared" si="365"/>
        <v>5784</v>
      </c>
      <c r="CL67" s="243">
        <f t="shared" si="365"/>
        <v>5347</v>
      </c>
      <c r="CM67" s="243">
        <f t="shared" si="365"/>
        <v>4675</v>
      </c>
      <c r="CN67" s="243">
        <f t="shared" si="365"/>
        <v>3983</v>
      </c>
      <c r="CO67" s="243">
        <f t="shared" si="365"/>
        <v>5648</v>
      </c>
      <c r="CP67" s="243">
        <f t="shared" si="365"/>
        <v>5061</v>
      </c>
      <c r="CQ67" s="243">
        <f t="shared" ref="CQ67" si="366">+CQ65-CQ66</f>
        <v>5090</v>
      </c>
      <c r="CR67" s="243">
        <f t="shared" ref="CR67" si="367">+CR65-CR66</f>
        <v>3695</v>
      </c>
      <c r="CS67" s="243">
        <f>+CS65-CS66</f>
        <v>4960</v>
      </c>
      <c r="CT67" s="243">
        <f>+CT65-CT66</f>
        <v>4099</v>
      </c>
      <c r="CU67" s="243">
        <f>+CU65-CU66</f>
        <v>6250</v>
      </c>
      <c r="CV67" s="243">
        <f t="shared" ref="CV67" si="368">+CV65-CV66</f>
        <v>6754</v>
      </c>
      <c r="CW67" s="243">
        <f>+CW65-CW66</f>
        <v>6474</v>
      </c>
      <c r="CX67" s="243">
        <f>+CX65-CX66</f>
        <v>4822</v>
      </c>
      <c r="CY67" s="243">
        <f>+CY65-CY66</f>
        <v>5829</v>
      </c>
      <c r="CZ67" s="243">
        <f t="shared" ref="CZ67:DF67" si="369">+CZ65-CZ66</f>
        <v>6912</v>
      </c>
      <c r="DA67" s="243">
        <f t="shared" si="369"/>
        <v>5076</v>
      </c>
      <c r="DB67" s="243">
        <f t="shared" si="369"/>
        <v>7989.6191999999992</v>
      </c>
      <c r="DC67" s="243">
        <f t="shared" si="369"/>
        <v>7969.5490000000009</v>
      </c>
      <c r="DD67" s="243">
        <f t="shared" si="369"/>
        <v>8176.8266000000003</v>
      </c>
      <c r="DE67" s="243">
        <f t="shared" si="369"/>
        <v>8152.7784000000011</v>
      </c>
      <c r="DF67" s="243">
        <f t="shared" si="369"/>
        <v>8240.3462840000029</v>
      </c>
      <c r="DH67" s="235">
        <f t="shared" ref="DH67:EI67" si="370">DH65-DH66</f>
        <v>1082</v>
      </c>
      <c r="DI67" s="235">
        <f t="shared" si="370"/>
        <v>1247</v>
      </c>
      <c r="DJ67" s="235">
        <f t="shared" si="370"/>
        <v>1461</v>
      </c>
      <c r="DK67" s="235">
        <f t="shared" si="370"/>
        <v>1625</v>
      </c>
      <c r="DL67" s="235">
        <f t="shared" si="370"/>
        <v>1787</v>
      </c>
      <c r="DM67" s="235">
        <f t="shared" si="370"/>
        <v>2006</v>
      </c>
      <c r="DN67" s="235">
        <f t="shared" si="370"/>
        <v>2403</v>
      </c>
      <c r="DO67" s="235">
        <f t="shared" si="370"/>
        <v>2887</v>
      </c>
      <c r="DP67" s="235">
        <f t="shared" si="370"/>
        <v>3303</v>
      </c>
      <c r="DQ67" s="235">
        <f t="shared" si="370"/>
        <v>3836</v>
      </c>
      <c r="DR67" s="235">
        <f t="shared" si="370"/>
        <v>4167</v>
      </c>
      <c r="DS67" s="235">
        <f t="shared" si="370"/>
        <v>4821</v>
      </c>
      <c r="DT67" s="235">
        <f t="shared" si="370"/>
        <v>5773</v>
      </c>
      <c r="DU67" s="235">
        <f t="shared" si="370"/>
        <v>7570.4250000000011</v>
      </c>
      <c r="DV67" s="235">
        <f t="shared" si="370"/>
        <v>8618.4000000000015</v>
      </c>
      <c r="DW67" s="235">
        <f t="shared" si="370"/>
        <v>9296</v>
      </c>
      <c r="DX67" s="235">
        <f t="shared" si="370"/>
        <v>9757</v>
      </c>
      <c r="DY67" s="235">
        <f t="shared" si="370"/>
        <v>11133</v>
      </c>
      <c r="DZ67" s="235">
        <f>DZ65-DZ66</f>
        <v>12251.440999999999</v>
      </c>
      <c r="EA67" s="235">
        <f>EA65-EA66</f>
        <v>12901</v>
      </c>
      <c r="EB67" s="235">
        <f>EB65-EB66</f>
        <v>16778.5</v>
      </c>
      <c r="EC67" s="235">
        <f t="shared" si="370"/>
        <v>13147</v>
      </c>
      <c r="ED67" s="235">
        <f>ED65-ED66</f>
        <v>16531</v>
      </c>
      <c r="EE67" s="235">
        <f>EE65-EE66</f>
        <v>13511</v>
      </c>
      <c r="EF67" s="235">
        <f>EF65-EF66</f>
        <v>15321.555</v>
      </c>
      <c r="EG67" s="235">
        <f t="shared" si="370"/>
        <v>20153.470070655785</v>
      </c>
      <c r="EH67" s="235">
        <f t="shared" si="370"/>
        <v>50623.794920103275</v>
      </c>
      <c r="EI67" s="235">
        <f t="shared" si="370"/>
        <v>48370.383232675034</v>
      </c>
      <c r="EJ67" s="235">
        <f t="shared" ref="EJ67:EW67" si="371">EJ65-EJ66</f>
        <v>34966.696946074364</v>
      </c>
      <c r="EK67" s="235">
        <f t="shared" si="371"/>
        <v>35100.860124525461</v>
      </c>
      <c r="EL67" s="235">
        <f t="shared" si="371"/>
        <v>35460.346074206544</v>
      </c>
      <c r="EM67" s="235">
        <f t="shared" si="371"/>
        <v>41623.046648880896</v>
      </c>
      <c r="EN67" s="235">
        <f t="shared" si="371"/>
        <v>24300</v>
      </c>
      <c r="EO67" s="235">
        <f t="shared" si="371"/>
        <v>29684.646873814199</v>
      </c>
      <c r="EP67" s="235">
        <f t="shared" si="371"/>
        <v>29571.418224341011</v>
      </c>
      <c r="EQ67" s="235">
        <f t="shared" si="371"/>
        <v>29822.762738558529</v>
      </c>
      <c r="ER67" s="235">
        <f t="shared" si="371"/>
        <v>29728.248834591825</v>
      </c>
      <c r="ES67" s="235">
        <f t="shared" si="371"/>
        <v>27892.670219053161</v>
      </c>
      <c r="ET67" s="235">
        <f t="shared" si="371"/>
        <v>27918.485579779313</v>
      </c>
      <c r="EU67" s="235">
        <f t="shared" si="371"/>
        <v>28014.780261071199</v>
      </c>
      <c r="EV67" s="235">
        <f t="shared" si="371"/>
        <v>27616.605554497972</v>
      </c>
      <c r="EW67" s="235">
        <f t="shared" si="371"/>
        <v>27543.041153693943</v>
      </c>
      <c r="EX67" s="235">
        <f>+EW67*(1+$FA$70)</f>
        <v>27680.756359462408</v>
      </c>
      <c r="EY67" s="235">
        <f t="shared" ref="EY67:HJ67" si="372">+EX67*(1+$FA$70)</f>
        <v>27819.160141259716</v>
      </c>
      <c r="EZ67" s="235">
        <f t="shared" si="372"/>
        <v>27958.25594196601</v>
      </c>
      <c r="FA67" s="235">
        <f t="shared" si="372"/>
        <v>28098.047221675839</v>
      </c>
      <c r="FB67" s="235">
        <f t="shared" si="372"/>
        <v>28238.537457784216</v>
      </c>
      <c r="FC67" s="235">
        <f t="shared" si="372"/>
        <v>28379.730145073136</v>
      </c>
      <c r="FD67" s="235">
        <f t="shared" si="372"/>
        <v>28521.628795798497</v>
      </c>
      <c r="FE67" s="235">
        <f t="shared" si="372"/>
        <v>28664.236939777486</v>
      </c>
      <c r="FF67" s="235">
        <f t="shared" si="372"/>
        <v>28807.558124476371</v>
      </c>
      <c r="FG67" s="235">
        <f t="shared" si="372"/>
        <v>28951.595915098751</v>
      </c>
      <c r="FH67" s="235">
        <f t="shared" si="372"/>
        <v>29096.353894674241</v>
      </c>
      <c r="FI67" s="235">
        <f t="shared" si="372"/>
        <v>29241.835664147609</v>
      </c>
      <c r="FJ67" s="235">
        <f t="shared" si="372"/>
        <v>29388.044842468345</v>
      </c>
      <c r="FK67" s="235">
        <f t="shared" si="372"/>
        <v>29534.985066680685</v>
      </c>
      <c r="FL67" s="235">
        <f t="shared" si="372"/>
        <v>29682.659992014087</v>
      </c>
      <c r="FM67" s="235">
        <f t="shared" si="372"/>
        <v>29831.073291974153</v>
      </c>
      <c r="FN67" s="235">
        <f t="shared" si="372"/>
        <v>29980.228658434022</v>
      </c>
      <c r="FO67" s="235">
        <f t="shared" si="372"/>
        <v>30130.129801726187</v>
      </c>
      <c r="FP67" s="235">
        <f t="shared" si="372"/>
        <v>30280.780450734816</v>
      </c>
      <c r="FQ67" s="235">
        <f t="shared" si="372"/>
        <v>30432.184352988486</v>
      </c>
      <c r="FR67" s="235">
        <f t="shared" si="372"/>
        <v>30584.345274753425</v>
      </c>
      <c r="FS67" s="235">
        <f t="shared" si="372"/>
        <v>30737.267001127188</v>
      </c>
      <c r="FT67" s="235">
        <f t="shared" si="372"/>
        <v>30890.953336132821</v>
      </c>
      <c r="FU67" s="235">
        <f t="shared" si="372"/>
        <v>31045.408102813482</v>
      </c>
      <c r="FV67" s="235">
        <f t="shared" si="372"/>
        <v>31200.635143327545</v>
      </c>
      <c r="FW67" s="235">
        <f t="shared" si="372"/>
        <v>31356.638319044181</v>
      </c>
      <c r="FX67" s="235">
        <f t="shared" si="372"/>
        <v>31513.4215106394</v>
      </c>
      <c r="FY67" s="235">
        <f t="shared" si="372"/>
        <v>31670.988618192594</v>
      </c>
      <c r="FZ67" s="235">
        <f t="shared" si="372"/>
        <v>31829.343561283553</v>
      </c>
      <c r="GA67" s="235">
        <f t="shared" si="372"/>
        <v>31988.490279089969</v>
      </c>
      <c r="GB67" s="235">
        <f t="shared" si="372"/>
        <v>32148.432730485416</v>
      </c>
      <c r="GC67" s="235">
        <f t="shared" si="372"/>
        <v>32309.174894137839</v>
      </c>
      <c r="GD67" s="235">
        <f t="shared" si="372"/>
        <v>32470.720768608524</v>
      </c>
      <c r="GE67" s="235">
        <f t="shared" si="372"/>
        <v>32633.074372451563</v>
      </c>
      <c r="GF67" s="235">
        <f t="shared" si="372"/>
        <v>32796.239744313818</v>
      </c>
      <c r="GG67" s="235">
        <f t="shared" si="372"/>
        <v>32960.220943035383</v>
      </c>
      <c r="GH67" s="235">
        <f t="shared" si="372"/>
        <v>33125.022047750557</v>
      </c>
      <c r="GI67" s="235">
        <f t="shared" si="372"/>
        <v>33290.647157989304</v>
      </c>
      <c r="GJ67" s="235">
        <f t="shared" si="372"/>
        <v>33457.100393779248</v>
      </c>
      <c r="GK67" s="235">
        <f t="shared" si="372"/>
        <v>33624.385895748143</v>
      </c>
      <c r="GL67" s="235">
        <f t="shared" si="372"/>
        <v>33792.50782522688</v>
      </c>
      <c r="GM67" s="235">
        <f t="shared" si="372"/>
        <v>33961.470364353008</v>
      </c>
      <c r="GN67" s="235">
        <f t="shared" si="372"/>
        <v>34131.277716174773</v>
      </c>
      <c r="GO67" s="235">
        <f t="shared" si="372"/>
        <v>34301.934104755645</v>
      </c>
      <c r="GP67" s="235">
        <f t="shared" si="372"/>
        <v>34473.443775279418</v>
      </c>
      <c r="GQ67" s="235">
        <f t="shared" si="372"/>
        <v>34645.810994155814</v>
      </c>
      <c r="GR67" s="235">
        <f t="shared" si="372"/>
        <v>34819.04004912659</v>
      </c>
      <c r="GS67" s="235">
        <f t="shared" si="372"/>
        <v>34993.135249372222</v>
      </c>
      <c r="GT67" s="235">
        <f t="shared" si="372"/>
        <v>35168.100925619081</v>
      </c>
      <c r="GU67" s="235">
        <f t="shared" si="372"/>
        <v>35343.941430247171</v>
      </c>
      <c r="GV67" s="235">
        <f t="shared" si="372"/>
        <v>35520.661137398405</v>
      </c>
      <c r="GW67" s="235">
        <f t="shared" si="372"/>
        <v>35698.264443085391</v>
      </c>
      <c r="GX67" s="235">
        <f t="shared" si="372"/>
        <v>35876.755765300812</v>
      </c>
      <c r="GY67" s="235">
        <f t="shared" si="372"/>
        <v>36056.139544127313</v>
      </c>
      <c r="GZ67" s="235">
        <f t="shared" si="372"/>
        <v>36236.420241847947</v>
      </c>
      <c r="HA67" s="235">
        <f t="shared" si="372"/>
        <v>36417.60234305718</v>
      </c>
      <c r="HB67" s="235">
        <f t="shared" si="372"/>
        <v>36599.690354772465</v>
      </c>
      <c r="HC67" s="235">
        <f t="shared" si="372"/>
        <v>36782.688806546321</v>
      </c>
      <c r="HD67" s="235">
        <f t="shared" si="372"/>
        <v>36966.602250579046</v>
      </c>
      <c r="HE67" s="235">
        <f t="shared" si="372"/>
        <v>37151.435261831939</v>
      </c>
      <c r="HF67" s="235">
        <f t="shared" si="372"/>
        <v>37337.192438141094</v>
      </c>
      <c r="HG67" s="235">
        <f t="shared" si="372"/>
        <v>37523.878400331792</v>
      </c>
      <c r="HH67" s="235">
        <f t="shared" si="372"/>
        <v>37711.497792333445</v>
      </c>
      <c r="HI67" s="235">
        <f t="shared" si="372"/>
        <v>37900.055281295106</v>
      </c>
      <c r="HJ67" s="235">
        <f t="shared" si="372"/>
        <v>38089.555557701577</v>
      </c>
      <c r="HK67" s="235">
        <f t="shared" ref="HK67:IW67" si="373">+HJ67*(1+$FA$70)</f>
        <v>38280.003335490081</v>
      </c>
      <c r="HL67" s="235">
        <f t="shared" si="373"/>
        <v>38471.40335216753</v>
      </c>
      <c r="HM67" s="235">
        <f t="shared" si="373"/>
        <v>38663.760368928364</v>
      </c>
      <c r="HN67" s="235">
        <f t="shared" si="373"/>
        <v>38857.079170773002</v>
      </c>
      <c r="HO67" s="235">
        <f t="shared" si="373"/>
        <v>39051.364566626864</v>
      </c>
      <c r="HP67" s="235">
        <f t="shared" si="373"/>
        <v>39246.621389459993</v>
      </c>
      <c r="HQ67" s="235">
        <f t="shared" si="373"/>
        <v>39442.854496407286</v>
      </c>
      <c r="HR67" s="235">
        <f t="shared" si="373"/>
        <v>39640.068768889316</v>
      </c>
      <c r="HS67" s="235">
        <f t="shared" si="373"/>
        <v>39838.26911273376</v>
      </c>
      <c r="HT67" s="235">
        <f t="shared" si="373"/>
        <v>40037.460458297428</v>
      </c>
      <c r="HU67" s="235">
        <f t="shared" si="373"/>
        <v>40237.647760588909</v>
      </c>
      <c r="HV67" s="235">
        <f t="shared" si="373"/>
        <v>40438.835999391849</v>
      </c>
      <c r="HW67" s="235">
        <f t="shared" si="373"/>
        <v>40641.030179388807</v>
      </c>
      <c r="HX67" s="235">
        <f t="shared" si="373"/>
        <v>40844.235330285745</v>
      </c>
      <c r="HY67" s="235">
        <f t="shared" si="373"/>
        <v>41048.456506937167</v>
      </c>
      <c r="HZ67" s="235">
        <f t="shared" si="373"/>
        <v>41253.698789471848</v>
      </c>
      <c r="IA67" s="235">
        <f t="shared" si="373"/>
        <v>41459.967283419202</v>
      </c>
      <c r="IB67" s="235">
        <f t="shared" si="373"/>
        <v>41667.267119836295</v>
      </c>
      <c r="IC67" s="235">
        <f t="shared" si="373"/>
        <v>41875.60345543547</v>
      </c>
      <c r="ID67" s="235">
        <f t="shared" si="373"/>
        <v>42084.981472712643</v>
      </c>
      <c r="IE67" s="235">
        <f t="shared" si="373"/>
        <v>42295.406380076201</v>
      </c>
      <c r="IF67" s="235">
        <f t="shared" si="373"/>
        <v>42506.883411976582</v>
      </c>
      <c r="IG67" s="235">
        <f t="shared" si="373"/>
        <v>42719.417829036458</v>
      </c>
      <c r="IH67" s="235">
        <f t="shared" si="373"/>
        <v>42933.014918181638</v>
      </c>
      <c r="II67" s="235">
        <f t="shared" si="373"/>
        <v>43147.679992772544</v>
      </c>
      <c r="IJ67" s="235">
        <f t="shared" si="373"/>
        <v>43363.418392736399</v>
      </c>
      <c r="IK67" s="235">
        <f t="shared" si="373"/>
        <v>43580.235484700075</v>
      </c>
      <c r="IL67" s="235">
        <f t="shared" si="373"/>
        <v>43798.136662123572</v>
      </c>
      <c r="IM67" s="235">
        <f t="shared" si="373"/>
        <v>44017.127345434186</v>
      </c>
      <c r="IN67" s="235">
        <f t="shared" si="373"/>
        <v>44237.212982161349</v>
      </c>
      <c r="IO67" s="235">
        <f t="shared" si="373"/>
        <v>44458.399047072147</v>
      </c>
      <c r="IP67" s="235">
        <f t="shared" si="373"/>
        <v>44680.691042307502</v>
      </c>
      <c r="IQ67" s="235">
        <f t="shared" si="373"/>
        <v>44904.094497519036</v>
      </c>
      <c r="IR67" s="235">
        <f t="shared" si="373"/>
        <v>45128.614970006623</v>
      </c>
      <c r="IS67" s="235">
        <f t="shared" si="373"/>
        <v>45354.258044856651</v>
      </c>
      <c r="IT67" s="235">
        <f t="shared" si="373"/>
        <v>45581.02933508093</v>
      </c>
      <c r="IU67" s="235">
        <f t="shared" si="373"/>
        <v>45808.934481756332</v>
      </c>
      <c r="IV67" s="235">
        <f t="shared" si="373"/>
        <v>46037.979154165107</v>
      </c>
      <c r="IW67" s="235">
        <f t="shared" si="373"/>
        <v>46268.169049935925</v>
      </c>
    </row>
    <row r="68" spans="1:257" s="281" customFormat="1" ht="12.75" customHeight="1" x14ac:dyDescent="0.2">
      <c r="B68" s="1" t="s">
        <v>346</v>
      </c>
      <c r="C68" s="282">
        <f t="shared" ref="C68:AY68" si="374">C67/C69</f>
        <v>0.34093466356612412</v>
      </c>
      <c r="D68" s="282">
        <f t="shared" si="374"/>
        <v>0.34108818011257036</v>
      </c>
      <c r="E68" s="282">
        <f t="shared" si="374"/>
        <v>0.32020073402741372</v>
      </c>
      <c r="F68" s="282">
        <f t="shared" si="374"/>
        <v>0.23470680277177558</v>
      </c>
      <c r="G68" s="282">
        <f t="shared" si="374"/>
        <v>0.36735287699134356</v>
      </c>
      <c r="H68" s="282">
        <f t="shared" si="374"/>
        <v>0.36694902877172481</v>
      </c>
      <c r="I68" s="282">
        <f t="shared" si="374"/>
        <v>0.34996358339402767</v>
      </c>
      <c r="J68" s="282">
        <f t="shared" si="374"/>
        <v>0.25262467191601051</v>
      </c>
      <c r="K68" s="282">
        <f t="shared" si="374"/>
        <v>0.41065967671472253</v>
      </c>
      <c r="L68" s="282">
        <f t="shared" si="374"/>
        <v>0.42006109979633405</v>
      </c>
      <c r="M68" s="282">
        <f t="shared" si="374"/>
        <v>0.40004368083867214</v>
      </c>
      <c r="N68" s="282">
        <f t="shared" si="374"/>
        <v>0.26558647411060232</v>
      </c>
      <c r="O68" s="282">
        <f t="shared" si="374"/>
        <v>0.46562721474131824</v>
      </c>
      <c r="P68" s="282">
        <f t="shared" si="374"/>
        <v>0.47078381437464634</v>
      </c>
      <c r="Q68" s="282">
        <f t="shared" si="374"/>
        <v>0.44661154688714583</v>
      </c>
      <c r="R68" s="282">
        <f t="shared" si="374"/>
        <v>0.33286368439591407</v>
      </c>
      <c r="S68" s="282">
        <f t="shared" si="374"/>
        <v>0.53014773450201458</v>
      </c>
      <c r="T68" s="282">
        <f t="shared" si="374"/>
        <v>0.47645073139366662</v>
      </c>
      <c r="U68" s="282">
        <f t="shared" si="374"/>
        <v>0.49149763733967661</v>
      </c>
      <c r="V68" s="282">
        <f t="shared" si="374"/>
        <v>0.38767140843265413</v>
      </c>
      <c r="W68" s="282">
        <f t="shared" si="374"/>
        <v>0.58868845092123001</v>
      </c>
      <c r="X68" s="282">
        <f t="shared" si="374"/>
        <v>0.63793047274622872</v>
      </c>
      <c r="Y68" s="282">
        <f t="shared" si="374"/>
        <v>0.56992764396867879</v>
      </c>
      <c r="Z68" s="282">
        <f t="shared" si="374"/>
        <v>0.45771736614082087</v>
      </c>
      <c r="AA68" s="282">
        <f t="shared" si="374"/>
        <v>0.6920655954944509</v>
      </c>
      <c r="AB68" s="282">
        <f t="shared" si="374"/>
        <v>0.69902269339075696</v>
      </c>
      <c r="AC68" s="282">
        <f t="shared" si="374"/>
        <v>0.68842868065020102</v>
      </c>
      <c r="AD68" s="282">
        <f t="shared" si="374"/>
        <v>0.65881413455779592</v>
      </c>
      <c r="AE68" s="282">
        <f t="shared" si="374"/>
        <v>0.97117752779072097</v>
      </c>
      <c r="AF68" s="282">
        <f t="shared" si="374"/>
        <v>0.95364855422087635</v>
      </c>
      <c r="AG68" s="282">
        <f t="shared" si="374"/>
        <v>0.78398138916583582</v>
      </c>
      <c r="AH68" s="282">
        <f t="shared" si="374"/>
        <v>0.66567114650738346</v>
      </c>
      <c r="AI68" s="282">
        <f t="shared" si="374"/>
        <v>0.93891589774117812</v>
      </c>
      <c r="AJ68" s="282">
        <f t="shared" si="374"/>
        <v>0.99679307038714593</v>
      </c>
      <c r="AK68" s="282">
        <f t="shared" si="374"/>
        <v>0.84425520590779057</v>
      </c>
      <c r="AL68" s="282">
        <f t="shared" si="374"/>
        <v>0.69719595155135228</v>
      </c>
      <c r="AM68" s="282">
        <f t="shared" si="374"/>
        <v>1.1167173455408161</v>
      </c>
      <c r="AN68" s="282">
        <f t="shared" si="374"/>
        <v>1.0328133405056481</v>
      </c>
      <c r="AO68" s="282">
        <f t="shared" si="374"/>
        <v>0.97520436891557272</v>
      </c>
      <c r="AP68" s="282">
        <f t="shared" si="374"/>
        <v>0.81379875115160205</v>
      </c>
      <c r="AQ68" s="282">
        <f>AQ67/AQ69</f>
        <v>1.1729302739117053</v>
      </c>
      <c r="AR68" s="282">
        <f t="shared" si="374"/>
        <v>1.0579982891360138</v>
      </c>
      <c r="AS68" s="282">
        <f t="shared" si="374"/>
        <v>1.0674647258745578</v>
      </c>
      <c r="AT68" s="282">
        <f t="shared" si="374"/>
        <v>1.0009770870829295</v>
      </c>
      <c r="AU68" s="282">
        <f t="shared" si="374"/>
        <v>1.2552768377350592</v>
      </c>
      <c r="AV68" s="282">
        <f t="shared" si="374"/>
        <v>1.1835629921259843</v>
      </c>
      <c r="AW68" s="282">
        <f t="shared" si="374"/>
        <v>1.169074276833963</v>
      </c>
      <c r="AX68" s="282">
        <f t="shared" si="374"/>
        <v>0.93732153055396916</v>
      </c>
      <c r="AY68" s="282">
        <f t="shared" si="374"/>
        <v>1.2570793605276362</v>
      </c>
      <c r="AZ68" s="282">
        <f t="shared" ref="AZ68:BG68" si="375">AZ67/AZ69</f>
        <v>1.1531272465851905</v>
      </c>
      <c r="BA68" s="282">
        <f t="shared" si="375"/>
        <v>1.1976369495166488</v>
      </c>
      <c r="BB68" s="282">
        <f t="shared" si="375"/>
        <v>1.0312891113892366</v>
      </c>
      <c r="BC68" s="282">
        <f t="shared" si="375"/>
        <v>1.2926750795409858</v>
      </c>
      <c r="BD68" s="282">
        <f t="shared" si="375"/>
        <v>1.2306866952789699</v>
      </c>
      <c r="BE68" s="282">
        <f t="shared" si="375"/>
        <v>1.2263135228251507</v>
      </c>
      <c r="BF68" s="282">
        <f t="shared" si="375"/>
        <v>1.0296232384239288</v>
      </c>
      <c r="BG68" s="282">
        <f t="shared" si="375"/>
        <v>1.539654488404804</v>
      </c>
      <c r="BH68" s="282">
        <f t="shared" ref="BH68:BN68" si="376">BH67/BH69</f>
        <v>1.2098658900514148</v>
      </c>
      <c r="BI68" s="282">
        <f>BI67/BI69</f>
        <v>1.1525448131883955</v>
      </c>
      <c r="BJ68" s="282">
        <f t="shared" si="376"/>
        <v>2.0597489963470648</v>
      </c>
      <c r="BK68" s="282">
        <f t="shared" si="376"/>
        <v>1.4090597859382319</v>
      </c>
      <c r="BL68" s="282">
        <f t="shared" si="376"/>
        <v>1.2940461725394898</v>
      </c>
      <c r="BM68" s="282">
        <f t="shared" si="376"/>
        <v>1.2231645434867464</v>
      </c>
      <c r="BN68" s="282">
        <f t="shared" si="376"/>
        <v>1.0076233500388225</v>
      </c>
      <c r="BO68" s="282">
        <f t="shared" ref="BO68:BR68" si="377">BO67/BO69</f>
        <v>1.2606688120889884</v>
      </c>
      <c r="BP68" s="282">
        <f t="shared" si="377"/>
        <v>1.5019011406844107</v>
      </c>
      <c r="BQ68" s="282">
        <f t="shared" si="377"/>
        <v>1.3824101068999028</v>
      </c>
      <c r="BR68" s="282">
        <f t="shared" si="377"/>
        <v>1.2703882311977714</v>
      </c>
      <c r="BS68" s="282">
        <f t="shared" ref="BS68:BV68" si="378">BS67/BS69</f>
        <v>1.6916547813684908</v>
      </c>
      <c r="BT68" s="282">
        <f t="shared" si="378"/>
        <v>1.6526337763551597</v>
      </c>
      <c r="BU68" s="282">
        <f t="shared" si="378"/>
        <v>1.5322530095330875</v>
      </c>
      <c r="BV68" s="282">
        <f t="shared" si="378"/>
        <v>1.4416224340686108</v>
      </c>
      <c r="BW68" s="282">
        <f t="shared" ref="BW68:BZ68" si="379">BW67/BW69</f>
        <v>1.7241436225732378</v>
      </c>
      <c r="BX68" s="282">
        <f t="shared" si="379"/>
        <v>1.7725984273884907</v>
      </c>
      <c r="BY68" s="282">
        <f t="shared" si="379"/>
        <v>1.6781850727158862</v>
      </c>
      <c r="BZ68" s="282">
        <f t="shared" si="379"/>
        <v>1.585459146893049</v>
      </c>
      <c r="CA68" s="282"/>
      <c r="CB68" s="282"/>
      <c r="CC68" s="282"/>
      <c r="CD68" s="282"/>
      <c r="CE68" s="282"/>
      <c r="CF68" s="282"/>
      <c r="CG68" s="282"/>
      <c r="CH68" s="282"/>
      <c r="CI68" s="282">
        <f t="shared" ref="CI68:CJ68" si="380">+CI67/CI69</f>
        <v>1.6138950913283794</v>
      </c>
      <c r="CJ68" s="282">
        <f t="shared" si="380"/>
        <v>1.6076875022966963</v>
      </c>
      <c r="CK68" s="282">
        <f t="shared" ref="CK68:CL68" si="381">+CK67/CK69</f>
        <v>2.1205455345358559</v>
      </c>
      <c r="CL68" s="282">
        <f t="shared" si="381"/>
        <v>1.9629221732745963</v>
      </c>
      <c r="CM68" s="282">
        <f t="shared" ref="CM68:CN68" si="382">+CM67/CM69</f>
        <v>1.7322513709796945</v>
      </c>
      <c r="CN68" s="282">
        <f t="shared" si="382"/>
        <v>1.4797339971022032</v>
      </c>
      <c r="CO68" s="282">
        <f t="shared" ref="CO68:CQ68" si="383">+CO67/CO69</f>
        <v>2.1154350350200382</v>
      </c>
      <c r="CP68" s="282">
        <f t="shared" si="383"/>
        <v>1.896144767899292</v>
      </c>
      <c r="CQ68" s="282">
        <f t="shared" si="383"/>
        <v>1.9056533133657807</v>
      </c>
      <c r="CR68" s="282">
        <f t="shared" ref="CR68" si="384">+CR67/CR69</f>
        <v>1.3862314762708685</v>
      </c>
      <c r="CS68" s="282">
        <f>+CS67/CS69</f>
        <v>1.8583739228175347</v>
      </c>
      <c r="CT68" s="282">
        <f>+CT67/CT69</f>
        <v>1.5357811914574746</v>
      </c>
      <c r="CU68" s="282">
        <f>+CU67/CU69</f>
        <v>2.3384592359785987</v>
      </c>
      <c r="CV68" s="282">
        <f t="shared" ref="CV68" si="385">+CV67/CV69</f>
        <v>2.5280730648300644</v>
      </c>
      <c r="CW68" s="282">
        <f>+CW67/CW69</f>
        <v>2.4202773935474222</v>
      </c>
      <c r="CX68" s="282">
        <f>+CX67/CX69</f>
        <v>1.8059925093632958</v>
      </c>
      <c r="CY68" s="282">
        <f>+CY67/CY69</f>
        <v>2.186011625726608</v>
      </c>
      <c r="CZ68" s="282">
        <f t="shared" ref="CZ68:DF68" si="386">+CZ67/CZ69</f>
        <v>2.5908017541886879</v>
      </c>
      <c r="DA68" s="282">
        <f t="shared" si="386"/>
        <v>1.9073385187690226</v>
      </c>
      <c r="DB68" s="282">
        <f t="shared" si="386"/>
        <v>3.0021490249126361</v>
      </c>
      <c r="DC68" s="282">
        <f t="shared" si="386"/>
        <v>2.9946075226393116</v>
      </c>
      <c r="DD68" s="282">
        <f t="shared" si="386"/>
        <v>3.0724933679029047</v>
      </c>
      <c r="DE68" s="282">
        <f t="shared" si="386"/>
        <v>3.0634571074287003</v>
      </c>
      <c r="DF68" s="282">
        <f t="shared" si="386"/>
        <v>3.0963612835832119</v>
      </c>
      <c r="DH68" s="282">
        <f t="shared" ref="DH68:EI68" si="387">DH67/DH69</f>
        <v>0.40603422395676969</v>
      </c>
      <c r="DI68" s="282">
        <f t="shared" si="387"/>
        <v>0.47156254726970198</v>
      </c>
      <c r="DJ68" s="282">
        <f t="shared" si="387"/>
        <v>0.4759850708145893</v>
      </c>
      <c r="DK68" s="282">
        <f t="shared" si="387"/>
        <v>0.52940839182345845</v>
      </c>
      <c r="DL68" s="282">
        <f t="shared" si="387"/>
        <v>0.58218178406300991</v>
      </c>
      <c r="DM68" s="282">
        <f t="shared" si="387"/>
        <v>0.65351385866378242</v>
      </c>
      <c r="DN68" s="282">
        <f t="shared" si="387"/>
        <v>0.78282591359009235</v>
      </c>
      <c r="DO68" s="282">
        <f t="shared" si="387"/>
        <v>0.94049871516212935</v>
      </c>
      <c r="DP68" s="282">
        <f t="shared" si="387"/>
        <v>1.0760191396537975</v>
      </c>
      <c r="DQ68" s="282">
        <f t="shared" si="387"/>
        <v>1.2496546835337472</v>
      </c>
      <c r="DR68" s="282">
        <f t="shared" si="387"/>
        <v>1.3574032715796827</v>
      </c>
      <c r="DS68" s="282">
        <f t="shared" si="387"/>
        <v>1.5704391300920373</v>
      </c>
      <c r="DT68" s="282">
        <f t="shared" si="387"/>
        <v>1.8504142196944589</v>
      </c>
      <c r="DU68" s="282">
        <f t="shared" si="387"/>
        <v>2.5504287815058815</v>
      </c>
      <c r="DV68" s="282">
        <f t="shared" si="387"/>
        <v>2.9038000008760192</v>
      </c>
      <c r="DW68" s="282">
        <f t="shared" si="387"/>
        <v>3.1288886016701989</v>
      </c>
      <c r="DX68" s="282">
        <f t="shared" si="387"/>
        <v>3.2802394235223793</v>
      </c>
      <c r="DY68" s="282">
        <f t="shared" si="387"/>
        <v>3.7598784194528876</v>
      </c>
      <c r="DZ68" s="282">
        <f>DZ67/DZ69</f>
        <v>4.2069005657186507</v>
      </c>
      <c r="EA68" s="282">
        <f t="shared" si="387"/>
        <v>4.5490126939351194</v>
      </c>
      <c r="EB68" s="282">
        <f>EB67/EB69</f>
        <v>6.0130988325732666</v>
      </c>
      <c r="EC68" s="282">
        <f>EC67/EC69</f>
        <v>4.7116375332622535</v>
      </c>
      <c r="ED68" s="282">
        <f t="shared" si="387"/>
        <v>5.9586738877724805</v>
      </c>
      <c r="EE68" s="282">
        <f t="shared" si="387"/>
        <v>4.8147818185057814</v>
      </c>
      <c r="EF68" s="282">
        <f t="shared" si="387"/>
        <v>5.3269204693611476</v>
      </c>
      <c r="EG68" s="282">
        <f t="shared" si="387"/>
        <v>7.0068561740654616</v>
      </c>
      <c r="EH68" s="282">
        <f t="shared" si="387"/>
        <v>17.600624048710397</v>
      </c>
      <c r="EI68" s="282">
        <f t="shared" si="387"/>
        <v>16.817169311664507</v>
      </c>
      <c r="EJ68" s="282">
        <f t="shared" ref="EJ68:EQ68" si="388">EJ67/EJ69</f>
        <v>12.157043701373095</v>
      </c>
      <c r="EK68" s="282">
        <f t="shared" si="388"/>
        <v>12.203688874237448</v>
      </c>
      <c r="EL68" s="282">
        <f t="shared" si="388"/>
        <v>12.328673124452514</v>
      </c>
      <c r="EM68" s="282">
        <f t="shared" si="388"/>
        <v>14.471289578055071</v>
      </c>
      <c r="EN68" s="282">
        <f t="shared" si="388"/>
        <v>9.0932904239793437</v>
      </c>
      <c r="EO68" s="282">
        <f t="shared" si="388"/>
        <v>11.141839870062569</v>
      </c>
      <c r="EP68" s="282">
        <f t="shared" si="388"/>
        <v>11.111644017713527</v>
      </c>
      <c r="EQ68" s="282">
        <f t="shared" si="388"/>
        <v>11.206088279622188</v>
      </c>
      <c r="ER68" s="282">
        <f t="shared" ref="ER68:EW68" si="389">ER67/ER69</f>
        <v>11.170574093334769</v>
      </c>
      <c r="ES68" s="282">
        <f t="shared" si="389"/>
        <v>10.480844030756833</v>
      </c>
      <c r="ET68" s="282">
        <f t="shared" si="389"/>
        <v>10.490544312846847</v>
      </c>
      <c r="EU68" s="282">
        <f t="shared" si="389"/>
        <v>10.526727637271708</v>
      </c>
      <c r="EV68" s="282">
        <f t="shared" si="389"/>
        <v>10.377111018862198</v>
      </c>
      <c r="EW68" s="282">
        <f t="shared" si="389"/>
        <v>10.349468738471401</v>
      </c>
    </row>
    <row r="69" spans="1:257" ht="12.75" customHeight="1" x14ac:dyDescent="0.2">
      <c r="B69" t="s">
        <v>351</v>
      </c>
      <c r="C69" s="235">
        <f>1333.1*2</f>
        <v>2666.2</v>
      </c>
      <c r="D69" s="235">
        <f>1332.5*2</f>
        <v>2665</v>
      </c>
      <c r="E69" s="235">
        <f>1335.1*2</f>
        <v>2670.2</v>
      </c>
      <c r="F69" s="235">
        <f>1342.1*2</f>
        <v>2684.2</v>
      </c>
      <c r="G69" s="235">
        <f>1374.7*2</f>
        <v>2749.4</v>
      </c>
      <c r="H69" s="235">
        <f>1369.4*2</f>
        <v>2738.8</v>
      </c>
      <c r="I69" s="235">
        <f>1373*2</f>
        <v>2746</v>
      </c>
      <c r="J69" s="235">
        <f>1371.6*2</f>
        <v>2743.2</v>
      </c>
      <c r="K69" s="235">
        <f>1373.4*2</f>
        <v>2746.8</v>
      </c>
      <c r="L69" s="235">
        <f>1374.8*2</f>
        <v>2749.6</v>
      </c>
      <c r="M69" s="235">
        <f>1373.6*2</f>
        <v>2747.2</v>
      </c>
      <c r="N69" s="235">
        <f>1419.5*2</f>
        <v>2839</v>
      </c>
      <c r="O69" s="235">
        <f>1411*2</f>
        <v>2822</v>
      </c>
      <c r="P69" s="235">
        <f>1413.6*2</f>
        <v>2827.2</v>
      </c>
      <c r="Q69" s="235">
        <f>1415.1*2</f>
        <v>2830.2</v>
      </c>
      <c r="R69" s="235">
        <f>1419.5*2</f>
        <v>2839</v>
      </c>
      <c r="S69" s="235">
        <f>1414.7*2</f>
        <v>2829.4</v>
      </c>
      <c r="T69" s="235">
        <v>3110.5</v>
      </c>
      <c r="U69" s="235">
        <v>3110.9</v>
      </c>
      <c r="V69" s="235">
        <v>3121.2</v>
      </c>
      <c r="W69" s="235">
        <v>3115.4</v>
      </c>
      <c r="X69" s="235">
        <v>3069.3</v>
      </c>
      <c r="Y69" s="235">
        <v>3026.7</v>
      </c>
      <c r="Z69" s="235">
        <f>3023.7</f>
        <v>3023.7</v>
      </c>
      <c r="AA69" s="235">
        <v>3018.5</v>
      </c>
      <c r="AB69" s="235">
        <v>3018.5</v>
      </c>
      <c r="AC69" s="235">
        <v>3008.3</v>
      </c>
      <c r="AD69" s="235">
        <v>3005.4</v>
      </c>
      <c r="AE69" s="243">
        <v>3004.6</v>
      </c>
      <c r="AF69" s="243">
        <v>3005.3</v>
      </c>
      <c r="AG69" s="243">
        <v>3009</v>
      </c>
      <c r="AH69" s="243">
        <v>3013.5</v>
      </c>
      <c r="AI69" s="243">
        <v>3023.7</v>
      </c>
      <c r="AJ69" s="243">
        <v>3024.7</v>
      </c>
      <c r="AK69" s="243">
        <v>3006.2</v>
      </c>
      <c r="AL69" s="243">
        <v>3013.5</v>
      </c>
      <c r="AM69" s="243">
        <v>2992.7</v>
      </c>
      <c r="AN69" s="243">
        <v>2974.4</v>
      </c>
      <c r="AO69" s="243">
        <v>2948.1</v>
      </c>
      <c r="AP69" s="243">
        <v>2930.7</v>
      </c>
      <c r="AQ69" s="243">
        <v>2924.3</v>
      </c>
      <c r="AR69" s="243">
        <v>2922.5</v>
      </c>
      <c r="AS69" s="243">
        <v>2912.9</v>
      </c>
      <c r="AT69" s="243">
        <v>2889.2</v>
      </c>
      <c r="AU69" s="243">
        <v>2866.3</v>
      </c>
      <c r="AV69" s="243">
        <v>2844.8</v>
      </c>
      <c r="AW69" s="243">
        <v>2831.3</v>
      </c>
      <c r="AX69" s="243">
        <v>2801.6</v>
      </c>
      <c r="AY69" s="243">
        <v>2789.8</v>
      </c>
      <c r="AZ69" s="243">
        <v>2782</v>
      </c>
      <c r="BA69" s="243">
        <v>2793</v>
      </c>
      <c r="BB69" s="243">
        <v>2796.5</v>
      </c>
      <c r="BC69" s="243">
        <v>2797.3</v>
      </c>
      <c r="BD69" s="243">
        <v>2796</v>
      </c>
      <c r="BE69" s="243">
        <v>2786.4</v>
      </c>
      <c r="BF69" s="243">
        <v>2781.6</v>
      </c>
      <c r="BG69" s="243">
        <v>2772.7</v>
      </c>
      <c r="BH69" s="243">
        <v>2781.3</v>
      </c>
      <c r="BI69" s="243">
        <v>2778.2</v>
      </c>
      <c r="BJ69" s="243">
        <v>2764.9</v>
      </c>
      <c r="BK69" s="243">
        <v>2774.9</v>
      </c>
      <c r="BL69" s="243">
        <v>2798.2</v>
      </c>
      <c r="BM69" s="243">
        <v>2818.1</v>
      </c>
      <c r="BN69" s="243">
        <v>2833.4</v>
      </c>
      <c r="BO69" s="243">
        <v>2858.8</v>
      </c>
      <c r="BP69" s="243">
        <v>2893</v>
      </c>
      <c r="BQ69" s="243">
        <v>2881.2</v>
      </c>
      <c r="BR69" s="243">
        <v>2872</v>
      </c>
      <c r="BS69" s="243">
        <v>2874.7</v>
      </c>
      <c r="BT69" s="243">
        <v>2874.2</v>
      </c>
      <c r="BU69" s="243">
        <f>+BT69</f>
        <v>2874.2</v>
      </c>
      <c r="BV69" s="243">
        <f>+BU69</f>
        <v>2874.2</v>
      </c>
      <c r="BW69" s="243">
        <f t="shared" ref="BW69:BZ69" si="390">+BV69</f>
        <v>2874.2</v>
      </c>
      <c r="BX69" s="243">
        <f t="shared" si="390"/>
        <v>2874.2</v>
      </c>
      <c r="BY69" s="243">
        <f t="shared" si="390"/>
        <v>2874.2</v>
      </c>
      <c r="BZ69" s="243">
        <f t="shared" si="390"/>
        <v>2874.2</v>
      </c>
      <c r="CA69" s="243"/>
      <c r="CB69" s="243"/>
      <c r="CC69" s="243"/>
      <c r="CD69" s="243"/>
      <c r="CE69" s="243"/>
      <c r="CF69" s="243"/>
      <c r="CG69" s="243"/>
      <c r="CH69" s="243"/>
      <c r="CI69" s="243">
        <v>2731.9</v>
      </c>
      <c r="CJ69" s="243">
        <v>2721.3</v>
      </c>
      <c r="CK69" s="243">
        <v>2727.6</v>
      </c>
      <c r="CL69" s="243">
        <v>2724</v>
      </c>
      <c r="CM69" s="243">
        <v>2698.8</v>
      </c>
      <c r="CN69" s="243">
        <v>2691.7</v>
      </c>
      <c r="CO69" s="243">
        <v>2669.9</v>
      </c>
      <c r="CP69" s="243">
        <v>2669.1</v>
      </c>
      <c r="CQ69" s="243">
        <v>2671</v>
      </c>
      <c r="CR69" s="243">
        <v>2665.5</v>
      </c>
      <c r="CS69" s="243">
        <v>2669</v>
      </c>
      <c r="CT69" s="243">
        <v>2669</v>
      </c>
      <c r="CU69" s="243">
        <v>2672.7</v>
      </c>
      <c r="CV69" s="243">
        <v>2671.6</v>
      </c>
      <c r="CW69" s="243">
        <v>2674.9</v>
      </c>
      <c r="CX69" s="243">
        <v>2670</v>
      </c>
      <c r="CY69" s="243">
        <v>2666.5</v>
      </c>
      <c r="CZ69" s="243">
        <v>2667.9</v>
      </c>
      <c r="DA69" s="243">
        <v>2661.3</v>
      </c>
      <c r="DB69" s="243">
        <f t="shared" ref="DB69:DF69" si="391">+DA69</f>
        <v>2661.3</v>
      </c>
      <c r="DC69" s="243">
        <f t="shared" si="391"/>
        <v>2661.3</v>
      </c>
      <c r="DD69" s="243">
        <f t="shared" si="391"/>
        <v>2661.3</v>
      </c>
      <c r="DE69" s="243">
        <f t="shared" si="391"/>
        <v>2661.3</v>
      </c>
      <c r="DF69" s="243">
        <f t="shared" si="391"/>
        <v>2661.3</v>
      </c>
      <c r="DH69" s="276">
        <f>666.2*4</f>
        <v>2664.8</v>
      </c>
      <c r="DI69" s="276">
        <f>661.1*4</f>
        <v>2644.4</v>
      </c>
      <c r="DJ69" s="276">
        <f>767.356*4</f>
        <v>3069.424</v>
      </c>
      <c r="DK69" s="276">
        <f>767.366*4</f>
        <v>3069.4639999999999</v>
      </c>
      <c r="DL69" s="276">
        <f>767.372*4</f>
        <v>3069.4879999999998</v>
      </c>
      <c r="DM69" s="276">
        <f>767.39*4</f>
        <v>3069.56</v>
      </c>
      <c r="DN69" s="243">
        <f>767.412*4</f>
        <v>3069.6480000000001</v>
      </c>
      <c r="DO69" s="243">
        <f>1534.824*2</f>
        <v>3069.6480000000001</v>
      </c>
      <c r="DP69" s="243">
        <f>1534.824*2</f>
        <v>3069.6480000000001</v>
      </c>
      <c r="DQ69" s="243">
        <f>1534.824*2</f>
        <v>3069.6480000000001</v>
      </c>
      <c r="DR69" s="243">
        <f>1534.916*2</f>
        <v>3069.8319999999999</v>
      </c>
      <c r="DS69" s="243">
        <f>1534.921*2</f>
        <v>3069.8420000000001</v>
      </c>
      <c r="DT69" s="243">
        <v>3119.8420000000001</v>
      </c>
      <c r="DU69" s="243">
        <f>3119.842-151.547</f>
        <v>2968.2950000000001</v>
      </c>
      <c r="DV69" s="235">
        <f>3119.842-151.869</f>
        <v>2967.973</v>
      </c>
      <c r="DW69" s="235">
        <f>3119.842-148.819</f>
        <v>2971.0230000000001</v>
      </c>
      <c r="DX69" s="235">
        <f>3119.842-145.364</f>
        <v>2974.4780000000001</v>
      </c>
      <c r="DY69" s="276">
        <v>2961</v>
      </c>
      <c r="DZ69" s="276">
        <f>AVERAGE(AQ69:AT69)</f>
        <v>2912.2250000000004</v>
      </c>
      <c r="EA69" s="243">
        <f>AVERAGE(AU69:AX69)</f>
        <v>2836.0000000000005</v>
      </c>
      <c r="EB69" s="243">
        <f>AVERAGE(AY69:BB69)</f>
        <v>2790.3249999999998</v>
      </c>
      <c r="EC69" s="243">
        <f>AVERAGE(BC69:BF69)</f>
        <v>2790.3250000000003</v>
      </c>
      <c r="ED69" s="243">
        <f>AVERAGE(BG69:BJ69)</f>
        <v>2774.2750000000001</v>
      </c>
      <c r="EE69" s="243">
        <f>AVERAGE(BK69:BN69)</f>
        <v>2806.15</v>
      </c>
      <c r="EF69" s="243">
        <f>AVERAGE(BO69:BR69)</f>
        <v>2876.25</v>
      </c>
      <c r="EG69" s="243">
        <f t="shared" ref="EG69:EH69" si="392">EF69</f>
        <v>2876.25</v>
      </c>
      <c r="EH69" s="243">
        <f t="shared" si="392"/>
        <v>2876.25</v>
      </c>
      <c r="EI69" s="243">
        <f>EH69</f>
        <v>2876.25</v>
      </c>
      <c r="EJ69" s="243">
        <f t="shared" ref="EJ69:EM69" si="393">EI69</f>
        <v>2876.25</v>
      </c>
      <c r="EK69" s="243">
        <f t="shared" si="393"/>
        <v>2876.25</v>
      </c>
      <c r="EL69" s="243">
        <f t="shared" si="393"/>
        <v>2876.25</v>
      </c>
      <c r="EM69" s="243">
        <f t="shared" si="393"/>
        <v>2876.25</v>
      </c>
      <c r="EN69" s="243">
        <f>AVERAGE(CU69:CX69)</f>
        <v>2672.2999999999997</v>
      </c>
      <c r="EO69" s="243">
        <f>AVERAGE(CY69:DB69)</f>
        <v>2664.25</v>
      </c>
      <c r="EP69" s="243">
        <f>AVERAGE(DC69:DF69)</f>
        <v>2661.3</v>
      </c>
      <c r="EQ69" s="243">
        <f>+EP69</f>
        <v>2661.3</v>
      </c>
      <c r="ER69" s="243">
        <f t="shared" ref="ER69:EW69" si="394">+EQ69</f>
        <v>2661.3</v>
      </c>
      <c r="ES69" s="243">
        <f t="shared" si="394"/>
        <v>2661.3</v>
      </c>
      <c r="ET69" s="243">
        <f t="shared" si="394"/>
        <v>2661.3</v>
      </c>
      <c r="EU69" s="243">
        <f t="shared" si="394"/>
        <v>2661.3</v>
      </c>
      <c r="EV69" s="243">
        <f t="shared" si="394"/>
        <v>2661.3</v>
      </c>
      <c r="EW69" s="243">
        <f t="shared" si="394"/>
        <v>2661.3</v>
      </c>
      <c r="EZ69" t="s">
        <v>1446</v>
      </c>
      <c r="FA69" s="81">
        <v>5.0000000000000001E-3</v>
      </c>
    </row>
    <row r="70" spans="1:257" s="254" customFormat="1" ht="12.75" customHeight="1" x14ac:dyDescent="0.2">
      <c r="B70" t="s">
        <v>350</v>
      </c>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283"/>
      <c r="AJ70" s="283"/>
      <c r="AK70" s="283"/>
      <c r="AL70" s="283"/>
      <c r="AM70" s="283"/>
      <c r="AN70" s="283"/>
      <c r="AO70" s="283"/>
      <c r="AP70" s="283"/>
      <c r="AQ70" s="283"/>
      <c r="AR70" s="283"/>
      <c r="AS70" s="283"/>
      <c r="AT70" s="283"/>
      <c r="AU70" s="283"/>
      <c r="AV70" s="283"/>
      <c r="AW70" s="283"/>
      <c r="AX70" s="283"/>
      <c r="AY70" s="76"/>
      <c r="AZ70" s="76">
        <v>1.1200000000000001</v>
      </c>
      <c r="BA70" s="76">
        <v>1.1100000000000001</v>
      </c>
      <c r="BB70" s="76">
        <v>0.92</v>
      </c>
      <c r="BC70" s="76"/>
      <c r="BD70" s="76">
        <v>1.23</v>
      </c>
      <c r="BE70" s="76"/>
      <c r="BF70" s="283">
        <v>1.03</v>
      </c>
      <c r="BG70" s="283"/>
      <c r="BH70" s="283"/>
      <c r="BI70" s="283"/>
      <c r="BJ70" s="283"/>
      <c r="BK70" s="283"/>
      <c r="BL70" s="283"/>
      <c r="BM70" s="283"/>
      <c r="BN70" s="283"/>
      <c r="BO70" s="283"/>
      <c r="BP70" s="283"/>
      <c r="BQ70" s="283"/>
      <c r="BR70" s="283"/>
      <c r="BS70" s="283"/>
      <c r="BT70" s="283"/>
      <c r="BU70" s="283"/>
      <c r="BV70" s="283"/>
      <c r="BW70" s="283"/>
      <c r="BX70" s="283"/>
      <c r="BY70" s="283"/>
      <c r="BZ70" s="283"/>
      <c r="CA70" s="283"/>
      <c r="CB70" s="283"/>
      <c r="CC70" s="283"/>
      <c r="CD70" s="283"/>
      <c r="CE70" s="283"/>
      <c r="CF70" s="283"/>
      <c r="CG70" s="283"/>
      <c r="CH70" s="283"/>
      <c r="CI70" s="283"/>
      <c r="CJ70" s="283"/>
      <c r="CK70" s="283"/>
      <c r="CL70" s="283"/>
      <c r="CM70" s="283"/>
      <c r="CN70" s="283"/>
      <c r="CO70" s="283"/>
      <c r="CP70" s="283"/>
      <c r="CQ70" s="283"/>
      <c r="CR70" s="283"/>
      <c r="CS70" s="283"/>
      <c r="CT70" s="283"/>
      <c r="CU70" s="283"/>
      <c r="CV70" s="283"/>
      <c r="CW70" s="283"/>
      <c r="CX70" s="283"/>
      <c r="CY70" s="283"/>
      <c r="CZ70" s="283"/>
      <c r="DA70" s="283"/>
      <c r="DB70" s="283"/>
      <c r="DC70" s="283"/>
      <c r="DD70" s="283"/>
      <c r="DE70" s="283"/>
      <c r="DF70" s="283"/>
      <c r="DH70" s="284"/>
      <c r="DI70" s="284"/>
      <c r="DJ70" s="284"/>
      <c r="DK70" s="284"/>
      <c r="DL70" s="284"/>
      <c r="DM70" s="284"/>
      <c r="DN70" s="284"/>
      <c r="DO70" s="284"/>
      <c r="DP70" s="284"/>
      <c r="DQ70" s="284"/>
      <c r="DR70" s="284"/>
      <c r="DS70" s="284"/>
      <c r="DT70" s="284"/>
      <c r="DU70" s="283">
        <v>2.2200000000000002</v>
      </c>
      <c r="DV70" s="283">
        <v>2.65</v>
      </c>
      <c r="DW70" s="283">
        <v>3.1</v>
      </c>
      <c r="DX70" s="283">
        <f>(DX67+356-225)/DX69</f>
        <v>3.3242807645576802</v>
      </c>
      <c r="DY70" s="283">
        <v>3.68</v>
      </c>
      <c r="DZ70" s="283">
        <v>4.05</v>
      </c>
      <c r="EA70" s="283">
        <v>4.51</v>
      </c>
      <c r="EB70" s="283">
        <v>4.49</v>
      </c>
      <c r="EC70" s="283">
        <v>4.75</v>
      </c>
      <c r="ED70" s="283">
        <v>5.36</v>
      </c>
      <c r="EE70" s="283">
        <v>5.81</v>
      </c>
      <c r="EF70" s="283">
        <v>6.25</v>
      </c>
      <c r="EG70" s="283">
        <v>6.68</v>
      </c>
      <c r="EH70" s="283">
        <v>7.28</v>
      </c>
      <c r="EI70" s="284" t="s">
        <v>1319</v>
      </c>
      <c r="EJ70" s="284"/>
      <c r="EK70" s="284"/>
      <c r="EL70" s="284"/>
      <c r="EM70" s="284"/>
      <c r="EX70" s="285"/>
      <c r="EZ70" t="s">
        <v>1244</v>
      </c>
      <c r="FA70" s="81">
        <v>5.0000000000000001E-3</v>
      </c>
      <c r="FD70" s="184"/>
      <c r="FE70" s="285"/>
      <c r="FF70" s="184"/>
      <c r="FG70" s="184"/>
      <c r="FH70" s="184"/>
      <c r="FI70"/>
      <c r="FJ70"/>
    </row>
    <row r="71" spans="1:257" s="281" customFormat="1" ht="12.75" customHeight="1" x14ac:dyDescent="0.2">
      <c r="B71" s="1"/>
      <c r="C71" s="286"/>
      <c r="D71" s="286"/>
      <c r="E71" s="286"/>
      <c r="F71" s="286"/>
      <c r="G71" s="286"/>
      <c r="H71" s="286"/>
      <c r="I71" s="286"/>
      <c r="J71" s="286"/>
      <c r="K71" s="286"/>
      <c r="L71" s="286"/>
      <c r="M71" s="166"/>
      <c r="N71" s="166"/>
      <c r="O71" s="166"/>
      <c r="P71" s="166"/>
      <c r="Q71" s="166"/>
      <c r="R71" s="166"/>
      <c r="S71" s="166"/>
      <c r="T71" s="166"/>
      <c r="U71" s="166"/>
      <c r="V71" s="166"/>
      <c r="W71" s="166"/>
      <c r="X71" s="166"/>
      <c r="Y71" s="166"/>
      <c r="Z71" s="166"/>
      <c r="AA71" s="76"/>
      <c r="AB71" s="76"/>
      <c r="AC71" s="76"/>
      <c r="AD71" s="76"/>
      <c r="AE71" s="76"/>
      <c r="AF71" s="76"/>
      <c r="AG71" s="76"/>
      <c r="AH71" s="76"/>
      <c r="AI71" s="287"/>
      <c r="AJ71" s="287"/>
      <c r="AK71" s="287"/>
      <c r="AL71" s="287"/>
      <c r="AM71" s="287"/>
      <c r="AN71" s="287"/>
      <c r="AO71" s="287"/>
      <c r="AP71" s="287"/>
      <c r="AQ71" s="287"/>
      <c r="AR71" s="287"/>
      <c r="AS71" s="287"/>
      <c r="AT71" s="287"/>
      <c r="AU71" s="287"/>
      <c r="AV71" s="287"/>
      <c r="AW71" s="287"/>
      <c r="AX71" s="287"/>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c r="CS71" s="166"/>
      <c r="CT71" s="166"/>
      <c r="CU71" s="166"/>
      <c r="CV71" s="166"/>
      <c r="CW71" s="166"/>
      <c r="CX71" s="166"/>
      <c r="CY71" s="166"/>
      <c r="CZ71" s="166"/>
      <c r="DA71" s="166"/>
      <c r="DB71" s="166"/>
      <c r="DC71" s="166"/>
      <c r="DD71" s="166"/>
      <c r="DE71" s="166"/>
      <c r="DF71" s="166"/>
      <c r="DH71" s="287"/>
      <c r="DI71" s="287"/>
      <c r="DJ71" s="287"/>
      <c r="DK71" s="287"/>
      <c r="DL71" s="287"/>
      <c r="DM71" s="287"/>
      <c r="DN71" s="287"/>
      <c r="DO71" s="287"/>
      <c r="DP71" s="287"/>
      <c r="DQ71" s="287"/>
      <c r="DR71" s="287"/>
      <c r="DS71" s="287"/>
      <c r="DT71" s="287"/>
      <c r="DU71" s="282"/>
      <c r="DV71" s="287"/>
      <c r="DW71" s="287"/>
      <c r="DX71" s="287"/>
      <c r="DY71" s="287"/>
      <c r="DZ71" s="287"/>
      <c r="EA71" s="282"/>
      <c r="EB71" s="282"/>
      <c r="EC71" s="282"/>
      <c r="ED71" s="282"/>
      <c r="EE71" s="282"/>
      <c r="EF71" s="287"/>
      <c r="EG71" s="287"/>
      <c r="EH71" s="287"/>
      <c r="EI71" s="287"/>
      <c r="EJ71" s="287"/>
      <c r="EK71" s="287"/>
      <c r="EL71" s="287"/>
      <c r="EM71" s="287"/>
      <c r="EZ71" s="1" t="s">
        <v>1245</v>
      </c>
      <c r="FA71" s="223">
        <f>+FA72+(FA73*FA74)</f>
        <v>6.5500000000000003E-2</v>
      </c>
      <c r="FD71"/>
      <c r="FE71" s="254"/>
      <c r="FF71"/>
      <c r="FG71"/>
      <c r="FH71"/>
      <c r="FI71" s="1"/>
      <c r="FJ71" s="1"/>
    </row>
    <row r="72" spans="1:257" s="279" customFormat="1" ht="12.75" customHeight="1" x14ac:dyDescent="0.2">
      <c r="A72" s="1"/>
      <c r="B72" s="1" t="s">
        <v>348</v>
      </c>
      <c r="C72" s="282">
        <f>PV(11%,4,0,-EG68)*14</f>
        <v>64.618864705304702</v>
      </c>
      <c r="D72" s="282"/>
      <c r="E72" s="282"/>
      <c r="F72" s="282"/>
      <c r="G72" s="282"/>
      <c r="H72" s="288">
        <f t="shared" ref="H72:BB72" si="395">H56/D56-1</f>
        <v>1.4917514917514918E-2</v>
      </c>
      <c r="I72" s="288">
        <f t="shared" si="395"/>
        <v>2.4704618689581181E-2</v>
      </c>
      <c r="J72" s="288">
        <f t="shared" si="395"/>
        <v>0.13090586145648309</v>
      </c>
      <c r="K72" s="288">
        <f t="shared" si="395"/>
        <v>0.14784713816358286</v>
      </c>
      <c r="L72" s="288">
        <f t="shared" si="395"/>
        <v>0.18519799412069871</v>
      </c>
      <c r="M72" s="288">
        <f t="shared" si="395"/>
        <v>0.17907058001397624</v>
      </c>
      <c r="N72" s="288">
        <f t="shared" si="395"/>
        <v>8.0100518297471446E-2</v>
      </c>
      <c r="O72" s="288">
        <f t="shared" si="395"/>
        <v>0.1025911419102139</v>
      </c>
      <c r="P72" s="288">
        <f>P56/L56-1</f>
        <v>9.54187335862271E-2</v>
      </c>
      <c r="Q72" s="288">
        <f t="shared" si="395"/>
        <v>6.7417395169654837E-2</v>
      </c>
      <c r="R72" s="288">
        <f t="shared" si="395"/>
        <v>3.3590228297222691E-2</v>
      </c>
      <c r="S72" s="288">
        <f t="shared" si="395"/>
        <v>6.4489684383112422E-2</v>
      </c>
      <c r="T72" s="288">
        <f>T56/P56-1</f>
        <v>0.11108151305274383</v>
      </c>
      <c r="U72" s="288">
        <f t="shared" si="395"/>
        <v>0.14353137146029993</v>
      </c>
      <c r="V72" s="288">
        <f t="shared" si="395"/>
        <v>0.18218908272369161</v>
      </c>
      <c r="W72" s="288">
        <f t="shared" si="395"/>
        <v>0.12219227313566927</v>
      </c>
      <c r="X72" s="288">
        <f t="shared" si="395"/>
        <v>8.7628865979381354E-2</v>
      </c>
      <c r="Y72" s="288">
        <f t="shared" si="395"/>
        <v>0.10208788540907987</v>
      </c>
      <c r="Z72" s="288">
        <f t="shared" si="395"/>
        <v>0.11900511722004037</v>
      </c>
      <c r="AA72" s="288">
        <f t="shared" si="395"/>
        <v>0.12341301612718736</v>
      </c>
      <c r="AB72" s="288">
        <f t="shared" si="395"/>
        <v>0.13876336382673871</v>
      </c>
      <c r="AC72" s="288">
        <f t="shared" si="395"/>
        <v>0.15144839740059468</v>
      </c>
      <c r="AD72" s="288">
        <f t="shared" si="395"/>
        <v>0.21120918855684345</v>
      </c>
      <c r="AE72" s="288">
        <f t="shared" si="395"/>
        <v>0.22011810221950734</v>
      </c>
      <c r="AF72" s="288">
        <f t="shared" si="395"/>
        <v>0.15098722415795596</v>
      </c>
      <c r="AG72" s="288">
        <f t="shared" si="395"/>
        <v>0.1051272240290797</v>
      </c>
      <c r="AH72" s="288">
        <f t="shared" si="395"/>
        <v>0.11967688120115905</v>
      </c>
      <c r="AI72" s="288">
        <f t="shared" si="395"/>
        <v>7.0761014686248291E-2</v>
      </c>
      <c r="AJ72" s="288">
        <f t="shared" si="395"/>
        <v>7.3158425832492435E-2</v>
      </c>
      <c r="AK72" s="288">
        <f t="shared" si="395"/>
        <v>6.552410629273786E-2</v>
      </c>
      <c r="AL72" s="288">
        <f t="shared" si="395"/>
        <v>-1.1135508155583396E-2</v>
      </c>
      <c r="AM72" s="288">
        <f t="shared" si="395"/>
        <v>1.2468827930174564E-2</v>
      </c>
      <c r="AN72" s="288">
        <f t="shared" si="395"/>
        <v>4.7092932142297483E-2</v>
      </c>
      <c r="AO72" s="288">
        <f t="shared" si="395"/>
        <v>7.9366368805848797E-2</v>
      </c>
      <c r="AP72" s="288">
        <f t="shared" si="395"/>
        <v>8.5011895321173592E-2</v>
      </c>
      <c r="AQ72" s="288">
        <f t="shared" si="395"/>
        <v>0.16125307881773399</v>
      </c>
      <c r="AR72" s="288">
        <f t="shared" si="395"/>
        <v>0.13312878844570819</v>
      </c>
      <c r="AS72" s="289">
        <f t="shared" si="395"/>
        <v>0.12944983818770228</v>
      </c>
      <c r="AT72" s="289">
        <f t="shared" si="395"/>
        <v>0.16627686010817122</v>
      </c>
      <c r="AU72" s="289">
        <f t="shared" si="395"/>
        <v>7.3374428315768458E-2</v>
      </c>
      <c r="AV72" s="289">
        <f t="shared" si="395"/>
        <v>8.6382248051776411E-2</v>
      </c>
      <c r="AW72" s="289">
        <f t="shared" si="395"/>
        <v>6.0904911041513854E-2</v>
      </c>
      <c r="AX72" s="289">
        <f>AX56/AT56-1</f>
        <v>-4.8568026571410683E-2</v>
      </c>
      <c r="AY72" s="289">
        <f t="shared" si="395"/>
        <v>-7.2125478572310775E-2</v>
      </c>
      <c r="AZ72" s="289">
        <f t="shared" si="395"/>
        <v>-7.3617021276595751E-2</v>
      </c>
      <c r="BA72" s="289">
        <f>BA56/AW56-1</f>
        <v>-5.27605049934049E-2</v>
      </c>
      <c r="BB72" s="289">
        <f t="shared" si="395"/>
        <v>9.017257278355939E-2</v>
      </c>
      <c r="BC72" s="289">
        <f>BC56/AY56-1</f>
        <v>4.026354319180081E-2</v>
      </c>
      <c r="BD72" s="289">
        <f>BD56/AZ56-1</f>
        <v>9.8431655620447867E-3</v>
      </c>
      <c r="BE72" s="289">
        <f t="shared" ref="BE72:BG72" si="396">BE56/BA56-1</f>
        <v>-6.5645514223194867E-3</v>
      </c>
      <c r="BF72" s="289">
        <f t="shared" si="396"/>
        <v>-5.4800314180412091E-2</v>
      </c>
      <c r="BG72" s="289">
        <f t="shared" si="396"/>
        <v>8.5407203633804718E-2</v>
      </c>
      <c r="BH72" s="289">
        <f>BH56/BD56-1</f>
        <v>7.8497628175969947E-2</v>
      </c>
      <c r="BI72" s="289">
        <f>BI56/BE56-1</f>
        <v>6.8281938325991165E-2</v>
      </c>
      <c r="BJ72" s="289">
        <f t="shared" ref="BJ72" si="397">BJ56/BF56-1</f>
        <v>0.20308105343901817</v>
      </c>
      <c r="BK72" s="289">
        <f>BK56/BG56-1</f>
        <v>-4.8744547919368109E-2</v>
      </c>
      <c r="BL72" s="289">
        <f>BL56/BH56-1</f>
        <v>1.7473037295896443E-3</v>
      </c>
      <c r="BM72" s="289">
        <f>BM56/BI56-1</f>
        <v>7.4101843174008142E-2</v>
      </c>
      <c r="BN72" s="289">
        <f>BN56/BJ56-1</f>
        <v>-5.4726103820200822E-2</v>
      </c>
      <c r="BO72" s="289">
        <f t="shared" ref="BO72:BR72" si="398">BO56/BK56-1</f>
        <v>8.7304046099510479E-2</v>
      </c>
      <c r="BP72" s="289">
        <f t="shared" si="398"/>
        <v>7.8611812823288885E-2</v>
      </c>
      <c r="BQ72" s="289">
        <f t="shared" si="398"/>
        <v>2.60601477517306E-2</v>
      </c>
      <c r="BR72" s="289">
        <f t="shared" si="398"/>
        <v>3.7097408802203358E-2</v>
      </c>
      <c r="BS72" s="289">
        <f>BS56/BO56-1</f>
        <v>3.2311374515614277E-2</v>
      </c>
      <c r="BT72" s="289">
        <f t="shared" ref="BT72" si="399">BT56/BP56-1</f>
        <v>8.7101990743322366E-2</v>
      </c>
      <c r="BU72" s="289">
        <f t="shared" ref="BU72" si="400">BU56/BQ56-1</f>
        <v>5.1865752026758916E-2</v>
      </c>
      <c r="BV72" s="289">
        <f t="shared" ref="BV72" si="401">BV56/BR56-1</f>
        <v>5.6840821635683936E-2</v>
      </c>
      <c r="BW72" s="289">
        <f t="shared" ref="BW72" si="402">BW56/BS56-1</f>
        <v>5.1250897046646315E-2</v>
      </c>
      <c r="BX72" s="289">
        <f t="shared" ref="BX72" si="403">BX56/BT56-1</f>
        <v>2.4744293408566209E-2</v>
      </c>
      <c r="BY72" s="289">
        <f t="shared" ref="BY72" si="404">BY56/BU56-1</f>
        <v>5.0303527136671189E-2</v>
      </c>
      <c r="BZ72" s="289">
        <f t="shared" ref="BZ72" si="405">BZ56/BV56-1</f>
        <v>4.84860847076658E-2</v>
      </c>
      <c r="CA72" s="289"/>
      <c r="CB72" s="289"/>
      <c r="CC72" s="289"/>
      <c r="CD72" s="289"/>
      <c r="CE72" s="289"/>
      <c r="CF72" s="289"/>
      <c r="CG72" s="289"/>
      <c r="CH72" s="289"/>
      <c r="CI72" s="289"/>
      <c r="CJ72" s="289"/>
      <c r="CK72" s="289"/>
      <c r="CL72" s="289"/>
      <c r="CM72" s="289">
        <f t="shared" ref="CM72:CO72" si="406">+CM56/CI56-1</f>
        <v>5.9973012144531879E-4</v>
      </c>
      <c r="CN72" s="289">
        <f t="shared" si="406"/>
        <v>-1.2770043206913106E-2</v>
      </c>
      <c r="CO72" s="289">
        <f t="shared" si="406"/>
        <v>1.867505405936698E-2</v>
      </c>
      <c r="CP72" s="289">
        <f t="shared" ref="CP72" si="407">+CP56/CL56-1</f>
        <v>1.7161910365793842E-2</v>
      </c>
      <c r="CQ72" s="289">
        <f t="shared" ref="CQ72:CU72" si="408">+CQ56/CM56-1</f>
        <v>3.3414914339943147E-2</v>
      </c>
      <c r="CR72" s="289">
        <f t="shared" si="408"/>
        <v>-0.10824742268041232</v>
      </c>
      <c r="CS72" s="289">
        <f t="shared" si="408"/>
        <v>1.7078348128135801E-2</v>
      </c>
      <c r="CT72" s="289">
        <f>+CT56/CP56-1</f>
        <v>8.3494022367913701E-2</v>
      </c>
      <c r="CU72" s="289">
        <f t="shared" si="408"/>
        <v>7.8830352827452765E-2</v>
      </c>
      <c r="CV72" s="289">
        <f t="shared" ref="CV72" si="409">+CV56/CR56-1</f>
        <v>0.27827462100556222</v>
      </c>
      <c r="CW72" s="289">
        <f t="shared" ref="CW72:CX72" si="410">+CW56/CS56-1</f>
        <v>0.10686841855611418</v>
      </c>
      <c r="CX72" s="289">
        <f t="shared" si="410"/>
        <v>0.10371062466631065</v>
      </c>
      <c r="CY72" s="289">
        <f>+CY56/CU56-1</f>
        <v>4.9504950495049549E-2</v>
      </c>
      <c r="CZ72" s="289">
        <f t="shared" ref="CZ72:DF72" si="411">+CZ56/CV56-1</f>
        <v>2.4700311420161158E-2</v>
      </c>
      <c r="DA72" s="289">
        <f t="shared" si="411"/>
        <v>1.9584315406042441E-2</v>
      </c>
      <c r="DB72" s="289">
        <f t="shared" si="411"/>
        <v>-5.2731890192284525E-2</v>
      </c>
      <c r="DC72" s="289">
        <f t="shared" si="411"/>
        <v>5.9122342696138475E-4</v>
      </c>
      <c r="DD72" s="289">
        <f t="shared" si="411"/>
        <v>1.2277268942548769E-3</v>
      </c>
      <c r="DE72" s="289">
        <f t="shared" si="411"/>
        <v>7.8496973772697043E-3</v>
      </c>
      <c r="DF72" s="289">
        <f t="shared" si="411"/>
        <v>3.1381606272299134E-2</v>
      </c>
      <c r="DH72" s="245"/>
      <c r="DI72" s="245">
        <f t="shared" ref="DI72:EI72" si="412">DI56/DH56-1</f>
        <v>0.15117351644972832</v>
      </c>
      <c r="DJ72" s="245">
        <f t="shared" si="412"/>
        <v>0.10817307692307687</v>
      </c>
      <c r="DK72" s="245">
        <f t="shared" si="412"/>
        <v>0.10492488149754964</v>
      </c>
      <c r="DL72" s="245">
        <f t="shared" si="412"/>
        <v>2.7993892241692686E-2</v>
      </c>
      <c r="DM72" s="245">
        <f t="shared" si="412"/>
        <v>0.11288725420851597</v>
      </c>
      <c r="DN72" s="245">
        <f t="shared" si="412"/>
        <v>0.19753400279649158</v>
      </c>
      <c r="DO72" s="245">
        <f t="shared" si="412"/>
        <v>0.14743657785797692</v>
      </c>
      <c r="DP72" s="245">
        <f t="shared" si="412"/>
        <v>4.6669750231267404E-2</v>
      </c>
      <c r="DQ72" s="245">
        <f t="shared" si="412"/>
        <v>4.542843254231288E-2</v>
      </c>
      <c r="DR72" s="245">
        <f t="shared" si="412"/>
        <v>0.16122078031872178</v>
      </c>
      <c r="DS72" s="245">
        <f t="shared" si="412"/>
        <v>6.071857595282304E-2</v>
      </c>
      <c r="DT72" s="245">
        <f t="shared" si="412"/>
        <v>0.13264010432753359</v>
      </c>
      <c r="DU72" s="245">
        <f t="shared" si="412"/>
        <v>0.11840685977457288</v>
      </c>
      <c r="DV72" s="245">
        <f t="shared" si="412"/>
        <v>0.14774368157694395</v>
      </c>
      <c r="DW72" s="245">
        <f t="shared" si="412"/>
        <v>0.13576173009106474</v>
      </c>
      <c r="DX72" s="245">
        <f t="shared" si="412"/>
        <v>2.870087495064122E-2</v>
      </c>
      <c r="DY72" s="245">
        <f t="shared" si="412"/>
        <v>7.729605236575221E-2</v>
      </c>
      <c r="DZ72" s="245">
        <f t="shared" si="412"/>
        <v>0.14573175305678499</v>
      </c>
      <c r="EA72" s="245">
        <f>EA56/DZ56-1</f>
        <v>4.3407807512889862E-2</v>
      </c>
      <c r="EB72" s="245">
        <f>EB56/EA56-1</f>
        <v>-2.902097353600952E-2</v>
      </c>
      <c r="EC72" s="245">
        <f t="shared" si="412"/>
        <v>-7.1408953584179979E-3</v>
      </c>
      <c r="ED72" s="245">
        <f t="shared" si="412"/>
        <v>5.817264665202182E-2</v>
      </c>
      <c r="EE72" s="245">
        <f t="shared" si="412"/>
        <v>4.178071659234206E-2</v>
      </c>
      <c r="EF72" s="245">
        <f t="shared" si="412"/>
        <v>5.2622256336073869E-2</v>
      </c>
      <c r="EG72" s="245">
        <f t="shared" si="412"/>
        <v>6.9225866614314402E-2</v>
      </c>
      <c r="EH72" s="245">
        <f t="shared" si="412"/>
        <v>9.9178139385709407E-3</v>
      </c>
      <c r="EI72" s="245">
        <f t="shared" si="412"/>
        <v>-4.7174339124321785E-2</v>
      </c>
      <c r="EJ72" s="245">
        <f t="shared" ref="EJ72" si="413">EJ56/EI56-1</f>
        <v>-3.9306687407236973E-2</v>
      </c>
      <c r="EK72" s="245">
        <f t="shared" ref="EK72" si="414">EK56/EJ56-1</f>
        <v>8.3285687485279425E-5</v>
      </c>
      <c r="EL72" s="245">
        <f t="shared" ref="EL72" si="415">EL56/EK56-1</f>
        <v>6.2459846675813058E-3</v>
      </c>
      <c r="EM72" s="245">
        <f t="shared" ref="EM72" si="416">EM56/EL56-1</f>
        <v>0.16425948296266291</v>
      </c>
      <c r="EN72" s="245">
        <f t="shared" ref="EN72" si="417">EN56/EM56-1</f>
        <v>0.13704501973700145</v>
      </c>
      <c r="EO72" s="245">
        <f t="shared" ref="EO72" si="418">EO56/EN56-1</f>
        <v>8.8694837280627326E-3</v>
      </c>
      <c r="EP72" s="245">
        <f t="shared" ref="EP72" si="419">EP56/EO56-1</f>
        <v>-7.3494810046520476E-3</v>
      </c>
      <c r="EQ72" s="245">
        <f t="shared" ref="EQ72" si="420">EQ56/EP56-1</f>
        <v>4.6310750232658737E-3</v>
      </c>
      <c r="ER72" s="245">
        <f t="shared" ref="ER72" si="421">ER56/EQ56-1</f>
        <v>-6.7725332567560859E-3</v>
      </c>
      <c r="ES72" s="245">
        <f t="shared" ref="ES72" si="422">ES56/ER56-1</f>
        <v>-3.9498098855692554E-3</v>
      </c>
      <c r="ET72" s="245">
        <f t="shared" ref="ET72" si="423">ET56/ES56-1</f>
        <v>8.5643907917076767E-4</v>
      </c>
      <c r="EU72" s="245">
        <f t="shared" ref="EU72" si="424">EU56/ET56-1</f>
        <v>3.1918964257333649E-3</v>
      </c>
      <c r="EV72" s="245">
        <f t="shared" ref="EV72" si="425">EV56/EU56-1</f>
        <v>-1.3156371965646896E-2</v>
      </c>
      <c r="EW72" s="245">
        <f t="shared" ref="EW72" si="426">EW56/EV56-1</f>
        <v>-2.4630988168309331E-3</v>
      </c>
      <c r="EZ72" t="s">
        <v>1450</v>
      </c>
      <c r="FA72" s="81">
        <v>0.02</v>
      </c>
      <c r="FD72" s="290"/>
      <c r="FE72" s="290"/>
      <c r="FF72" s="291"/>
      <c r="FG72"/>
      <c r="FH72" s="291"/>
      <c r="FI72" s="290"/>
      <c r="FJ72" s="290"/>
    </row>
    <row r="73" spans="1:257" s="275" customFormat="1" ht="12.75" customHeight="1" x14ac:dyDescent="0.2">
      <c r="A73"/>
      <c r="B73" t="s">
        <v>1561</v>
      </c>
      <c r="C73" s="283"/>
      <c r="D73" s="283"/>
      <c r="E73" s="283"/>
      <c r="F73" s="283"/>
      <c r="G73" s="283"/>
      <c r="H73" s="288"/>
      <c r="I73" s="288"/>
      <c r="J73" s="288"/>
      <c r="K73" s="288"/>
      <c r="L73" s="288"/>
      <c r="M73" s="288"/>
      <c r="N73" s="288"/>
      <c r="O73" s="288"/>
      <c r="P73" s="288"/>
      <c r="Q73" s="288"/>
      <c r="R73" s="288"/>
      <c r="S73" s="288"/>
      <c r="T73" s="288"/>
      <c r="U73" s="288"/>
      <c r="V73" s="288"/>
      <c r="W73" s="288"/>
      <c r="X73" s="288"/>
      <c r="Y73" s="288"/>
      <c r="Z73" s="288"/>
      <c r="AA73" s="288"/>
      <c r="AB73" s="288"/>
      <c r="AC73" s="288"/>
      <c r="AD73" s="288"/>
      <c r="AE73" s="288"/>
      <c r="AF73" s="288"/>
      <c r="AG73" s="288"/>
      <c r="AH73" s="288"/>
      <c r="AI73" s="288"/>
      <c r="AJ73" s="288"/>
      <c r="AK73" s="288"/>
      <c r="AL73" s="288"/>
      <c r="AM73" s="288"/>
      <c r="AN73" s="288"/>
      <c r="AO73" s="288"/>
      <c r="AP73" s="288"/>
      <c r="AQ73" s="288"/>
      <c r="AR73" s="288"/>
      <c r="AS73" s="288"/>
      <c r="AT73" s="288"/>
      <c r="AU73" s="288"/>
      <c r="AV73" s="288"/>
      <c r="AW73" s="288"/>
      <c r="AX73" s="288"/>
      <c r="AY73" s="288"/>
      <c r="AZ73" s="288"/>
      <c r="BA73" s="288"/>
      <c r="BB73" s="288"/>
      <c r="BC73" s="288"/>
      <c r="BD73" s="288">
        <f t="shared" ref="BD73" si="427">+BD60/AZ60-1</f>
        <v>6.1050061050060833E-3</v>
      </c>
      <c r="BE73" s="288">
        <f t="shared" ref="BE73" si="428">+BE60/BA60-1</f>
        <v>2.4737167594310439E-2</v>
      </c>
      <c r="BF73" s="288">
        <f t="shared" ref="BF73" si="429">+BF60/BB60-1</f>
        <v>-0.10438319023949394</v>
      </c>
      <c r="BG73" s="288">
        <f t="shared" ref="BG73" si="430">+BG60/BC60-1</f>
        <v>0.11624919717405269</v>
      </c>
      <c r="BH73" s="288">
        <f t="shared" ref="BH73:BL73" si="431">+BH60/BD60-1</f>
        <v>0.14199029126213603</v>
      </c>
      <c r="BI73" s="288">
        <f t="shared" si="431"/>
        <v>7.0006035003017608E-2</v>
      </c>
      <c r="BJ73" s="288">
        <f t="shared" si="431"/>
        <v>8.7285570131180545E-2</v>
      </c>
      <c r="BK73" s="288">
        <f t="shared" si="431"/>
        <v>-5.3509781357882646E-2</v>
      </c>
      <c r="BL73" s="288">
        <f t="shared" si="431"/>
        <v>-6.1636556854410163E-2</v>
      </c>
      <c r="BM73" s="288">
        <f>+BM60/BI60-1</f>
        <v>8.4602368866328215E-2</v>
      </c>
      <c r="BN73" s="288">
        <f t="shared" ref="BN73:BR73" si="432">+BN60/BJ60-1</f>
        <v>8.1670533642691501E-2</v>
      </c>
      <c r="BO73" s="288">
        <f t="shared" si="432"/>
        <v>8.44984802431612E-2</v>
      </c>
      <c r="BP73" s="288">
        <f t="shared" si="432"/>
        <v>0.10192525481313708</v>
      </c>
      <c r="BQ73" s="288">
        <f t="shared" si="432"/>
        <v>6.1882475299011919E-2</v>
      </c>
      <c r="BR73" s="288">
        <f t="shared" si="432"/>
        <v>3.4320034320034276E-2</v>
      </c>
      <c r="BS73" s="288">
        <f>+BS60/BO60-1</f>
        <v>2.6345291479820565E-2</v>
      </c>
      <c r="BT73" s="288">
        <f t="shared" ref="BT73" si="433">+BT60/BP60-1</f>
        <v>3.0318602261048211E-2</v>
      </c>
      <c r="BU73" s="288">
        <f t="shared" ref="BU73" si="434">+BU60/BQ60-1</f>
        <v>1.0000000000000009E-2</v>
      </c>
      <c r="BV73" s="288">
        <f t="shared" ref="BV73" si="435">+BV60/BR60-1</f>
        <v>1.0000000000000009E-2</v>
      </c>
      <c r="BW73" s="288">
        <f t="shared" ref="BW73" si="436">+BW60/BS60-1</f>
        <v>1.0000000000000009E-2</v>
      </c>
      <c r="BX73" s="288">
        <f t="shared" ref="BX73" si="437">+BX60/BT60-1</f>
        <v>1.0000000000000009E-2</v>
      </c>
      <c r="BY73" s="288">
        <f t="shared" ref="BY73" si="438">+BY60/BU60-1</f>
        <v>1.0000000000000009E-2</v>
      </c>
      <c r="BZ73" s="288">
        <f t="shared" ref="BZ73" si="439">+BZ60/BV60-1</f>
        <v>1.0000000000000009E-2</v>
      </c>
      <c r="CA73" s="288"/>
      <c r="CB73" s="288"/>
      <c r="CC73" s="288"/>
      <c r="CD73" s="288"/>
      <c r="CE73" s="288"/>
      <c r="CF73" s="288"/>
      <c r="CG73" s="288"/>
      <c r="CH73" s="288"/>
      <c r="CI73" s="288"/>
      <c r="CJ73" s="288"/>
      <c r="CK73" s="288"/>
      <c r="CL73" s="288"/>
      <c r="CM73" s="288">
        <f t="shared" ref="CM73:CO73" si="440">+CM60/CI60-1</f>
        <v>0.18885191347753749</v>
      </c>
      <c r="CN73" s="288">
        <f t="shared" si="440"/>
        <v>1.0231148162182624E-2</v>
      </c>
      <c r="CO73" s="288">
        <f t="shared" si="440"/>
        <v>3.6283891547049363E-2</v>
      </c>
      <c r="CP73" s="288">
        <f t="shared" ref="CP73" si="441">+CP60/CL60-1</f>
        <v>2.4813895781636841E-3</v>
      </c>
      <c r="CQ73" s="288">
        <f t="shared" ref="CQ73" si="442">+CQ60/CM60-1</f>
        <v>-9.7270818754373711E-2</v>
      </c>
      <c r="CR73" s="288">
        <f t="shared" ref="CR73" si="443">+CR60/CN60-1</f>
        <v>1.5378844711177786E-2</v>
      </c>
      <c r="CS73" s="288">
        <f t="shared" ref="CS73" si="444">+CS60/CO60-1</f>
        <v>9.2727972297037331E-2</v>
      </c>
      <c r="CT73" s="288">
        <f t="shared" ref="CT73" si="445">+CT60/CP60-1</f>
        <v>0.24752475247524752</v>
      </c>
      <c r="CU73" s="288">
        <f t="shared" ref="CU73" si="446">+CU60/CQ60-1</f>
        <v>0.23178294573643421</v>
      </c>
      <c r="CV73" s="288">
        <f t="shared" ref="CV73" si="447">+CV60/CR60-1</f>
        <v>0.24270410048023638</v>
      </c>
      <c r="CW73" s="288">
        <f t="shared" ref="CW73:CX73" si="448">+CW60/CS60-1</f>
        <v>0.20492957746478879</v>
      </c>
      <c r="CX73" s="288">
        <f t="shared" si="448"/>
        <v>0.17063492063492069</v>
      </c>
      <c r="CY73" s="288">
        <f>+CY60/CU60-1</f>
        <v>8.9364380113278852E-2</v>
      </c>
      <c r="CZ73" s="288">
        <f t="shared" ref="CZ73:DA73" si="449">+CZ60/CV60-1</f>
        <v>5.6480380499405403E-2</v>
      </c>
      <c r="DA73" s="288">
        <f t="shared" si="449"/>
        <v>5.1139684395090645E-2</v>
      </c>
      <c r="DB73" s="288"/>
      <c r="DC73" s="288"/>
      <c r="DD73" s="288"/>
      <c r="DE73" s="288"/>
      <c r="DF73" s="288"/>
      <c r="DH73" s="246"/>
      <c r="DI73" s="246"/>
      <c r="DJ73" s="246"/>
      <c r="DK73" s="246"/>
      <c r="DL73" s="246"/>
      <c r="DM73" s="246"/>
      <c r="DN73" s="246"/>
      <c r="DO73" s="246"/>
      <c r="DP73" s="246"/>
      <c r="DQ73" s="246"/>
      <c r="DR73" s="246"/>
      <c r="DS73" s="246"/>
      <c r="DT73" s="246"/>
      <c r="DU73" s="246"/>
      <c r="DV73" s="246"/>
      <c r="DW73" s="246"/>
      <c r="DX73" s="246"/>
      <c r="DY73" s="246"/>
      <c r="DZ73" s="246"/>
      <c r="EA73" s="246"/>
      <c r="EB73" s="246"/>
      <c r="EC73" s="246">
        <f t="shared" ref="EC73:EE73" si="450">EC60/EB60-1</f>
        <v>-2.0326367019753766E-2</v>
      </c>
      <c r="ED73" s="246">
        <f t="shared" si="450"/>
        <v>0.10286382232612512</v>
      </c>
      <c r="EE73" s="246">
        <f t="shared" si="450"/>
        <v>1.5500794912559623E-2</v>
      </c>
      <c r="EF73" s="246">
        <f>EF60/EE60-1</f>
        <v>6.7579908675799105E-2</v>
      </c>
      <c r="EG73" s="246">
        <f t="shared" ref="EG73:EQ73" si="451">EG60/EF60-1</f>
        <v>-0.63338628864719548</v>
      </c>
      <c r="EH73" s="246">
        <f t="shared" si="451"/>
        <v>0</v>
      </c>
      <c r="EI73" s="246">
        <f t="shared" si="451"/>
        <v>0</v>
      </c>
      <c r="EJ73" s="246">
        <f t="shared" si="451"/>
        <v>0</v>
      </c>
      <c r="EK73" s="246">
        <f t="shared" si="451"/>
        <v>0</v>
      </c>
      <c r="EL73" s="246">
        <f t="shared" si="451"/>
        <v>0</v>
      </c>
      <c r="EM73" s="246">
        <f t="shared" si="451"/>
        <v>0</v>
      </c>
      <c r="EN73" s="246">
        <f t="shared" si="451"/>
        <v>3.8946666666666667</v>
      </c>
      <c r="EO73" s="246">
        <f t="shared" si="451"/>
        <v>-0.79569599564151461</v>
      </c>
      <c r="EP73" s="246">
        <f t="shared" si="451"/>
        <v>0</v>
      </c>
      <c r="EQ73" s="246">
        <f t="shared" si="451"/>
        <v>0</v>
      </c>
      <c r="ER73" s="246"/>
      <c r="ES73" s="246"/>
      <c r="ET73" s="246"/>
      <c r="EU73" s="246"/>
      <c r="EV73" s="246"/>
      <c r="EW73" s="246"/>
      <c r="EZ73" t="s">
        <v>1451</v>
      </c>
      <c r="FA73" s="81">
        <v>6.5000000000000002E-2</v>
      </c>
      <c r="FD73" s="291"/>
      <c r="FE73" s="291"/>
      <c r="FF73" s="291"/>
      <c r="FG73"/>
      <c r="FH73" s="291"/>
      <c r="FI73" s="291"/>
      <c r="FJ73" s="291"/>
    </row>
    <row r="74" spans="1:257" s="275" customFormat="1" ht="12.75" customHeight="1" x14ac:dyDescent="0.2">
      <c r="A74"/>
      <c r="B74" t="s">
        <v>1562</v>
      </c>
      <c r="C74" s="283"/>
      <c r="D74" s="283"/>
      <c r="E74" s="283"/>
      <c r="F74" s="283"/>
      <c r="G74" s="283"/>
      <c r="H74" s="288"/>
      <c r="I74" s="288"/>
      <c r="J74" s="288"/>
      <c r="K74" s="288"/>
      <c r="L74" s="288"/>
      <c r="M74" s="288"/>
      <c r="N74" s="288"/>
      <c r="O74" s="288"/>
      <c r="P74" s="288"/>
      <c r="Q74" s="288"/>
      <c r="R74" s="288"/>
      <c r="S74" s="288"/>
      <c r="T74" s="288"/>
      <c r="U74" s="288"/>
      <c r="V74" s="288"/>
      <c r="W74" s="288"/>
      <c r="X74" s="288"/>
      <c r="Y74" s="288"/>
      <c r="Z74" s="288"/>
      <c r="AA74" s="288"/>
      <c r="AB74" s="288"/>
      <c r="AC74" s="288"/>
      <c r="AD74" s="288"/>
      <c r="AE74" s="288"/>
      <c r="AF74" s="288"/>
      <c r="AG74" s="288"/>
      <c r="AH74" s="288"/>
      <c r="AI74" s="288"/>
      <c r="AJ74" s="288"/>
      <c r="AK74" s="288"/>
      <c r="AL74" s="288"/>
      <c r="AM74" s="288"/>
      <c r="AN74" s="288"/>
      <c r="AO74" s="288"/>
      <c r="AP74" s="288"/>
      <c r="AQ74" s="288"/>
      <c r="AR74" s="288"/>
      <c r="AS74" s="288"/>
      <c r="AT74" s="288"/>
      <c r="AU74" s="288"/>
      <c r="AV74" s="288"/>
      <c r="AW74" s="288"/>
      <c r="AX74" s="288"/>
      <c r="AY74" s="288"/>
      <c r="AZ74" s="288"/>
      <c r="BA74" s="288"/>
      <c r="BB74" s="288"/>
      <c r="BC74" s="288"/>
      <c r="BD74" s="288">
        <f t="shared" ref="BD74:BL74" si="452">BD59/AZ59-1</f>
        <v>-8.5470085470085166E-3</v>
      </c>
      <c r="BE74" s="288">
        <f t="shared" si="452"/>
        <v>-1.2166981329976956E-2</v>
      </c>
      <c r="BF74" s="288">
        <f t="shared" si="452"/>
        <v>-7.9765500088825769E-2</v>
      </c>
      <c r="BG74" s="288">
        <f t="shared" si="452"/>
        <v>5.7961916718978879E-2</v>
      </c>
      <c r="BH74" s="288">
        <f t="shared" si="452"/>
        <v>9.6509671993271651E-2</v>
      </c>
      <c r="BI74" s="288">
        <f t="shared" si="452"/>
        <v>0.11276279464854544</v>
      </c>
      <c r="BJ74" s="288">
        <f t="shared" si="452"/>
        <v>5.3667953667953627E-2</v>
      </c>
      <c r="BK74" s="288">
        <f t="shared" si="452"/>
        <v>-8.1091772151898889E-3</v>
      </c>
      <c r="BL74" s="288">
        <f t="shared" si="452"/>
        <v>-4.7938638542665335E-2</v>
      </c>
      <c r="BM74" s="288">
        <f>BM59/BI59-1</f>
        <v>-2.2900763358778553E-3</v>
      </c>
      <c r="BN74" s="288">
        <f t="shared" ref="BN74:BR74" si="453">BN59/BJ59-1</f>
        <v>3.7193111029681258E-2</v>
      </c>
      <c r="BO74" s="288">
        <f t="shared" si="453"/>
        <v>4.1475573280159495E-2</v>
      </c>
      <c r="BP74" s="288">
        <f t="shared" si="453"/>
        <v>7.2507552870091363E-3</v>
      </c>
      <c r="BQ74" s="288">
        <f t="shared" si="453"/>
        <v>1.6449885233358774E-2</v>
      </c>
      <c r="BR74" s="288">
        <f t="shared" si="453"/>
        <v>4.5221692280515757E-2</v>
      </c>
      <c r="BS74" s="288">
        <f>BS59/BO59-1</f>
        <v>-7.6584338502776461E-3</v>
      </c>
      <c r="BT74" s="288">
        <f t="shared" ref="BT74" si="454">BT59/BP59-1</f>
        <v>9.5980803839232243E-2</v>
      </c>
      <c r="BU74" s="288">
        <f t="shared" ref="BU74" si="455">BU59/BQ59-1</f>
        <v>2.0000000000000018E-2</v>
      </c>
      <c r="BV74" s="288">
        <f t="shared" ref="BV74" si="456">BV59/BR59-1</f>
        <v>2.0000000000000018E-2</v>
      </c>
      <c r="BW74" s="288">
        <f t="shared" ref="BW74" si="457">BW59/BS59-1</f>
        <v>2.0000000000000018E-2</v>
      </c>
      <c r="BX74" s="288">
        <f t="shared" ref="BX74" si="458">BX59/BT59-1</f>
        <v>2.0000000000000018E-2</v>
      </c>
      <c r="BY74" s="288">
        <f t="shared" ref="BY74" si="459">BY59/BU59-1</f>
        <v>2.0000000000000018E-2</v>
      </c>
      <c r="BZ74" s="288">
        <f t="shared" ref="BZ74" si="460">BZ59/BV59-1</f>
        <v>2.0000000000000018E-2</v>
      </c>
      <c r="CA74" s="288"/>
      <c r="CB74" s="288"/>
      <c r="CC74" s="288"/>
      <c r="CD74" s="288"/>
      <c r="CE74" s="288"/>
      <c r="CF74" s="288"/>
      <c r="CG74" s="288"/>
      <c r="CH74" s="288"/>
      <c r="CI74" s="288"/>
      <c r="CJ74" s="288"/>
      <c r="CK74" s="288"/>
      <c r="CL74" s="288"/>
      <c r="CM74" s="288">
        <f t="shared" ref="CM74:CO74" si="461">+CM59/CI59-1</f>
        <v>-8.3602508075242277E-3</v>
      </c>
      <c r="CN74" s="288">
        <f t="shared" si="461"/>
        <v>-3.4302629287828679E-2</v>
      </c>
      <c r="CO74" s="288">
        <f t="shared" si="461"/>
        <v>-4.9798115746971683E-2</v>
      </c>
      <c r="CP74" s="288">
        <f t="shared" ref="CP74" si="462">+CP59/CL59-1</f>
        <v>-4.2700284668564237E-3</v>
      </c>
      <c r="CQ74" s="288">
        <f t="shared" ref="CQ74" si="463">+CQ59/CM59-1</f>
        <v>-3.0657214025675561E-3</v>
      </c>
      <c r="CR74" s="288">
        <f t="shared" ref="CR74" si="464">+CR59/CN59-1</f>
        <v>-9.9711503786512834E-2</v>
      </c>
      <c r="CS74" s="288">
        <f t="shared" ref="CS74" si="465">+CS59/CO59-1</f>
        <v>0.2821057601510859</v>
      </c>
      <c r="CT74" s="288">
        <f t="shared" ref="CT74" si="466">+CT59/CP59-1</f>
        <v>0.31856238513375534</v>
      </c>
      <c r="CU74" s="288">
        <f t="shared" ref="CU74" si="467">+CU59/CQ59-1</f>
        <v>4.4013069383048276E-2</v>
      </c>
      <c r="CV74" s="288">
        <f t="shared" ref="CV74" si="468">+CV59/CR59-1</f>
        <v>0.21510114159823757</v>
      </c>
      <c r="CW74" s="288">
        <f t="shared" ref="CW74:CX74" si="469">+CW59/CS59-1</f>
        <v>0.10476891916774078</v>
      </c>
      <c r="CX74" s="288">
        <f t="shared" si="469"/>
        <v>0.10794486603685916</v>
      </c>
      <c r="CY74" s="288">
        <f>+CY59/CU59-1</f>
        <v>9.3151693667157476E-2</v>
      </c>
      <c r="CZ74" s="288">
        <f t="shared" ref="CZ74:DF74" si="470">+CZ59/CV59-1</f>
        <v>2.5218394593703675E-2</v>
      </c>
      <c r="DA74" s="288">
        <f t="shared" si="470"/>
        <v>-8.6666666666667114E-3</v>
      </c>
      <c r="DB74" s="288">
        <f t="shared" si="470"/>
        <v>-0.17882024042493716</v>
      </c>
      <c r="DC74" s="288">
        <f t="shared" si="470"/>
        <v>-1.3142051195688897E-2</v>
      </c>
      <c r="DD74" s="288">
        <f t="shared" si="470"/>
        <v>-3.338062700964628E-2</v>
      </c>
      <c r="DE74" s="288">
        <f t="shared" si="470"/>
        <v>7.8496973772697043E-3</v>
      </c>
      <c r="DF74" s="288">
        <f t="shared" si="470"/>
        <v>3.1381606272299134E-2</v>
      </c>
      <c r="DH74" s="246"/>
      <c r="DI74" s="246"/>
      <c r="DJ74" s="246"/>
      <c r="DK74" s="246"/>
      <c r="DL74" s="246"/>
      <c r="DM74" s="246"/>
      <c r="DN74" s="246"/>
      <c r="DO74" s="246"/>
      <c r="DP74" s="246"/>
      <c r="DQ74" s="246"/>
      <c r="DR74" s="246"/>
      <c r="DS74" s="246"/>
      <c r="DT74" s="246"/>
      <c r="DU74" s="246"/>
      <c r="DV74" s="246"/>
      <c r="DW74" s="246"/>
      <c r="DX74" s="246"/>
      <c r="DY74" s="246"/>
      <c r="DZ74" s="246"/>
      <c r="EA74" s="246"/>
      <c r="EB74" s="246"/>
      <c r="EC74" s="246">
        <f t="shared" ref="EC74:EE74" si="471">EC59/EB59-1</f>
        <v>-1.9039442452401412E-2</v>
      </c>
      <c r="ED74" s="246">
        <f t="shared" si="471"/>
        <v>7.9540774299835304E-2</v>
      </c>
      <c r="EE74" s="246">
        <f t="shared" si="471"/>
        <v>-4.7689446325528406E-3</v>
      </c>
      <c r="EF74" s="246">
        <f>EF59/EE59-1</f>
        <v>2.8079927164694096E-2</v>
      </c>
      <c r="EG74" s="246">
        <f t="shared" ref="EG74:EQ74" si="472">EG59/EF59-1</f>
        <v>0.17278254719179675</v>
      </c>
      <c r="EH74" s="246">
        <f t="shared" si="472"/>
        <v>-1</v>
      </c>
      <c r="EI74" s="246" t="e">
        <f t="shared" si="472"/>
        <v>#DIV/0!</v>
      </c>
      <c r="EJ74" s="246" t="e">
        <f t="shared" si="472"/>
        <v>#DIV/0!</v>
      </c>
      <c r="EK74" s="246" t="e">
        <f t="shared" si="472"/>
        <v>#DIV/0!</v>
      </c>
      <c r="EL74" s="246" t="e">
        <f t="shared" si="472"/>
        <v>#DIV/0!</v>
      </c>
      <c r="EM74" s="246" t="e">
        <f t="shared" si="472"/>
        <v>#DIV/0!</v>
      </c>
      <c r="EN74" s="246" t="e">
        <f t="shared" si="472"/>
        <v>#DIV/0!</v>
      </c>
      <c r="EO74" s="246">
        <f t="shared" si="472"/>
        <v>-8.6850281912942418E-4</v>
      </c>
      <c r="EP74" s="246">
        <f t="shared" si="472"/>
        <v>-7.3494810046520476E-3</v>
      </c>
      <c r="EQ74" s="246">
        <f t="shared" si="472"/>
        <v>4.6310750232658737E-3</v>
      </c>
      <c r="ER74" s="246"/>
      <c r="ES74" s="246"/>
      <c r="ET74" s="246"/>
      <c r="EU74" s="246"/>
      <c r="EV74" s="246"/>
      <c r="EW74" s="246"/>
      <c r="EZ74" t="s">
        <v>1452</v>
      </c>
      <c r="FA74" s="292">
        <v>0.7</v>
      </c>
      <c r="FD74" s="291"/>
      <c r="FE74" s="291"/>
      <c r="FF74" s="291"/>
      <c r="FG74"/>
      <c r="FH74" s="291"/>
      <c r="FI74" s="291"/>
      <c r="FJ74" s="291"/>
    </row>
    <row r="75" spans="1:257" s="281" customFormat="1" ht="12.75" customHeight="1" x14ac:dyDescent="0.2">
      <c r="B75" s="1" t="s">
        <v>347</v>
      </c>
      <c r="C75" s="282">
        <f>PV(9%,4,0,-EG68)*14</f>
        <v>69.493669896221192</v>
      </c>
      <c r="D75" s="282"/>
      <c r="E75" s="282"/>
      <c r="F75" s="166"/>
      <c r="G75" s="166"/>
      <c r="H75" s="287">
        <f t="shared" ref="H75:AY75" si="473">H68/D68-1</f>
        <v>7.5818659710282343E-2</v>
      </c>
      <c r="I75" s="287">
        <f t="shared" si="473"/>
        <v>9.2950596934190166E-2</v>
      </c>
      <c r="J75" s="287">
        <f t="shared" si="473"/>
        <v>7.634149897929432E-2</v>
      </c>
      <c r="K75" s="287">
        <f t="shared" si="473"/>
        <v>0.11788882689055269</v>
      </c>
      <c r="L75" s="287">
        <f t="shared" si="473"/>
        <v>0.14473964191263655</v>
      </c>
      <c r="M75" s="287">
        <f t="shared" si="473"/>
        <v>0.14310088198022242</v>
      </c>
      <c r="N75" s="287">
        <f t="shared" si="473"/>
        <v>5.1308536479371281E-2</v>
      </c>
      <c r="O75" s="287">
        <f t="shared" si="473"/>
        <v>0.13385180270518893</v>
      </c>
      <c r="P75" s="287">
        <f>P68/L68-1</f>
        <v>0.12075080173552166</v>
      </c>
      <c r="Q75" s="287">
        <f t="shared" si="473"/>
        <v>0.11640695323782246</v>
      </c>
      <c r="R75" s="287">
        <f t="shared" si="473"/>
        <v>0.25331564986737409</v>
      </c>
      <c r="S75" s="287">
        <f t="shared" si="473"/>
        <v>0.13856690012533113</v>
      </c>
      <c r="T75" s="287">
        <f>T68/P68-1</f>
        <v>1.2037195940025613E-2</v>
      </c>
      <c r="U75" s="287">
        <f t="shared" si="473"/>
        <v>0.10050364968255754</v>
      </c>
      <c r="V75" s="287">
        <f t="shared" si="473"/>
        <v>0.16465516247651335</v>
      </c>
      <c r="W75" s="287">
        <f t="shared" si="473"/>
        <v>0.11042340202435219</v>
      </c>
      <c r="X75" s="287">
        <f t="shared" si="473"/>
        <v>0.33892222366878832</v>
      </c>
      <c r="Y75" s="287">
        <f t="shared" si="473"/>
        <v>0.15957351708447542</v>
      </c>
      <c r="Z75" s="287">
        <f t="shared" si="473"/>
        <v>0.18068383735432225</v>
      </c>
      <c r="AA75" s="287">
        <f t="shared" si="473"/>
        <v>0.17560586488735686</v>
      </c>
      <c r="AB75" s="287">
        <f t="shared" si="473"/>
        <v>9.5766268040985869E-2</v>
      </c>
      <c r="AC75" s="287">
        <f t="shared" si="473"/>
        <v>0.20792294940519618</v>
      </c>
      <c r="AD75" s="287">
        <f t="shared" si="473"/>
        <v>0.43934703660578567</v>
      </c>
      <c r="AE75" s="287">
        <f t="shared" si="473"/>
        <v>0.40330271308582621</v>
      </c>
      <c r="AF75" s="287">
        <f t="shared" si="473"/>
        <v>0.36425979190318269</v>
      </c>
      <c r="AG75" s="287">
        <f t="shared" si="473"/>
        <v>0.13879826799979922</v>
      </c>
      <c r="AH75" s="287">
        <f t="shared" si="473"/>
        <v>1.0408112986510343E-2</v>
      </c>
      <c r="AI75" s="287">
        <f t="shared" si="473"/>
        <v>-3.321908623949843E-2</v>
      </c>
      <c r="AJ75" s="287">
        <f t="shared" si="473"/>
        <v>4.5241526320477954E-2</v>
      </c>
      <c r="AK75" s="287">
        <f t="shared" si="473"/>
        <v>7.6881693334693413E-2</v>
      </c>
      <c r="AL75" s="287">
        <f t="shared" si="473"/>
        <v>4.7357926221335944E-2</v>
      </c>
      <c r="AM75" s="287">
        <f t="shared" si="473"/>
        <v>0.18936887555891713</v>
      </c>
      <c r="AN75" s="287">
        <f t="shared" si="473"/>
        <v>3.6136156228004479E-2</v>
      </c>
      <c r="AO75" s="287">
        <f t="shared" si="473"/>
        <v>0.15510613626240932</v>
      </c>
      <c r="AP75" s="287">
        <f t="shared" si="473"/>
        <v>0.16724537677075335</v>
      </c>
      <c r="AQ75" s="287">
        <f t="shared" si="473"/>
        <v>5.0337651327217348E-2</v>
      </c>
      <c r="AR75" s="287">
        <f t="shared" si="473"/>
        <v>2.4384801824921754E-2</v>
      </c>
      <c r="AS75" s="287">
        <f t="shared" si="473"/>
        <v>9.4606176817664034E-2</v>
      </c>
      <c r="AT75" s="287">
        <f t="shared" si="473"/>
        <v>0.23000568097020602</v>
      </c>
      <c r="AU75" s="287">
        <f t="shared" si="473"/>
        <v>7.020584740193403E-2</v>
      </c>
      <c r="AV75" s="287">
        <f t="shared" si="473"/>
        <v>0.11868138566888375</v>
      </c>
      <c r="AW75" s="287">
        <f t="shared" si="473"/>
        <v>9.5187736415512925E-2</v>
      </c>
      <c r="AX75" s="287">
        <f t="shared" si="473"/>
        <v>-6.3593420219504537E-2</v>
      </c>
      <c r="AY75" s="287">
        <f t="shared" si="473"/>
        <v>1.4359563869827952E-3</v>
      </c>
      <c r="AZ75" s="287">
        <f t="shared" ref="AZ75:BF75" si="474">AZ68/AV68-1</f>
        <v>-2.5715357562949182E-2</v>
      </c>
      <c r="BA75" s="287">
        <f t="shared" si="474"/>
        <v>2.4431871651507064E-2</v>
      </c>
      <c r="BB75" s="287">
        <f t="shared" si="474"/>
        <v>0.10025117077992585</v>
      </c>
      <c r="BC75" s="287">
        <f t="shared" si="474"/>
        <v>2.8316206701865632E-2</v>
      </c>
      <c r="BD75" s="287">
        <f t="shared" si="474"/>
        <v>6.7260095469480863E-2</v>
      </c>
      <c r="BE75" s="287">
        <f t="shared" si="474"/>
        <v>2.3944295740103483E-2</v>
      </c>
      <c r="BF75" s="287">
        <f t="shared" si="474"/>
        <v>-1.6153307030108977E-3</v>
      </c>
      <c r="BG75" s="287">
        <f>BG68/BC68-1</f>
        <v>0.1910607025483293</v>
      </c>
      <c r="BH75" s="287">
        <f>BH68/BD68-1</f>
        <v>-1.6918038772520849E-2</v>
      </c>
      <c r="BI75" s="287">
        <f>BI68/BE68-1</f>
        <v>-6.0154852950498827E-2</v>
      </c>
      <c r="BJ75" s="287">
        <f t="shared" ref="BJ75" si="475">BJ68/BF68-1</f>
        <v>1.0004880615359619</v>
      </c>
      <c r="BK75" s="287">
        <f>BK68/BG68-1</f>
        <v>-8.4820785085281014E-2</v>
      </c>
      <c r="BL75" s="287">
        <f t="shared" ref="BL75" si="476">BL68/BH68-1</f>
        <v>6.9578193071049954E-2</v>
      </c>
      <c r="BM75" s="287">
        <f t="shared" ref="BM75" si="477">BM68/BI68-1</f>
        <v>6.1272871553678554E-2</v>
      </c>
      <c r="BN75" s="287">
        <f t="shared" ref="BN75" si="478">BN68/BJ68-1</f>
        <v>-0.51080284450880753</v>
      </c>
      <c r="BO75" s="287">
        <f t="shared" ref="BO75" si="479">BO68/BK68-1</f>
        <v>-0.10531204944610384</v>
      </c>
      <c r="BP75" s="287">
        <f t="shared" ref="BP75" si="480">BP68/BL68-1</f>
        <v>0.16062407397490119</v>
      </c>
      <c r="BQ75" s="287">
        <f t="shared" ref="BQ75" si="481">BQ68/BM68-1</f>
        <v>0.13019144828970597</v>
      </c>
      <c r="BR75" s="287">
        <f t="shared" ref="BR75" si="482">BR68/BN68-1</f>
        <v>0.2607768876622647</v>
      </c>
      <c r="BS75" s="287">
        <f>BS68/BO68-1</f>
        <v>0.3418708903929637</v>
      </c>
      <c r="BT75" s="287">
        <f t="shared" ref="BT75" si="483">BT68/BP68-1</f>
        <v>0.10036122324406827</v>
      </c>
      <c r="BU75" s="287">
        <f t="shared" ref="BU75" si="484">BU68/BQ68-1</f>
        <v>0.10839251093817004</v>
      </c>
      <c r="BV75" s="287">
        <f t="shared" ref="BV75" si="485">BV68/BR68-1</f>
        <v>0.1347888768690757</v>
      </c>
      <c r="BW75" s="287">
        <f t="shared" ref="BW75" si="486">BW68/BS68-1</f>
        <v>1.9205361260803189E-2</v>
      </c>
      <c r="BX75" s="287">
        <f t="shared" ref="BX75" si="487">BX68/BT68-1</f>
        <v>7.2589978947368294E-2</v>
      </c>
      <c r="BY75" s="287">
        <f t="shared" ref="BY75" si="488">BY68/BU68-1</f>
        <v>9.5240187015372513E-2</v>
      </c>
      <c r="BZ75" s="287">
        <f t="shared" ref="BZ75" si="489">BZ68/BV68-1</f>
        <v>9.9774191511778687E-2</v>
      </c>
      <c r="CA75" s="287"/>
      <c r="CB75" s="287"/>
      <c r="CC75" s="287"/>
      <c r="CD75" s="287"/>
      <c r="CE75" s="287"/>
      <c r="CF75" s="287"/>
      <c r="CG75" s="287"/>
      <c r="CH75" s="287"/>
      <c r="CI75" s="287"/>
      <c r="CJ75" s="287"/>
      <c r="CK75" s="287"/>
      <c r="CL75" s="287"/>
      <c r="CM75" s="287">
        <f t="shared" ref="CM75:CO75" si="490">+CM68/CI68-1</f>
        <v>7.3335795050902153E-2</v>
      </c>
      <c r="CN75" s="287">
        <f t="shared" si="490"/>
        <v>-7.9588542556748409E-2</v>
      </c>
      <c r="CO75" s="287">
        <f t="shared" si="490"/>
        <v>-2.4099928214634803E-3</v>
      </c>
      <c r="CP75" s="287">
        <f t="shared" ref="CP75" si="491">+CP68/CL68-1</f>
        <v>-3.401938512106395E-2</v>
      </c>
      <c r="CQ75" s="287">
        <f t="shared" ref="CQ75" si="492">+CQ68/CM68-1</f>
        <v>0.10010206676183309</v>
      </c>
      <c r="CR75" s="287">
        <f t="shared" ref="CR75" si="493">+CR68/CN68-1</f>
        <v>-6.3188735958248476E-2</v>
      </c>
      <c r="CS75" s="287">
        <f t="shared" ref="CS75" si="494">+CS68/CO68-1</f>
        <v>-0.12151690217235556</v>
      </c>
      <c r="CT75" s="287">
        <f t="shared" ref="CT75" si="495">+CT68/CP68-1</f>
        <v>-0.19005066624794598</v>
      </c>
      <c r="CU75" s="287">
        <f t="shared" ref="CU75" si="496">+CU68/CQ68-1</f>
        <v>0.22711682108032161</v>
      </c>
      <c r="CV75" s="287">
        <f t="shared" ref="CV75" si="497">+CV68/CR68-1</f>
        <v>0.82370196327592327</v>
      </c>
      <c r="CW75" s="287">
        <f t="shared" ref="CW75:CX75" si="498">+CW68/CS68-1</f>
        <v>0.30236297648751398</v>
      </c>
      <c r="CX75" s="287">
        <f t="shared" si="498"/>
        <v>0.17594389058078486</v>
      </c>
      <c r="CY75" s="287">
        <f>+CY68/CU68-1</f>
        <v>-6.5191476467279297E-2</v>
      </c>
      <c r="CZ75" s="287">
        <f t="shared" ref="CZ75:DF75" si="499">+CZ68/CV68-1</f>
        <v>2.4812846682040091E-2</v>
      </c>
      <c r="DA75" s="287">
        <f t="shared" si="499"/>
        <v>-0.21193391970107212</v>
      </c>
      <c r="DB75" s="287">
        <f t="shared" si="499"/>
        <v>0.66232639911172519</v>
      </c>
      <c r="DC75" s="287">
        <f t="shared" si="499"/>
        <v>0.36989551537445942</v>
      </c>
      <c r="DD75" s="287">
        <f t="shared" si="499"/>
        <v>0.18592376392189802</v>
      </c>
      <c r="DE75" s="287">
        <f t="shared" si="499"/>
        <v>0.60614231678487007</v>
      </c>
      <c r="DF75" s="287">
        <f t="shared" si="499"/>
        <v>3.1381606272299356E-2</v>
      </c>
      <c r="DH75" s="287"/>
      <c r="DI75" s="287">
        <f t="shared" ref="DI75:EI75" si="500">DI68/DH68-1</f>
        <v>0.16138620699103701</v>
      </c>
      <c r="DJ75" s="287">
        <f t="shared" si="500"/>
        <v>9.3784452783480798E-3</v>
      </c>
      <c r="DK75" s="287">
        <f t="shared" si="500"/>
        <v>0.11223738786059356</v>
      </c>
      <c r="DL75" s="287">
        <f t="shared" si="500"/>
        <v>9.9683709315189217E-2</v>
      </c>
      <c r="DM75" s="287">
        <f t="shared" si="500"/>
        <v>0.12252543201017119</v>
      </c>
      <c r="DN75" s="287">
        <f t="shared" si="500"/>
        <v>0.19787193984028106</v>
      </c>
      <c r="DO75" s="287">
        <f t="shared" si="500"/>
        <v>0.20141489804411172</v>
      </c>
      <c r="DP75" s="287">
        <f t="shared" si="500"/>
        <v>0.14409421544856249</v>
      </c>
      <c r="DQ75" s="287">
        <f t="shared" si="500"/>
        <v>0.16136845292158641</v>
      </c>
      <c r="DR75" s="287">
        <f t="shared" si="500"/>
        <v>8.6222689728370661E-2</v>
      </c>
      <c r="DS75" s="287">
        <f t="shared" si="500"/>
        <v>0.15694367545205146</v>
      </c>
      <c r="DT75" s="287">
        <f t="shared" si="500"/>
        <v>0.17827821800773225</v>
      </c>
      <c r="DU75" s="287">
        <f t="shared" si="500"/>
        <v>0.37830154695147633</v>
      </c>
      <c r="DV75" s="287">
        <f t="shared" si="500"/>
        <v>0.13855365103019746</v>
      </c>
      <c r="DW75" s="287">
        <f t="shared" si="500"/>
        <v>7.7515187246461448E-2</v>
      </c>
      <c r="DX75" s="287">
        <f t="shared" si="500"/>
        <v>4.8372071083447876E-2</v>
      </c>
      <c r="DY75" s="287">
        <f t="shared" si="500"/>
        <v>0.1462207278197587</v>
      </c>
      <c r="DZ75" s="287">
        <f t="shared" si="500"/>
        <v>0.11889271311352956</v>
      </c>
      <c r="EA75" s="287">
        <f t="shared" si="500"/>
        <v>8.1321657802964298E-2</v>
      </c>
      <c r="EB75" s="287">
        <f>EB68/EA68-1</f>
        <v>0.32184701102067947</v>
      </c>
      <c r="EC75" s="287">
        <f t="shared" si="500"/>
        <v>-0.21643770301278442</v>
      </c>
      <c r="ED75" s="287">
        <f t="shared" si="500"/>
        <v>0.26467153844213498</v>
      </c>
      <c r="EE75" s="287">
        <f t="shared" si="500"/>
        <v>-0.19197091346348505</v>
      </c>
      <c r="EF75" s="287">
        <f t="shared" si="500"/>
        <v>0.10636798720285601</v>
      </c>
      <c r="EG75" s="287">
        <f t="shared" si="500"/>
        <v>0.31536714587101522</v>
      </c>
      <c r="EH75" s="287">
        <f t="shared" si="500"/>
        <v>1.5119145607491906</v>
      </c>
      <c r="EI75" s="287">
        <f t="shared" si="500"/>
        <v>-4.4512895388120866E-2</v>
      </c>
      <c r="EJ75" s="287">
        <f t="shared" ref="EJ75" si="501">EJ68/EI68-1</f>
        <v>-0.2771052323924168</v>
      </c>
      <c r="EK75" s="287">
        <f t="shared" ref="EK75" si="502">EK68/EJ68-1</f>
        <v>3.8368845263825335E-3</v>
      </c>
      <c r="EL75" s="287">
        <f t="shared" ref="EL75" si="503">EL68/EK68-1</f>
        <v>1.0241513980163264E-2</v>
      </c>
      <c r="EM75" s="287">
        <f t="shared" ref="EM75" si="504">EM68/EL68-1</f>
        <v>0.1737913262825439</v>
      </c>
      <c r="EN75" s="287">
        <f t="shared" ref="EN75" si="505">EN68/EM68-1</f>
        <v>-0.37163233622462866</v>
      </c>
      <c r="EO75" s="287">
        <f t="shared" ref="EO75" si="506">EO68/EN68-1</f>
        <v>0.22528142735671608</v>
      </c>
      <c r="EP75" s="287">
        <f t="shared" ref="EP75" si="507">EP68/EO68-1</f>
        <v>-2.7101316031453715E-3</v>
      </c>
      <c r="EQ75" s="287">
        <f t="shared" ref="EQ75" si="508">EQ68/EP68-1</f>
        <v>8.4995759185682029E-3</v>
      </c>
      <c r="ER75" s="287"/>
      <c r="ES75" s="287"/>
      <c r="ET75" s="287"/>
      <c r="EU75" s="287"/>
      <c r="EV75" s="287"/>
      <c r="EW75" s="287"/>
      <c r="EZ75" t="s">
        <v>1246</v>
      </c>
      <c r="FA75" s="79">
        <f>NPV(FA71,EP67:JJ67)+EO67+Main!Q5-Main!Q6</f>
        <v>480533.05133743305</v>
      </c>
      <c r="FD75" s="1"/>
      <c r="FE75" s="1"/>
      <c r="FF75"/>
      <c r="FG75"/>
      <c r="FH75"/>
      <c r="FI75" s="1"/>
      <c r="FJ75" s="1"/>
    </row>
    <row r="76" spans="1:257" s="279" customFormat="1" ht="12.75" customHeight="1" x14ac:dyDescent="0.2">
      <c r="A76" s="1"/>
      <c r="B76" t="s">
        <v>349</v>
      </c>
      <c r="C76" s="282">
        <f>PV(7%,4,0,-EG68)*14</f>
        <v>74.836958373802545</v>
      </c>
      <c r="D76" s="282"/>
      <c r="E76" s="282"/>
      <c r="F76" s="293"/>
      <c r="G76" s="293"/>
      <c r="H76" s="293"/>
      <c r="I76" s="294"/>
      <c r="J76" s="294"/>
      <c r="K76" s="294"/>
      <c r="L76" s="294"/>
      <c r="M76" s="294"/>
      <c r="N76" s="294"/>
      <c r="O76" s="294">
        <f t="shared" ref="O76:AT76" si="509">O3/K3-1</f>
        <v>1.3333333333333335</v>
      </c>
      <c r="P76" s="294">
        <f t="shared" si="509"/>
        <v>2.5076923076923077</v>
      </c>
      <c r="Q76" s="294">
        <f t="shared" si="509"/>
        <v>2.3629629629629627</v>
      </c>
      <c r="R76" s="294">
        <f t="shared" si="509"/>
        <v>2.3902439024390243</v>
      </c>
      <c r="S76" s="294">
        <f t="shared" si="509"/>
        <v>1.6734693877551021</v>
      </c>
      <c r="T76" s="294">
        <f t="shared" si="509"/>
        <v>0.875</v>
      </c>
      <c r="U76" s="294">
        <f t="shared" si="509"/>
        <v>1.3017621145374449</v>
      </c>
      <c r="V76" s="294">
        <f t="shared" si="509"/>
        <v>0.51079136690647475</v>
      </c>
      <c r="W76" s="294">
        <f t="shared" si="509"/>
        <v>0.87022900763358768</v>
      </c>
      <c r="X76" s="294">
        <f t="shared" si="509"/>
        <v>0.9415204678362572</v>
      </c>
      <c r="Y76" s="294">
        <f t="shared" si="509"/>
        <v>0.63157894736842102</v>
      </c>
      <c r="Z76" s="294">
        <f t="shared" si="509"/>
        <v>0.80476190476190479</v>
      </c>
      <c r="AA76" s="294">
        <f t="shared" si="509"/>
        <v>0.66938775510204085</v>
      </c>
      <c r="AB76" s="294">
        <f t="shared" si="509"/>
        <v>0.26807228915662651</v>
      </c>
      <c r="AC76" s="294">
        <f t="shared" si="509"/>
        <v>0.30205278592375362</v>
      </c>
      <c r="AD76" s="294">
        <f t="shared" si="509"/>
        <v>0.20316622691292885</v>
      </c>
      <c r="AE76" s="294">
        <f t="shared" si="509"/>
        <v>0.13447432762836176</v>
      </c>
      <c r="AF76" s="294">
        <f t="shared" si="509"/>
        <v>0.28028503562945373</v>
      </c>
      <c r="AG76" s="294">
        <f t="shared" si="509"/>
        <v>0.22747747747747749</v>
      </c>
      <c r="AH76" s="294">
        <f t="shared" si="509"/>
        <v>0.31140350877192979</v>
      </c>
      <c r="AI76" s="294">
        <f t="shared" si="509"/>
        <v>0.24353448275862077</v>
      </c>
      <c r="AJ76" s="294">
        <f t="shared" si="509"/>
        <v>0.19109461966604813</v>
      </c>
      <c r="AK76" s="294">
        <f t="shared" si="509"/>
        <v>0.14495412844036704</v>
      </c>
      <c r="AL76" s="294">
        <f t="shared" si="509"/>
        <v>0.15719063545150491</v>
      </c>
      <c r="AM76" s="294">
        <f t="shared" si="509"/>
        <v>0.18024263431542464</v>
      </c>
      <c r="AN76" s="294">
        <f t="shared" si="509"/>
        <v>0.21028037383177578</v>
      </c>
      <c r="AO76" s="294">
        <f t="shared" si="509"/>
        <v>0.24358974358974361</v>
      </c>
      <c r="AP76" s="294">
        <f t="shared" si="509"/>
        <v>0.12716763005780352</v>
      </c>
      <c r="AQ76" s="294">
        <f t="shared" si="509"/>
        <v>7.3421439060205484E-2</v>
      </c>
      <c r="AR76" s="294">
        <f t="shared" si="509"/>
        <v>0.11840411840411846</v>
      </c>
      <c r="AS76" s="294">
        <f t="shared" si="509"/>
        <v>5.5412371134020644E-2</v>
      </c>
      <c r="AT76" s="294">
        <f t="shared" si="509"/>
        <v>0.16410256410256419</v>
      </c>
      <c r="AU76" s="294">
        <f t="shared" ref="AU76:BZ76" si="510">AU3/AQ3-1</f>
        <v>0.36525307797537621</v>
      </c>
      <c r="AV76" s="294">
        <f t="shared" si="510"/>
        <v>1.9562715765247374E-2</v>
      </c>
      <c r="AW76" s="294">
        <f t="shared" si="510"/>
        <v>0.19413919413919412</v>
      </c>
      <c r="AX76" s="294">
        <f t="shared" si="510"/>
        <v>-2.4229074889867808E-2</v>
      </c>
      <c r="AY76" s="294">
        <f t="shared" si="510"/>
        <v>3.0060120240480881E-2</v>
      </c>
      <c r="AZ76" s="294">
        <f t="shared" si="510"/>
        <v>0.24379232505643333</v>
      </c>
      <c r="BA76" s="294">
        <f t="shared" si="510"/>
        <v>5.9304703476482645E-2</v>
      </c>
      <c r="BB76" s="294">
        <f t="shared" si="510"/>
        <v>0.28442437923250563</v>
      </c>
      <c r="BC76" s="294">
        <f t="shared" si="510"/>
        <v>0.15369649805447461</v>
      </c>
      <c r="BD76" s="294">
        <f t="shared" si="510"/>
        <v>2.5408348457350183E-2</v>
      </c>
      <c r="BE76" s="294">
        <f t="shared" si="510"/>
        <v>0.18629343629343631</v>
      </c>
      <c r="BF76" s="294">
        <f t="shared" si="510"/>
        <v>-6.4147627416520248E-2</v>
      </c>
      <c r="BG76" s="294">
        <f t="shared" si="510"/>
        <v>8.3473861720067433E-2</v>
      </c>
      <c r="BH76" s="294">
        <f t="shared" si="510"/>
        <v>0.21327433628318593</v>
      </c>
      <c r="BI76" s="294">
        <f t="shared" si="510"/>
        <v>0.14564686737184696</v>
      </c>
      <c r="BJ76" s="294">
        <f t="shared" si="510"/>
        <v>0.3408450704225352</v>
      </c>
      <c r="BK76" s="294">
        <f t="shared" si="510"/>
        <v>0.18365758754863815</v>
      </c>
      <c r="BL76" s="294">
        <f t="shared" si="510"/>
        <v>0.11086797957695116</v>
      </c>
      <c r="BM76" s="294">
        <f t="shared" si="510"/>
        <v>0.12997159090909083</v>
      </c>
      <c r="BN76" s="294">
        <f t="shared" si="510"/>
        <v>5.3221288515406195E-2</v>
      </c>
      <c r="BO76" s="294">
        <f t="shared" si="510"/>
        <v>5.1939513477974986E-2</v>
      </c>
      <c r="BP76" s="294">
        <f t="shared" si="510"/>
        <v>9.7833223900196886E-2</v>
      </c>
      <c r="BQ76" s="294">
        <f t="shared" si="510"/>
        <v>6.1596480201131287E-2</v>
      </c>
      <c r="BR76" s="294">
        <f t="shared" si="510"/>
        <v>0.13829787234042556</v>
      </c>
      <c r="BS76" s="294">
        <f t="shared" si="510"/>
        <v>6.2500000000000888E-3</v>
      </c>
      <c r="BT76" s="294">
        <f t="shared" si="510"/>
        <v>7.8947368421052655E-2</v>
      </c>
      <c r="BU76" s="294">
        <f t="shared" si="510"/>
        <v>5.0000000000000044E-2</v>
      </c>
      <c r="BV76" s="294">
        <f t="shared" si="510"/>
        <v>5.0000000000000044E-2</v>
      </c>
      <c r="BW76" s="294">
        <f t="shared" si="510"/>
        <v>5.0000000000000044E-2</v>
      </c>
      <c r="BX76" s="294">
        <f t="shared" si="510"/>
        <v>5.0000000000000044E-2</v>
      </c>
      <c r="BY76" s="294">
        <f t="shared" si="510"/>
        <v>5.0000000000000044E-2</v>
      </c>
      <c r="BZ76" s="294">
        <f t="shared" si="510"/>
        <v>5.0000000000000044E-2</v>
      </c>
      <c r="CA76" s="294"/>
      <c r="CB76" s="294"/>
      <c r="CC76" s="294"/>
      <c r="CD76" s="294"/>
      <c r="CE76" s="294"/>
      <c r="CF76" s="294"/>
      <c r="CG76" s="294"/>
      <c r="CH76" s="294"/>
      <c r="CI76" s="294"/>
      <c r="CJ76" s="294"/>
      <c r="CK76" s="294"/>
      <c r="CL76" s="294"/>
      <c r="CM76" s="294">
        <f t="shared" ref="CM76:CT76" si="511">+CM3/CI3-1</f>
        <v>-0.20662347012239024</v>
      </c>
      <c r="CN76" s="294">
        <f t="shared" si="511"/>
        <v>-0.16136363636363638</v>
      </c>
      <c r="CO76" s="294">
        <f t="shared" si="511"/>
        <v>-0.17621464829586653</v>
      </c>
      <c r="CP76" s="294">
        <f t="shared" si="511"/>
        <v>-0.16397415185783526</v>
      </c>
      <c r="CQ76" s="294">
        <f t="shared" si="511"/>
        <v>-0.10163339382940106</v>
      </c>
      <c r="CR76" s="294">
        <f t="shared" si="511"/>
        <v>-0.15537488708220415</v>
      </c>
      <c r="CS76" s="294">
        <f t="shared" si="511"/>
        <v>-0.18926056338028174</v>
      </c>
      <c r="CT76" s="294">
        <f t="shared" si="511"/>
        <v>-0.12946859903381647</v>
      </c>
      <c r="CU76" s="294">
        <f>+CU3/CQ3-1</f>
        <v>-0.2151515151515152</v>
      </c>
      <c r="CV76" s="294">
        <f>+CV3/CR3-1</f>
        <v>-5.0267379679144408E-2</v>
      </c>
      <c r="CW76" s="294">
        <f t="shared" ref="CW76:CX76" si="512">+CW3/CS3-1</f>
        <v>-0.17372421281216066</v>
      </c>
      <c r="CX76" s="294">
        <f t="shared" si="512"/>
        <v>-0.1520532741398446</v>
      </c>
      <c r="CY76" s="294">
        <f>+CY3/CU3-1</f>
        <v>-0.14671814671814676</v>
      </c>
      <c r="CZ76" s="294">
        <f t="shared" ref="CZ76:DF76" si="513">+CZ3/CV3-1</f>
        <v>-0.27139639639639634</v>
      </c>
      <c r="DA76" s="294">
        <f t="shared" si="513"/>
        <v>-0.26675427069645208</v>
      </c>
      <c r="DB76" s="294">
        <f t="shared" si="513"/>
        <v>-0.19999999999999996</v>
      </c>
      <c r="DC76" s="294">
        <f t="shared" si="513"/>
        <v>-0.20000000000000007</v>
      </c>
      <c r="DD76" s="294">
        <f t="shared" si="513"/>
        <v>-0.19999999999999996</v>
      </c>
      <c r="DE76" s="294">
        <f t="shared" si="513"/>
        <v>-0.19999999999999996</v>
      </c>
      <c r="DF76" s="294">
        <f t="shared" si="513"/>
        <v>-0.19999999999999996</v>
      </c>
      <c r="DH76" s="245"/>
      <c r="DI76" s="245"/>
      <c r="DJ76" s="245"/>
      <c r="DK76" s="245"/>
      <c r="DL76" s="245"/>
      <c r="DM76" s="245"/>
      <c r="DN76" s="245"/>
      <c r="DO76" s="245"/>
      <c r="DP76" s="245"/>
      <c r="DQ76" s="245"/>
      <c r="DR76" s="245"/>
      <c r="DS76" s="245"/>
      <c r="DT76" s="245"/>
      <c r="DU76" s="246">
        <f t="shared" ref="DU76:EO76" si="514">DU3/DT3-1</f>
        <v>0.79889042995839121</v>
      </c>
      <c r="DV76" s="246">
        <f t="shared" si="514"/>
        <v>0.33384734001542027</v>
      </c>
      <c r="DW76" s="246">
        <f t="shared" si="514"/>
        <v>0.23988439306358389</v>
      </c>
      <c r="DX76" s="246">
        <f t="shared" si="514"/>
        <v>0.18181818181818188</v>
      </c>
      <c r="DY76" s="246">
        <f t="shared" si="514"/>
        <v>0.18895463510848121</v>
      </c>
      <c r="DZ76" s="246">
        <f t="shared" si="514"/>
        <v>0.10384870603848717</v>
      </c>
      <c r="EA76" s="246">
        <f t="shared" si="514"/>
        <v>0.12654042681094069</v>
      </c>
      <c r="EB76" s="246">
        <f t="shared" si="514"/>
        <v>0.14834578441835644</v>
      </c>
      <c r="EC76" s="246">
        <f t="shared" si="514"/>
        <v>7.1096654275093041E-2</v>
      </c>
      <c r="ED76" s="246">
        <f t="shared" si="514"/>
        <v>0.19132321041214762</v>
      </c>
      <c r="EE76" s="246">
        <f t="shared" si="514"/>
        <v>0.11780772032046616</v>
      </c>
      <c r="EF76" s="246">
        <f t="shared" si="514"/>
        <v>8.6984850952923853E-2</v>
      </c>
      <c r="EG76" s="246">
        <f t="shared" si="514"/>
        <v>4.6763075078675387E-2</v>
      </c>
      <c r="EH76" s="246">
        <f t="shared" si="514"/>
        <v>3.0000000000000027E-2</v>
      </c>
      <c r="EI76" s="246">
        <f t="shared" si="514"/>
        <v>0</v>
      </c>
      <c r="EJ76" s="246">
        <f t="shared" si="514"/>
        <v>-5.0000000000000044E-2</v>
      </c>
      <c r="EK76" s="246">
        <f t="shared" si="514"/>
        <v>-5.0000000000000044E-2</v>
      </c>
      <c r="EL76" s="246">
        <f t="shared" si="514"/>
        <v>-5.0000000000000044E-2</v>
      </c>
      <c r="EM76" s="246">
        <f t="shared" si="514"/>
        <v>-0.3925561585795857</v>
      </c>
      <c r="EN76" s="246">
        <f t="shared" si="514"/>
        <v>-0.14865225513744329</v>
      </c>
      <c r="EO76" s="246">
        <f t="shared" si="514"/>
        <v>-0.22282131661442017</v>
      </c>
      <c r="EP76" s="246">
        <f t="shared" ref="EP76:EW76" si="515">EP3/EO3-1</f>
        <v>-5.0000000000000044E-2</v>
      </c>
      <c r="EQ76" s="246">
        <f t="shared" si="515"/>
        <v>-5.0000000000000044E-2</v>
      </c>
      <c r="ER76" s="246">
        <f t="shared" si="515"/>
        <v>-5.0000000000000044E-2</v>
      </c>
      <c r="ES76" s="246">
        <f t="shared" si="515"/>
        <v>-5.0000000000000044E-2</v>
      </c>
      <c r="ET76" s="246">
        <f t="shared" si="515"/>
        <v>-5.0000000000000044E-2</v>
      </c>
      <c r="EU76" s="246">
        <f t="shared" si="515"/>
        <v>-5.0000000000000155E-2</v>
      </c>
      <c r="EV76" s="246">
        <f t="shared" si="515"/>
        <v>-4.9999999999999933E-2</v>
      </c>
      <c r="EW76" s="246">
        <f t="shared" si="515"/>
        <v>-5.0000000000000044E-2</v>
      </c>
      <c r="EZ76" s="1" t="s">
        <v>1248</v>
      </c>
      <c r="FA76" s="295">
        <f>FA75/Main!Q3</f>
        <v>180.58363447479633</v>
      </c>
      <c r="FD76" s="290"/>
      <c r="FE76" s="290"/>
      <c r="FF76" s="291"/>
      <c r="FG76"/>
      <c r="FH76" s="290"/>
      <c r="FI76" s="290"/>
      <c r="FJ76" s="290"/>
    </row>
    <row r="77" spans="1:257" s="279" customFormat="1" ht="12.75" customHeight="1" x14ac:dyDescent="0.2">
      <c r="A77" s="1"/>
      <c r="B77" t="s">
        <v>1650</v>
      </c>
      <c r="C77" s="282"/>
      <c r="D77" s="282"/>
      <c r="E77" s="282"/>
      <c r="F77" s="293"/>
      <c r="G77" s="293"/>
      <c r="H77" s="293"/>
      <c r="I77" s="294"/>
      <c r="J77" s="294"/>
      <c r="K77" s="294"/>
      <c r="L77" s="294"/>
      <c r="M77" s="294"/>
      <c r="N77" s="294"/>
      <c r="O77" s="294"/>
      <c r="P77" s="294"/>
      <c r="Q77" s="294"/>
      <c r="R77" s="294"/>
      <c r="S77" s="294"/>
      <c r="T77" s="294"/>
      <c r="U77" s="294"/>
      <c r="V77" s="294"/>
      <c r="W77" s="294"/>
      <c r="X77" s="294"/>
      <c r="Y77" s="294"/>
      <c r="Z77" s="294"/>
      <c r="AA77" s="294"/>
      <c r="AB77" s="294"/>
      <c r="AC77" s="294"/>
      <c r="AD77" s="294"/>
      <c r="AE77" s="294"/>
      <c r="AF77" s="294"/>
      <c r="AG77" s="294"/>
      <c r="AH77" s="294"/>
      <c r="AI77" s="294"/>
      <c r="AJ77" s="294"/>
      <c r="AK77" s="294"/>
      <c r="AL77" s="294"/>
      <c r="AM77" s="294"/>
      <c r="AN77" s="294"/>
      <c r="AO77" s="294"/>
      <c r="AP77" s="294"/>
      <c r="AQ77" s="294"/>
      <c r="AR77" s="294"/>
      <c r="AS77" s="294"/>
      <c r="AT77" s="294"/>
      <c r="AU77" s="294"/>
      <c r="AV77" s="294"/>
      <c r="AW77" s="294"/>
      <c r="AX77" s="294"/>
      <c r="AY77" s="294"/>
      <c r="AZ77" s="294"/>
      <c r="BA77" s="294"/>
      <c r="BB77" s="294"/>
      <c r="BC77" s="294"/>
      <c r="BD77" s="294"/>
      <c r="BE77" s="294"/>
      <c r="BF77" s="294"/>
      <c r="BG77" s="294"/>
      <c r="BH77" s="294"/>
      <c r="BI77" s="294"/>
      <c r="BJ77" s="294"/>
      <c r="BK77" s="294">
        <f t="shared" ref="BK77:BZ77" si="516">+BK4/BG4-1</f>
        <v>0.22105263157894739</v>
      </c>
      <c r="BL77" s="294">
        <f t="shared" si="516"/>
        <v>0.86567164179104483</v>
      </c>
      <c r="BM77" s="294">
        <f t="shared" si="516"/>
        <v>0.43410852713178305</v>
      </c>
      <c r="BN77" s="294">
        <f t="shared" si="516"/>
        <v>0.52100840336134446</v>
      </c>
      <c r="BO77" s="294">
        <f t="shared" si="516"/>
        <v>1.0431034482758621</v>
      </c>
      <c r="BP77" s="294">
        <f t="shared" si="516"/>
        <v>0.39999999999999991</v>
      </c>
      <c r="BQ77" s="294">
        <f t="shared" si="516"/>
        <v>0.43783783783783781</v>
      </c>
      <c r="BR77" s="294">
        <f t="shared" si="516"/>
        <v>0.40331491712707179</v>
      </c>
      <c r="BS77" s="294">
        <f t="shared" si="516"/>
        <v>9.2827004219409259E-2</v>
      </c>
      <c r="BT77" s="294">
        <f t="shared" si="516"/>
        <v>0.61142857142857143</v>
      </c>
      <c r="BU77" s="294">
        <f t="shared" si="516"/>
        <v>0.19999999999999996</v>
      </c>
      <c r="BV77" s="294">
        <f t="shared" si="516"/>
        <v>0.19999999999999996</v>
      </c>
      <c r="BW77" s="294">
        <f t="shared" si="516"/>
        <v>0.19999999999999996</v>
      </c>
      <c r="BX77" s="294">
        <f t="shared" si="516"/>
        <v>0.19999999999999996</v>
      </c>
      <c r="BY77" s="294">
        <f t="shared" si="516"/>
        <v>0.19999999999999996</v>
      </c>
      <c r="BZ77" s="294">
        <f t="shared" si="516"/>
        <v>0.19999999999999996</v>
      </c>
      <c r="CA77" s="294"/>
      <c r="CB77" s="294"/>
      <c r="CC77" s="294"/>
      <c r="CD77" s="294"/>
      <c r="CE77" s="294"/>
      <c r="CF77" s="294"/>
      <c r="CG77" s="294"/>
      <c r="CH77" s="294"/>
      <c r="CI77" s="294"/>
      <c r="CJ77" s="294"/>
      <c r="CK77" s="294"/>
      <c r="CL77" s="294"/>
      <c r="CM77" s="294">
        <f t="shared" ref="CM77:CT77" si="517">+CM4/CI4-1</f>
        <v>1.158301158301156E-2</v>
      </c>
      <c r="CN77" s="294">
        <f t="shared" si="517"/>
        <v>2.7372262773722733E-2</v>
      </c>
      <c r="CO77" s="294">
        <f t="shared" si="517"/>
        <v>9.3283582089552342E-2</v>
      </c>
      <c r="CP77" s="294">
        <f t="shared" si="517"/>
        <v>6.846473029045641E-2</v>
      </c>
      <c r="CQ77" s="294">
        <f t="shared" si="517"/>
        <v>9.5419847328244156E-3</v>
      </c>
      <c r="CR77" s="294">
        <f t="shared" si="517"/>
        <v>-3.0195381882770822E-2</v>
      </c>
      <c r="CS77" s="294">
        <f t="shared" si="517"/>
        <v>1.0238907849829282E-2</v>
      </c>
      <c r="CT77" s="294">
        <f t="shared" si="517"/>
        <v>0.11844660194174761</v>
      </c>
      <c r="CU77" s="294">
        <f>+CU4/CQ4-1</f>
        <v>6.2381852551984807E-2</v>
      </c>
      <c r="CV77" s="294">
        <f>+CV4/CR4-1</f>
        <v>6.9597069597069572E-2</v>
      </c>
      <c r="CW77" s="294">
        <f t="shared" ref="CW77:CX77" si="518">+CW4/CS4-1</f>
        <v>-3.5472972972973027E-2</v>
      </c>
      <c r="CX77" s="294">
        <f t="shared" si="518"/>
        <v>-2.951388888888884E-2</v>
      </c>
      <c r="CY77" s="294">
        <f>+CY4/CU4-1</f>
        <v>1.6014234875444844E-2</v>
      </c>
      <c r="CZ77" s="294">
        <f t="shared" ref="CZ77:DF77" si="519">+CZ4/CV4-1</f>
        <v>-3.082191780821919E-2</v>
      </c>
      <c r="DA77" s="294">
        <f t="shared" si="519"/>
        <v>-4.5534150612959734E-2</v>
      </c>
      <c r="DB77" s="294">
        <f t="shared" si="519"/>
        <v>2.1466905187835339E-2</v>
      </c>
      <c r="DC77" s="294">
        <f t="shared" si="519"/>
        <v>-2.1015761821365997E-2</v>
      </c>
      <c r="DD77" s="294">
        <f t="shared" si="519"/>
        <v>8.8339222614841617E-3</v>
      </c>
      <c r="DE77" s="294">
        <f t="shared" si="519"/>
        <v>3.8532110091743066E-2</v>
      </c>
      <c r="DF77" s="294">
        <f t="shared" si="519"/>
        <v>-4.5534150612959734E-2</v>
      </c>
      <c r="DH77" s="245"/>
      <c r="DI77" s="245"/>
      <c r="DJ77" s="245"/>
      <c r="DK77" s="245"/>
      <c r="DL77" s="245"/>
      <c r="DM77" s="245"/>
      <c r="DN77" s="245"/>
      <c r="DO77" s="245"/>
      <c r="DP77" s="245"/>
      <c r="DQ77" s="245"/>
      <c r="DR77" s="245"/>
      <c r="DS77" s="245"/>
      <c r="DT77" s="245"/>
      <c r="DU77" s="246"/>
      <c r="DV77" s="246"/>
      <c r="DW77" s="246"/>
      <c r="DX77" s="246"/>
      <c r="DY77" s="246"/>
      <c r="DZ77" s="246"/>
      <c r="EA77" s="265" t="s">
        <v>1319</v>
      </c>
      <c r="EB77" s="265" t="s">
        <v>1319</v>
      </c>
      <c r="EC77" s="265" t="s">
        <v>1319</v>
      </c>
      <c r="ED77" s="265" t="s">
        <v>1319</v>
      </c>
      <c r="EE77" s="246">
        <f t="shared" ref="EE77:EQ77" si="520">EE4/ED4-1</f>
        <v>0.48048780487804876</v>
      </c>
      <c r="EF77" s="246">
        <f t="shared" si="520"/>
        <v>0.53542009884678743</v>
      </c>
      <c r="EG77" s="246">
        <f t="shared" si="520"/>
        <v>0.25</v>
      </c>
      <c r="EH77" s="246">
        <f t="shared" si="520"/>
        <v>0.10000000000000009</v>
      </c>
      <c r="EI77" s="246">
        <f t="shared" si="520"/>
        <v>5.0000000000000044E-2</v>
      </c>
      <c r="EJ77" s="246">
        <f t="shared" si="520"/>
        <v>5.0000000000000044E-2</v>
      </c>
      <c r="EK77" s="246">
        <f t="shared" si="520"/>
        <v>5.0000000000000044E-2</v>
      </c>
      <c r="EL77" s="246">
        <f t="shared" si="520"/>
        <v>5.0000000000000044E-2</v>
      </c>
      <c r="EM77" s="246">
        <f t="shared" si="520"/>
        <v>0.43997007487958717</v>
      </c>
      <c r="EN77" s="246">
        <f t="shared" si="520"/>
        <v>1.471243869817207E-2</v>
      </c>
      <c r="EO77" s="246">
        <f t="shared" si="520"/>
        <v>-1.0105448154657304E-2</v>
      </c>
      <c r="EP77" s="246">
        <f t="shared" si="520"/>
        <v>1.0000000000000009E-2</v>
      </c>
      <c r="EQ77" s="246">
        <f t="shared" si="520"/>
        <v>1.0000000000000009E-2</v>
      </c>
      <c r="ER77" s="246"/>
      <c r="ES77" s="246"/>
      <c r="ET77" s="246"/>
      <c r="EU77" s="246"/>
      <c r="EV77" s="246"/>
      <c r="EW77" s="246"/>
      <c r="EZ77" t="s">
        <v>1247</v>
      </c>
      <c r="FA77" s="3">
        <f>FA76/170-1</f>
        <v>6.2256673381154926E-2</v>
      </c>
      <c r="FD77" s="290"/>
      <c r="FE77" s="290"/>
      <c r="FF77" s="291"/>
      <c r="FG77"/>
      <c r="FH77" s="290"/>
      <c r="FI77" s="290"/>
      <c r="FJ77" s="290"/>
    </row>
    <row r="78" spans="1:257" s="279" customFormat="1" ht="12.75" customHeight="1" x14ac:dyDescent="0.2">
      <c r="A78" s="1"/>
      <c r="B78" t="s">
        <v>1649</v>
      </c>
      <c r="C78" s="282"/>
      <c r="D78" s="282"/>
      <c r="E78" s="282"/>
      <c r="F78" s="293"/>
      <c r="G78" s="293"/>
      <c r="H78" s="293"/>
      <c r="I78" s="294"/>
      <c r="J78" s="294"/>
      <c r="K78" s="294"/>
      <c r="L78" s="294"/>
      <c r="M78" s="294"/>
      <c r="N78" s="294"/>
      <c r="O78" s="294"/>
      <c r="P78" s="294"/>
      <c r="Q78" s="294"/>
      <c r="R78" s="294"/>
      <c r="S78" s="294"/>
      <c r="T78" s="294"/>
      <c r="U78" s="294"/>
      <c r="V78" s="294"/>
      <c r="W78" s="294"/>
      <c r="X78" s="294"/>
      <c r="Y78" s="294"/>
      <c r="Z78" s="294"/>
      <c r="AA78" s="294"/>
      <c r="AB78" s="294"/>
      <c r="AC78" s="294"/>
      <c r="AD78" s="294"/>
      <c r="AE78" s="294"/>
      <c r="AF78" s="294"/>
      <c r="AG78" s="294"/>
      <c r="AH78" s="294"/>
      <c r="AI78" s="294"/>
      <c r="AJ78" s="294"/>
      <c r="AK78" s="294"/>
      <c r="AL78" s="294"/>
      <c r="AM78" s="294"/>
      <c r="AN78" s="294"/>
      <c r="AO78" s="294"/>
      <c r="AP78" s="294"/>
      <c r="AQ78" s="294"/>
      <c r="AR78" s="294"/>
      <c r="AS78" s="294"/>
      <c r="AT78" s="294"/>
      <c r="AU78" s="294"/>
      <c r="AV78" s="294"/>
      <c r="AW78" s="294"/>
      <c r="AX78" s="294"/>
      <c r="AY78" s="294"/>
      <c r="AZ78" s="294"/>
      <c r="BA78" s="294"/>
      <c r="BB78" s="294"/>
      <c r="BC78" s="294"/>
      <c r="BD78" s="294"/>
      <c r="BE78" s="294"/>
      <c r="BF78" s="294"/>
      <c r="BG78" s="294"/>
      <c r="BH78" s="294"/>
      <c r="BI78" s="294" t="s">
        <v>1319</v>
      </c>
      <c r="BJ78" s="294" t="s">
        <v>1319</v>
      </c>
      <c r="BK78" s="294">
        <f t="shared" ref="BK78:BZ78" si="521">+BK6/BG6-1</f>
        <v>0.33132530120481918</v>
      </c>
      <c r="BL78" s="294">
        <f t="shared" si="521"/>
        <v>0.40909090909090917</v>
      </c>
      <c r="BM78" s="294">
        <f t="shared" si="521"/>
        <v>0.5185185185185186</v>
      </c>
      <c r="BN78" s="294">
        <f t="shared" si="521"/>
        <v>0.29951690821256038</v>
      </c>
      <c r="BO78" s="294">
        <f t="shared" si="521"/>
        <v>0.56561085972850678</v>
      </c>
      <c r="BP78" s="294">
        <f t="shared" si="521"/>
        <v>0.49596774193548376</v>
      </c>
      <c r="BQ78" s="294">
        <f t="shared" si="521"/>
        <v>0.28919860627177707</v>
      </c>
      <c r="BR78" s="294">
        <f t="shared" si="521"/>
        <v>0.55018587360594795</v>
      </c>
      <c r="BS78" s="294">
        <f t="shared" si="521"/>
        <v>0.31791907514450868</v>
      </c>
      <c r="BT78" s="294">
        <f t="shared" si="521"/>
        <v>0.42318059299191368</v>
      </c>
      <c r="BU78" s="294">
        <f t="shared" si="521"/>
        <v>0.25</v>
      </c>
      <c r="BV78" s="294">
        <f t="shared" si="521"/>
        <v>0.25</v>
      </c>
      <c r="BW78" s="294">
        <f t="shared" si="521"/>
        <v>0.25</v>
      </c>
      <c r="BX78" s="294">
        <f t="shared" si="521"/>
        <v>0.25</v>
      </c>
      <c r="BY78" s="294">
        <f t="shared" si="521"/>
        <v>0.25</v>
      </c>
      <c r="BZ78" s="294">
        <f t="shared" si="521"/>
        <v>0.25</v>
      </c>
      <c r="CA78" s="294"/>
      <c r="CB78" s="294"/>
      <c r="CC78" s="294"/>
      <c r="CD78" s="294"/>
      <c r="CE78" s="294"/>
      <c r="CF78" s="294"/>
      <c r="CG78" s="294"/>
      <c r="CH78" s="294"/>
      <c r="CI78" s="294"/>
      <c r="CJ78" s="294"/>
      <c r="CK78" s="294"/>
      <c r="CL78" s="294"/>
      <c r="CM78" s="294">
        <f t="shared" ref="CM78:CO78" si="522">+CM6/CI6-1</f>
        <v>0.32422243166823761</v>
      </c>
      <c r="CN78" s="294">
        <f t="shared" si="522"/>
        <v>0.16181953765846391</v>
      </c>
      <c r="CO78" s="294">
        <f t="shared" si="522"/>
        <v>0.29618320610687032</v>
      </c>
      <c r="CP78" s="294">
        <f t="shared" ref="CP78" si="523">+CP6/CL6-1</f>
        <v>0.17728531855955687</v>
      </c>
      <c r="CQ78" s="294">
        <f t="shared" ref="CQ78" si="524">+CQ6/CM6-1</f>
        <v>0.29466192170818495</v>
      </c>
      <c r="CR78" s="294">
        <f t="shared" ref="CR78" si="525">+CR6/CN6-1</f>
        <v>8.9216944801026932E-2</v>
      </c>
      <c r="CS78" s="294">
        <f t="shared" ref="CS78" si="526">+CS6/CO6-1</f>
        <v>0.14664310954063597</v>
      </c>
      <c r="CT78" s="294">
        <f t="shared" ref="CT78" si="527">+CT6/CP6-1</f>
        <v>0.32000000000000006</v>
      </c>
      <c r="CU78" s="294">
        <f t="shared" ref="CU78" si="528">+CU6/CQ6-1</f>
        <v>0.18086860912589331</v>
      </c>
      <c r="CV78" s="294">
        <f t="shared" ref="CV78" si="529">+CV6/CR6-1</f>
        <v>0.34001178550383027</v>
      </c>
      <c r="CW78" s="294">
        <f t="shared" ref="CW78:CX78" si="530">+CW6/CS6-1</f>
        <v>0.2213662044170519</v>
      </c>
      <c r="CX78" s="294">
        <f t="shared" si="530"/>
        <v>4.0106951871657692E-2</v>
      </c>
      <c r="CY78" s="294">
        <f>+CY6/CU6-1</f>
        <v>6.5176908752327734E-2</v>
      </c>
      <c r="CZ78" s="294">
        <f t="shared" ref="CZ78:DF78" si="531">+CZ6/CV6-1</f>
        <v>0.14291996481970104</v>
      </c>
      <c r="DA78" s="294">
        <f t="shared" si="531"/>
        <v>2.9857022708158043E-2</v>
      </c>
      <c r="DB78" s="294">
        <f t="shared" si="531"/>
        <v>1.0000000000000009E-2</v>
      </c>
      <c r="DC78" s="294">
        <f t="shared" si="531"/>
        <v>1.0000000000000009E-2</v>
      </c>
      <c r="DD78" s="294">
        <f t="shared" si="531"/>
        <v>1.0000000000000009E-2</v>
      </c>
      <c r="DE78" s="294">
        <f t="shared" si="531"/>
        <v>1.0000000000000009E-2</v>
      </c>
      <c r="DF78" s="294">
        <f t="shared" si="531"/>
        <v>1.0000000000000009E-2</v>
      </c>
      <c r="DH78" s="245"/>
      <c r="DI78" s="245"/>
      <c r="DJ78" s="245"/>
      <c r="DK78" s="245"/>
      <c r="DL78" s="245"/>
      <c r="DM78" s="245"/>
      <c r="DN78" s="245"/>
      <c r="DO78" s="245"/>
      <c r="DP78" s="245"/>
      <c r="DQ78" s="245"/>
      <c r="DR78" s="245"/>
      <c r="DS78" s="245"/>
      <c r="DT78" s="245"/>
      <c r="DU78" s="246"/>
      <c r="DV78" s="246"/>
      <c r="DW78" s="246"/>
      <c r="DX78" s="246"/>
      <c r="DY78" s="246"/>
      <c r="DZ78" s="246"/>
      <c r="EA78" s="246"/>
      <c r="EB78" s="246"/>
      <c r="EC78" s="265" t="s">
        <v>1319</v>
      </c>
      <c r="ED78" s="265" t="s">
        <v>1319</v>
      </c>
      <c r="EE78" s="246">
        <f t="shared" ref="EE78:EQ78" si="532">EE6/ED6-1</f>
        <v>0.38888888888888884</v>
      </c>
      <c r="EF78" s="246">
        <f t="shared" si="532"/>
        <v>0.46731707317073168</v>
      </c>
      <c r="EG78" s="246">
        <f t="shared" si="532"/>
        <v>0.30834441489361697</v>
      </c>
      <c r="EH78" s="246">
        <f t="shared" si="532"/>
        <v>0.14999999999999991</v>
      </c>
      <c r="EI78" s="246">
        <f t="shared" si="532"/>
        <v>0.14999999999999991</v>
      </c>
      <c r="EJ78" s="246">
        <f t="shared" si="532"/>
        <v>1.0000000000000009E-2</v>
      </c>
      <c r="EK78" s="246">
        <f t="shared" si="532"/>
        <v>1.0000000000000009E-2</v>
      </c>
      <c r="EL78" s="246">
        <f t="shared" si="532"/>
        <v>1.0000000000000009E-2</v>
      </c>
      <c r="EM78" s="246">
        <f t="shared" si="532"/>
        <v>1.8744558059497129</v>
      </c>
      <c r="EN78" s="246">
        <f t="shared" si="532"/>
        <v>0.18515635136888542</v>
      </c>
      <c r="EO78" s="246">
        <f t="shared" si="532"/>
        <v>6.1237135975476198E-2</v>
      </c>
      <c r="EP78" s="246">
        <f t="shared" si="532"/>
        <v>1.0000000000000009E-2</v>
      </c>
      <c r="EQ78" s="246">
        <f t="shared" si="532"/>
        <v>1.0000000000000009E-2</v>
      </c>
      <c r="ER78" s="246"/>
      <c r="ES78" s="246"/>
      <c r="ET78" s="246"/>
      <c r="EU78" s="246"/>
      <c r="EV78" s="246"/>
      <c r="EW78" s="246"/>
      <c r="EZ78"/>
      <c r="FA78" s="292"/>
      <c r="FD78" s="290"/>
      <c r="FE78" s="290"/>
      <c r="FF78" s="291"/>
      <c r="FG78"/>
      <c r="FH78" s="290"/>
      <c r="FI78" s="290"/>
      <c r="FJ78" s="290"/>
    </row>
    <row r="79" spans="1:257" s="279" customFormat="1" ht="12.75" customHeight="1" x14ac:dyDescent="0.2">
      <c r="A79" s="1"/>
      <c r="B79" t="s">
        <v>1711</v>
      </c>
      <c r="C79" s="282"/>
      <c r="D79" s="282"/>
      <c r="E79" s="282"/>
      <c r="F79" s="293"/>
      <c r="G79" s="293"/>
      <c r="H79" s="293"/>
      <c r="I79" s="294"/>
      <c r="J79" s="294"/>
      <c r="K79" s="294"/>
      <c r="L79" s="294"/>
      <c r="M79" s="294"/>
      <c r="N79" s="294"/>
      <c r="O79" s="294"/>
      <c r="P79" s="294"/>
      <c r="Q79" s="294"/>
      <c r="R79" s="294"/>
      <c r="S79" s="294"/>
      <c r="T79" s="294"/>
      <c r="U79" s="294"/>
      <c r="V79" s="294"/>
      <c r="W79" s="294"/>
      <c r="X79" s="294"/>
      <c r="Y79" s="294"/>
      <c r="Z79" s="294"/>
      <c r="AA79" s="294"/>
      <c r="AB79" s="294"/>
      <c r="AC79" s="294"/>
      <c r="AD79" s="294"/>
      <c r="AE79" s="294"/>
      <c r="AF79" s="294"/>
      <c r="AG79" s="294"/>
      <c r="AH79" s="294"/>
      <c r="AI79" s="294"/>
      <c r="AJ79" s="294"/>
      <c r="AK79" s="294"/>
      <c r="AL79" s="294"/>
      <c r="AM79" s="294"/>
      <c r="AN79" s="294"/>
      <c r="AO79" s="294"/>
      <c r="AP79" s="294"/>
      <c r="AQ79" s="294"/>
      <c r="AR79" s="294"/>
      <c r="AS79" s="294"/>
      <c r="AT79" s="294"/>
      <c r="AU79" s="294"/>
      <c r="AV79" s="294"/>
      <c r="AW79" s="294"/>
      <c r="AX79" s="294"/>
      <c r="AY79" s="294"/>
      <c r="AZ79" s="294"/>
      <c r="BA79" s="294"/>
      <c r="BB79" s="294"/>
      <c r="BC79" s="294"/>
      <c r="BD79" s="294"/>
      <c r="BE79" s="294"/>
      <c r="BF79" s="294"/>
      <c r="BG79" s="294"/>
      <c r="BH79" s="294"/>
      <c r="BI79" s="294"/>
      <c r="BJ79" s="294"/>
      <c r="BK79" s="294"/>
      <c r="BL79" s="294"/>
      <c r="BM79" s="294"/>
      <c r="BN79" s="294"/>
      <c r="BO79" s="294"/>
      <c r="BP79" s="294"/>
      <c r="BQ79" s="294"/>
      <c r="BR79" s="294"/>
      <c r="BS79" s="294"/>
      <c r="BT79" s="294"/>
      <c r="BU79" s="294"/>
      <c r="BV79" s="294"/>
      <c r="BW79" s="294"/>
      <c r="BX79" s="294"/>
      <c r="BY79" s="294"/>
      <c r="BZ79" s="294"/>
      <c r="CA79" s="294"/>
      <c r="CB79" s="294"/>
      <c r="CC79" s="294"/>
      <c r="CD79" s="294"/>
      <c r="CE79" s="294"/>
      <c r="CF79" s="294"/>
      <c r="CG79" s="294"/>
      <c r="CH79" s="294"/>
      <c r="CI79" s="294"/>
      <c r="CJ79" s="294"/>
      <c r="CK79" s="294"/>
      <c r="CL79" s="294"/>
      <c r="CM79" s="294">
        <f t="shared" ref="CM79:CO79" si="533">+CM5/CI5-1</f>
        <v>2.0138888888888888</v>
      </c>
      <c r="CN79" s="294">
        <f t="shared" si="533"/>
        <v>0.86507936507936511</v>
      </c>
      <c r="CO79" s="294">
        <f t="shared" si="533"/>
        <v>0.69590643274853803</v>
      </c>
      <c r="CP79" s="294">
        <f t="shared" ref="CP79" si="534">+CP5/CL5-1</f>
        <v>0.54285714285714293</v>
      </c>
      <c r="CQ79" s="294">
        <f t="shared" ref="CQ79" si="535">+CQ5/CM5-1</f>
        <v>0.3640552995391706</v>
      </c>
      <c r="CR79" s="294">
        <f t="shared" ref="CR79" si="536">+CR5/CN5-1</f>
        <v>0.45531914893617031</v>
      </c>
      <c r="CS79" s="294">
        <f t="shared" ref="CS79" si="537">+CS5/CO5-1</f>
        <v>0.12758620689655165</v>
      </c>
      <c r="CT79" s="294">
        <f t="shared" ref="CT79" si="538">+CT5/CP5-1</f>
        <v>0.41481481481481475</v>
      </c>
      <c r="CU79" s="294">
        <f t="shared" ref="CU79:CX79" si="539">+CU5/CQ5-1</f>
        <v>0.41216216216216206</v>
      </c>
      <c r="CV79" s="294">
        <f t="shared" si="539"/>
        <v>0.40058479532163749</v>
      </c>
      <c r="CW79" s="294">
        <f t="shared" si="539"/>
        <v>0.64220183486238525</v>
      </c>
      <c r="CX79" s="294">
        <f t="shared" si="539"/>
        <v>0.81413612565445037</v>
      </c>
      <c r="CY79" s="294">
        <f>+CY5/CU5-1</f>
        <v>0.41148325358851667</v>
      </c>
      <c r="CZ79" s="294">
        <f t="shared" ref="CZ79:DF79" si="540">+CZ5/CV5-1</f>
        <v>0.24634655532359084</v>
      </c>
      <c r="DA79" s="294">
        <f t="shared" si="540"/>
        <v>0.35754189944134085</v>
      </c>
      <c r="DB79" s="294">
        <f t="shared" si="540"/>
        <v>0.35000000000000009</v>
      </c>
      <c r="DC79" s="294">
        <f t="shared" si="540"/>
        <v>0.35000000000000009</v>
      </c>
      <c r="DD79" s="294">
        <f t="shared" si="540"/>
        <v>0.35000000000000009</v>
      </c>
      <c r="DE79" s="294">
        <f t="shared" si="540"/>
        <v>0.35000000000000009</v>
      </c>
      <c r="DF79" s="294">
        <f t="shared" si="540"/>
        <v>0.34999999999999987</v>
      </c>
      <c r="DH79" s="245"/>
      <c r="DI79" s="245"/>
      <c r="DJ79" s="245"/>
      <c r="DK79" s="245"/>
      <c r="DL79" s="245"/>
      <c r="DM79" s="245"/>
      <c r="DN79" s="245"/>
      <c r="DO79" s="245"/>
      <c r="DP79" s="245"/>
      <c r="DQ79" s="245"/>
      <c r="DR79" s="245"/>
      <c r="DS79" s="245"/>
      <c r="DT79" s="245"/>
      <c r="DU79" s="246"/>
      <c r="DV79" s="246"/>
      <c r="DW79" s="246"/>
      <c r="DX79" s="246"/>
      <c r="DY79" s="246"/>
      <c r="DZ79" s="246"/>
      <c r="EA79" s="246"/>
      <c r="EB79" s="246"/>
      <c r="EC79" s="265"/>
      <c r="ED79" s="265"/>
      <c r="EE79" s="246"/>
      <c r="EF79" s="246"/>
      <c r="EG79" s="246"/>
      <c r="EH79" s="246"/>
      <c r="EI79" s="246"/>
      <c r="EJ79" s="246"/>
      <c r="EK79" s="246"/>
      <c r="EL79" s="246"/>
      <c r="EM79" s="246"/>
      <c r="EN79" s="246"/>
      <c r="EO79" s="246"/>
      <c r="EP79" s="246"/>
      <c r="EQ79" s="246"/>
      <c r="ER79" s="246"/>
      <c r="ES79" s="246"/>
      <c r="ET79" s="246"/>
      <c r="EU79" s="246"/>
      <c r="EV79" s="246"/>
      <c r="EW79" s="246"/>
      <c r="EZ79"/>
      <c r="FA79" s="292"/>
      <c r="FD79" s="290"/>
      <c r="FE79" s="290"/>
      <c r="FF79" s="291"/>
      <c r="FG79"/>
      <c r="FH79" s="290"/>
      <c r="FI79" s="290"/>
      <c r="FJ79" s="290"/>
    </row>
    <row r="80" spans="1:257" s="279" customFormat="1" ht="12.75" customHeight="1" x14ac:dyDescent="0.2">
      <c r="A80" s="1"/>
      <c r="B80" t="s">
        <v>1712</v>
      </c>
      <c r="C80" s="282"/>
      <c r="D80" s="282"/>
      <c r="E80" s="282"/>
      <c r="F80" s="293"/>
      <c r="G80" s="293"/>
      <c r="H80" s="293"/>
      <c r="I80" s="294"/>
      <c r="J80" s="294"/>
      <c r="K80" s="294"/>
      <c r="L80" s="294"/>
      <c r="M80" s="294"/>
      <c r="N80" s="294"/>
      <c r="O80" s="294"/>
      <c r="P80" s="294"/>
      <c r="Q80" s="294"/>
      <c r="R80" s="294"/>
      <c r="S80" s="294"/>
      <c r="T80" s="294"/>
      <c r="U80" s="294"/>
      <c r="V80" s="294"/>
      <c r="W80" s="294"/>
      <c r="X80" s="294"/>
      <c r="Y80" s="294"/>
      <c r="Z80" s="294"/>
      <c r="AA80" s="294"/>
      <c r="AB80" s="294"/>
      <c r="AC80" s="294"/>
      <c r="AD80" s="294"/>
      <c r="AE80" s="294"/>
      <c r="AF80" s="294"/>
      <c r="AG80" s="294"/>
      <c r="AH80" s="294"/>
      <c r="AI80" s="294"/>
      <c r="AJ80" s="294"/>
      <c r="AK80" s="294"/>
      <c r="AL80" s="294"/>
      <c r="AM80" s="294"/>
      <c r="AN80" s="294"/>
      <c r="AO80" s="294"/>
      <c r="AP80" s="294"/>
      <c r="AQ80" s="294"/>
      <c r="AR80" s="294"/>
      <c r="AS80" s="294"/>
      <c r="AT80" s="294"/>
      <c r="AU80" s="294"/>
      <c r="AV80" s="294"/>
      <c r="AW80" s="294"/>
      <c r="AX80" s="294"/>
      <c r="AY80" s="294"/>
      <c r="AZ80" s="294"/>
      <c r="BA80" s="294"/>
      <c r="BB80" s="294"/>
      <c r="BC80" s="294"/>
      <c r="BD80" s="294"/>
      <c r="BE80" s="294"/>
      <c r="BF80" s="294"/>
      <c r="BG80" s="294"/>
      <c r="BH80" s="294"/>
      <c r="BI80" s="294"/>
      <c r="BJ80" s="294"/>
      <c r="BK80" s="294"/>
      <c r="BL80" s="294"/>
      <c r="BM80" s="294"/>
      <c r="BN80" s="294"/>
      <c r="BO80" s="294"/>
      <c r="BP80" s="294"/>
      <c r="BQ80" s="294"/>
      <c r="BR80" s="294"/>
      <c r="BS80" s="294"/>
      <c r="BT80" s="294"/>
      <c r="BU80" s="294"/>
      <c r="BV80" s="294"/>
      <c r="BW80" s="294"/>
      <c r="BX80" s="294"/>
      <c r="BY80" s="294"/>
      <c r="BZ80" s="294"/>
      <c r="CA80" s="294"/>
      <c r="CB80" s="294"/>
      <c r="CC80" s="294"/>
      <c r="CD80" s="294"/>
      <c r="CE80" s="294"/>
      <c r="CF80" s="294"/>
      <c r="CG80" s="294"/>
      <c r="CH80" s="294"/>
      <c r="CI80" s="294"/>
      <c r="CJ80" s="294"/>
      <c r="CK80" s="294"/>
      <c r="CL80" s="294"/>
      <c r="CM80" s="294">
        <f t="shared" ref="CM80:CO80" si="541">CM11/CI11-1</f>
        <v>0.13505747126436773</v>
      </c>
      <c r="CN80" s="294">
        <f t="shared" si="541"/>
        <v>0.13611111111111107</v>
      </c>
      <c r="CO80" s="294">
        <f t="shared" si="541"/>
        <v>0.13618157543391196</v>
      </c>
      <c r="CP80" s="294">
        <f t="shared" ref="CP80" si="542">CP11/CL11-1</f>
        <v>0.1415465268676277</v>
      </c>
      <c r="CQ80" s="294">
        <f t="shared" ref="CQ80" si="543">CQ11/CM11-1</f>
        <v>0.11772151898734173</v>
      </c>
      <c r="CR80" s="294">
        <f t="shared" ref="CR80" si="544">CR11/CN11-1</f>
        <v>7.457212713936423E-2</v>
      </c>
      <c r="CS80" s="294">
        <f t="shared" ref="CS80" si="545">CS11/CO11-1</f>
        <v>8.8131609870740313E-2</v>
      </c>
      <c r="CT80" s="294">
        <f t="shared" ref="CT80" si="546">CT11/CP11-1</f>
        <v>0.10792192881745111</v>
      </c>
      <c r="CU80" s="294">
        <f t="shared" ref="CU80:CX80" si="547">CU11/CQ11-1</f>
        <v>9.2865232163080513E-2</v>
      </c>
      <c r="CV80" s="294">
        <f t="shared" si="547"/>
        <v>0.16496018202502838</v>
      </c>
      <c r="CW80" s="294">
        <f t="shared" si="547"/>
        <v>8.4233261339092813E-2</v>
      </c>
      <c r="CX80" s="294">
        <f t="shared" si="547"/>
        <v>6.6321243523316031E-2</v>
      </c>
      <c r="CY80" s="294">
        <f>CY11/CU11-1</f>
        <v>8.6010362694300513E-2</v>
      </c>
      <c r="CZ80" s="294">
        <f t="shared" ref="CZ80:DF80" si="548">CZ11/CV11-1</f>
        <v>2.9296875E-2</v>
      </c>
      <c r="DA80" s="294">
        <f t="shared" si="548"/>
        <v>2.6892430278884438E-2</v>
      </c>
      <c r="DB80" s="294">
        <f t="shared" si="548"/>
        <v>1.0000000000000009E-2</v>
      </c>
      <c r="DC80" s="294">
        <f t="shared" si="548"/>
        <v>1.0000000000000009E-2</v>
      </c>
      <c r="DD80" s="294">
        <f t="shared" si="548"/>
        <v>1.0000000000000009E-2</v>
      </c>
      <c r="DE80" s="294">
        <f t="shared" si="548"/>
        <v>1.0000000000000009E-2</v>
      </c>
      <c r="DF80" s="294">
        <f t="shared" si="548"/>
        <v>1.0000000000000009E-2</v>
      </c>
      <c r="DH80" s="245"/>
      <c r="DI80" s="245"/>
      <c r="DJ80" s="245"/>
      <c r="DK80" s="245"/>
      <c r="DL80" s="245"/>
      <c r="DM80" s="245"/>
      <c r="DN80" s="245"/>
      <c r="DO80" s="245"/>
      <c r="DP80" s="245"/>
      <c r="DQ80" s="245"/>
      <c r="DR80" s="245"/>
      <c r="DS80" s="245"/>
      <c r="DT80" s="245"/>
      <c r="DU80" s="246"/>
      <c r="DV80" s="246"/>
      <c r="DW80" s="246"/>
      <c r="DX80" s="246"/>
      <c r="DY80" s="246"/>
      <c r="DZ80" s="246"/>
      <c r="EA80" s="246"/>
      <c r="EB80" s="246"/>
      <c r="EC80" s="265"/>
      <c r="ED80" s="265"/>
      <c r="EE80" s="246"/>
      <c r="EF80" s="246"/>
      <c r="EG80" s="246"/>
      <c r="EH80" s="246"/>
      <c r="EI80" s="246"/>
      <c r="EJ80" s="246"/>
      <c r="EK80" s="246"/>
      <c r="EL80" s="246"/>
      <c r="EM80" s="246"/>
      <c r="EN80" s="246"/>
      <c r="EO80" s="246"/>
      <c r="EP80" s="246"/>
      <c r="EQ80" s="246"/>
      <c r="ER80" s="246"/>
      <c r="ES80" s="246"/>
      <c r="ET80" s="246"/>
      <c r="EU80" s="246"/>
      <c r="EV80" s="246"/>
      <c r="EW80" s="246"/>
      <c r="EZ80"/>
      <c r="FA80" s="292"/>
      <c r="FD80" s="290"/>
      <c r="FE80" s="290"/>
      <c r="FF80" s="291"/>
      <c r="FG80"/>
      <c r="FH80" s="290"/>
      <c r="FI80" s="290"/>
      <c r="FJ80" s="290"/>
    </row>
    <row r="81" spans="1:166" s="279" customFormat="1" ht="12.75" customHeight="1" x14ac:dyDescent="0.2">
      <c r="A81" s="1"/>
      <c r="B81" t="s">
        <v>1709</v>
      </c>
      <c r="C81" s="282"/>
      <c r="D81" s="282"/>
      <c r="E81" s="282"/>
      <c r="F81" s="293"/>
      <c r="G81" s="293"/>
      <c r="H81" s="293"/>
      <c r="I81" s="294"/>
      <c r="J81" s="294"/>
      <c r="K81" s="294"/>
      <c r="L81" s="294"/>
      <c r="M81" s="294"/>
      <c r="N81" s="294"/>
      <c r="O81" s="294"/>
      <c r="P81" s="294"/>
      <c r="Q81" s="294"/>
      <c r="R81" s="294"/>
      <c r="S81" s="294"/>
      <c r="T81" s="294"/>
      <c r="U81" s="294"/>
      <c r="V81" s="294"/>
      <c r="W81" s="294"/>
      <c r="X81" s="294"/>
      <c r="Y81" s="294"/>
      <c r="Z81" s="294"/>
      <c r="AA81" s="294"/>
      <c r="AB81" s="294"/>
      <c r="AC81" s="294"/>
      <c r="AD81" s="294"/>
      <c r="AE81" s="294"/>
      <c r="AF81" s="294"/>
      <c r="AG81" s="294"/>
      <c r="AH81" s="294"/>
      <c r="AI81" s="294"/>
      <c r="AJ81" s="294"/>
      <c r="AK81" s="294"/>
      <c r="AL81" s="294"/>
      <c r="AM81" s="294"/>
      <c r="AN81" s="294"/>
      <c r="AO81" s="294"/>
      <c r="AP81" s="294"/>
      <c r="AQ81" s="294"/>
      <c r="AR81" s="294"/>
      <c r="AS81" s="294"/>
      <c r="AT81" s="294"/>
      <c r="AU81" s="294"/>
      <c r="AV81" s="294"/>
      <c r="AW81" s="294"/>
      <c r="AX81" s="294"/>
      <c r="AY81" s="294"/>
      <c r="AZ81" s="294"/>
      <c r="BA81" s="294"/>
      <c r="BB81" s="294"/>
      <c r="BC81" s="294"/>
      <c r="BD81" s="294"/>
      <c r="BE81" s="294"/>
      <c r="BF81" s="294"/>
      <c r="BG81" s="294"/>
      <c r="BH81" s="294"/>
      <c r="BI81" s="294"/>
      <c r="BJ81" s="294"/>
      <c r="BK81" s="294"/>
      <c r="BL81" s="294"/>
      <c r="BM81" s="294"/>
      <c r="BN81" s="294"/>
      <c r="BO81" s="294"/>
      <c r="BP81" s="294"/>
      <c r="BQ81" s="294"/>
      <c r="BR81" s="294"/>
      <c r="BS81" s="294"/>
      <c r="BT81" s="294"/>
      <c r="BU81" s="294"/>
      <c r="BV81" s="294"/>
      <c r="BW81" s="294"/>
      <c r="BX81" s="294"/>
      <c r="BY81" s="294"/>
      <c r="BZ81" s="294"/>
      <c r="CA81" s="294"/>
      <c r="CB81" s="294"/>
      <c r="CC81" s="294"/>
      <c r="CD81" s="294"/>
      <c r="CE81" s="294"/>
      <c r="CF81" s="294"/>
      <c r="CG81" s="294"/>
      <c r="CH81" s="294"/>
      <c r="CI81" s="294"/>
      <c r="CJ81" s="294"/>
      <c r="CK81" s="294"/>
      <c r="CL81" s="294"/>
      <c r="CM81" s="294">
        <f t="shared" ref="CM81:CO81" si="549">CM26/CI26-1</f>
        <v>0.4560185185185186</v>
      </c>
      <c r="CN81" s="294">
        <f t="shared" si="549"/>
        <v>0.51467710371819964</v>
      </c>
      <c r="CO81" s="294">
        <f t="shared" si="549"/>
        <v>0.53614457831325302</v>
      </c>
      <c r="CP81" s="294">
        <f t="shared" ref="CP81" si="550">CP26/CL26-1</f>
        <v>0.42123287671232879</v>
      </c>
      <c r="CQ81" s="294">
        <f t="shared" ref="CQ81" si="551">CQ26/CM26-1</f>
        <v>0.48966613672496018</v>
      </c>
      <c r="CR81" s="294">
        <f t="shared" ref="CR81" si="552">CR26/CN26-1</f>
        <v>0.16408268733850129</v>
      </c>
      <c r="CS81" s="294">
        <f t="shared" ref="CS81" si="553">CS26/CO26-1</f>
        <v>0.43660130718954249</v>
      </c>
      <c r="CT81" s="294">
        <f t="shared" ref="CT81" si="554">CT26/CP26-1</f>
        <v>0.50963855421686755</v>
      </c>
      <c r="CU81" s="294">
        <f t="shared" ref="CU81:CX81" si="555">CU26/CQ26-1</f>
        <v>0.45677694770544286</v>
      </c>
      <c r="CV81" s="294">
        <f t="shared" si="555"/>
        <v>0.59045504994450604</v>
      </c>
      <c r="CW81" s="294">
        <f t="shared" si="555"/>
        <v>0.43767060964513194</v>
      </c>
      <c r="CX81" s="294">
        <f t="shared" si="555"/>
        <v>0.31284916201117308</v>
      </c>
      <c r="CY81" s="294">
        <f>CY26/CU26-1</f>
        <v>0.35970695970695976</v>
      </c>
      <c r="CZ81" s="294">
        <f t="shared" ref="CZ81:DF81" si="556">CZ26/CV26-1</f>
        <v>0.38590369853454298</v>
      </c>
      <c r="DA81" s="294">
        <f t="shared" si="556"/>
        <v>0.29873417721518991</v>
      </c>
      <c r="DB81" s="294">
        <f t="shared" si="556"/>
        <v>0.19999999999999996</v>
      </c>
      <c r="DC81" s="294">
        <f t="shared" si="556"/>
        <v>0.19999999999999996</v>
      </c>
      <c r="DD81" s="294">
        <f t="shared" si="556"/>
        <v>0.19999999999999996</v>
      </c>
      <c r="DE81" s="294">
        <f t="shared" si="556"/>
        <v>0.19999999999999996</v>
      </c>
      <c r="DF81" s="294">
        <f t="shared" si="556"/>
        <v>0.19999999999999996</v>
      </c>
      <c r="DH81" s="245"/>
      <c r="DI81" s="245"/>
      <c r="DJ81" s="245"/>
      <c r="DK81" s="245"/>
      <c r="DL81" s="245"/>
      <c r="DM81" s="245"/>
      <c r="DN81" s="245"/>
      <c r="DO81" s="245"/>
      <c r="DP81" s="245"/>
      <c r="DQ81" s="245"/>
      <c r="DR81" s="245"/>
      <c r="DS81" s="245"/>
      <c r="DT81" s="245"/>
      <c r="DU81" s="246"/>
      <c r="DV81" s="246"/>
      <c r="DW81" s="246"/>
      <c r="DX81" s="246"/>
      <c r="DY81" s="246"/>
      <c r="DZ81" s="246"/>
      <c r="EA81" s="246"/>
      <c r="EB81" s="246"/>
      <c r="EC81" s="265"/>
      <c r="ED81" s="265"/>
      <c r="EE81" s="246"/>
      <c r="EF81" s="246"/>
      <c r="EG81" s="246"/>
      <c r="EH81" s="246"/>
      <c r="EI81" s="246"/>
      <c r="EJ81" s="246"/>
      <c r="EK81" s="246"/>
      <c r="EL81" s="246"/>
      <c r="EM81" s="246"/>
      <c r="EN81" s="246"/>
      <c r="EO81" s="246"/>
      <c r="EP81" s="246"/>
      <c r="EQ81" s="246"/>
      <c r="ER81" s="246"/>
      <c r="ES81" s="246"/>
      <c r="ET81" s="246"/>
      <c r="EU81" s="246"/>
      <c r="EV81" s="246"/>
      <c r="EW81" s="246"/>
      <c r="EZ81"/>
      <c r="FA81" s="292"/>
      <c r="FD81" s="290"/>
      <c r="FE81" s="290"/>
      <c r="FF81" s="291"/>
      <c r="FG81"/>
      <c r="FH81" s="290"/>
      <c r="FI81" s="290"/>
      <c r="FJ81" s="290"/>
    </row>
    <row r="82" spans="1:166" s="279" customFormat="1" ht="12.75" customHeight="1" x14ac:dyDescent="0.2">
      <c r="A82" s="1"/>
      <c r="B82" t="s">
        <v>1710</v>
      </c>
      <c r="C82" s="293"/>
      <c r="D82" s="293"/>
      <c r="E82" s="293"/>
      <c r="F82" s="293"/>
      <c r="G82" s="293"/>
      <c r="H82" s="293"/>
      <c r="I82" s="293"/>
      <c r="J82" s="293"/>
      <c r="K82" s="293"/>
      <c r="L82" s="293"/>
      <c r="M82" s="293"/>
      <c r="N82" s="293"/>
      <c r="O82" s="293"/>
      <c r="P82" s="293"/>
      <c r="Q82" s="293"/>
      <c r="R82" s="293"/>
      <c r="S82" s="293"/>
      <c r="T82" s="293"/>
      <c r="U82" s="293"/>
      <c r="V82" s="293"/>
      <c r="W82" s="293"/>
      <c r="X82" s="293"/>
      <c r="Y82" s="293"/>
      <c r="Z82" s="293"/>
      <c r="AA82" s="293"/>
      <c r="AB82" s="293"/>
      <c r="AC82" s="293"/>
      <c r="AD82" s="293"/>
      <c r="AE82" s="243"/>
      <c r="AF82" s="243"/>
      <c r="AG82" s="243"/>
      <c r="AH82" s="288"/>
      <c r="AI82" s="288"/>
      <c r="AJ82" s="288"/>
      <c r="AK82" s="288"/>
      <c r="AL82" s="288"/>
      <c r="AM82" s="288"/>
      <c r="AN82" s="288"/>
      <c r="AO82" s="288"/>
      <c r="AP82" s="288"/>
      <c r="AQ82" s="288"/>
      <c r="AR82" s="288"/>
      <c r="AS82" s="288"/>
      <c r="AT82" s="288"/>
      <c r="AU82" s="288"/>
      <c r="AV82" s="288"/>
      <c r="AW82" s="294"/>
      <c r="AX82" s="294"/>
      <c r="AY82" s="294"/>
      <c r="AZ82" s="294"/>
      <c r="BA82" s="294"/>
      <c r="BB82" s="294"/>
      <c r="BC82" s="294"/>
      <c r="BD82" s="294"/>
      <c r="BE82" s="294"/>
      <c r="BF82" s="294"/>
      <c r="BG82" s="294"/>
      <c r="BH82" s="294"/>
      <c r="BI82" s="294"/>
      <c r="BJ82" s="294"/>
      <c r="BK82" s="294"/>
      <c r="BL82" s="294"/>
      <c r="BM82" s="294"/>
      <c r="BN82" s="294"/>
      <c r="BO82" s="294"/>
      <c r="BP82" s="294"/>
      <c r="BQ82" s="294"/>
      <c r="BR82" s="294"/>
      <c r="BS82" s="294"/>
      <c r="BT82" s="294"/>
      <c r="BU82" s="294"/>
      <c r="BV82" s="294"/>
      <c r="BW82" s="294"/>
      <c r="BX82" s="294"/>
      <c r="BY82" s="294"/>
      <c r="BZ82" s="294"/>
      <c r="CA82" s="294"/>
      <c r="CB82" s="294"/>
      <c r="CC82" s="294"/>
      <c r="CD82" s="294"/>
      <c r="CE82" s="294"/>
      <c r="CF82" s="294"/>
      <c r="CG82" s="294"/>
      <c r="CH82" s="294"/>
      <c r="CI82" s="294"/>
      <c r="CJ82" s="294"/>
      <c r="CK82" s="294"/>
      <c r="CL82" s="294"/>
      <c r="CM82" s="294">
        <f t="shared" ref="CM82:CT82" si="557">+CM55/CI55-1</f>
        <v>-2.3543260741612726E-2</v>
      </c>
      <c r="CN82" s="294">
        <f t="shared" si="557"/>
        <v>1.1415525114155223E-2</v>
      </c>
      <c r="CO82" s="294">
        <f t="shared" si="557"/>
        <v>1.5812591508052698E-2</v>
      </c>
      <c r="CP82" s="294">
        <f t="shared" si="557"/>
        <v>8.7669683257918241E-3</v>
      </c>
      <c r="CQ82" s="294">
        <f t="shared" si="557"/>
        <v>9.2525617842073471E-2</v>
      </c>
      <c r="CR82" s="294">
        <f t="shared" si="557"/>
        <v>-6.9977426636568807E-2</v>
      </c>
      <c r="CS82" s="294">
        <f t="shared" si="557"/>
        <v>1.2972038051311641E-2</v>
      </c>
      <c r="CT82" s="294">
        <f t="shared" si="557"/>
        <v>1.4297729184188368E-2</v>
      </c>
      <c r="CU82" s="294">
        <f t="shared" ref="CU82:DF82" si="558">+CU55/CQ55-1</f>
        <v>4.4137931034482492E-3</v>
      </c>
      <c r="CV82" s="294">
        <f t="shared" si="558"/>
        <v>0.16929611650485432</v>
      </c>
      <c r="CW82" s="294">
        <f t="shared" si="558"/>
        <v>5.2931132612407561E-2</v>
      </c>
      <c r="CX82" s="294">
        <f t="shared" si="558"/>
        <v>1.0779436152570376E-2</v>
      </c>
      <c r="CY82" s="294">
        <f t="shared" si="558"/>
        <v>-1.5105740181268867E-2</v>
      </c>
      <c r="CZ82" s="294">
        <f t="shared" si="558"/>
        <v>-1.2714063310845902E-2</v>
      </c>
      <c r="DA82" s="294">
        <f t="shared" si="558"/>
        <v>2.5675675675675746E-2</v>
      </c>
      <c r="DB82" s="294">
        <f t="shared" si="558"/>
        <v>1.0000000000000009E-2</v>
      </c>
      <c r="DC82" s="294">
        <f t="shared" si="558"/>
        <v>1.0000000000000009E-2</v>
      </c>
      <c r="DD82" s="294">
        <f t="shared" si="558"/>
        <v>1.0000000000000009E-2</v>
      </c>
      <c r="DE82" s="294">
        <f t="shared" si="558"/>
        <v>1.0000000000000009E-2</v>
      </c>
      <c r="DF82" s="294">
        <f t="shared" si="558"/>
        <v>1.0000000000000009E-2</v>
      </c>
      <c r="DG82" s="296"/>
      <c r="DH82" s="245"/>
      <c r="DI82" s="245"/>
      <c r="DJ82" s="245"/>
      <c r="DK82" s="245"/>
      <c r="DL82" s="245"/>
      <c r="DM82" s="245"/>
      <c r="DN82" s="245"/>
      <c r="DO82" s="245"/>
      <c r="DP82" s="245"/>
      <c r="DQ82" s="245"/>
      <c r="DR82" s="245"/>
      <c r="DS82" s="245"/>
      <c r="DT82" s="245"/>
      <c r="DU82" s="245"/>
      <c r="DV82" s="245"/>
      <c r="DW82" s="245"/>
      <c r="DX82" s="245"/>
      <c r="DY82" s="245"/>
      <c r="DZ82" s="245"/>
      <c r="EA82" s="246"/>
      <c r="EB82" s="246"/>
      <c r="EC82" s="246"/>
      <c r="ED82" s="246"/>
      <c r="EE82" s="246"/>
      <c r="EF82" s="246"/>
      <c r="EG82" s="246"/>
      <c r="EH82" s="246"/>
      <c r="EI82" s="246"/>
      <c r="EJ82" s="246"/>
      <c r="EK82" s="246"/>
      <c r="EL82" s="246"/>
      <c r="EM82" s="246"/>
      <c r="EN82" s="246"/>
      <c r="EO82" s="246"/>
      <c r="EP82" s="246"/>
      <c r="EQ82" s="246"/>
      <c r="ER82" s="246"/>
      <c r="ES82" s="246"/>
      <c r="ET82" s="246"/>
      <c r="EU82" s="246"/>
      <c r="EV82" s="246"/>
      <c r="EW82" s="246"/>
      <c r="FD82" s="290"/>
      <c r="FE82" s="290"/>
      <c r="FF82" s="291"/>
      <c r="FG82"/>
      <c r="FH82" s="291"/>
      <c r="FI82" s="290"/>
      <c r="FJ82" s="290"/>
    </row>
    <row r="83" spans="1:166" s="279" customFormat="1" ht="12.75" customHeight="1" x14ac:dyDescent="0.2">
      <c r="A83" s="1"/>
      <c r="B83" t="s">
        <v>1809</v>
      </c>
      <c r="C83" s="293"/>
      <c r="D83" s="293"/>
      <c r="E83" s="293"/>
      <c r="F83" s="293"/>
      <c r="G83" s="293"/>
      <c r="H83" s="293"/>
      <c r="I83" s="293"/>
      <c r="J83" s="293"/>
      <c r="K83" s="293"/>
      <c r="L83" s="293"/>
      <c r="M83" s="293"/>
      <c r="N83" s="293"/>
      <c r="O83" s="293"/>
      <c r="P83" s="293"/>
      <c r="Q83" s="293"/>
      <c r="R83" s="293"/>
      <c r="S83" s="293"/>
      <c r="T83" s="293"/>
      <c r="U83" s="293"/>
      <c r="V83" s="293"/>
      <c r="W83" s="293"/>
      <c r="X83" s="293"/>
      <c r="Y83" s="293"/>
      <c r="Z83" s="293"/>
      <c r="AA83" s="293"/>
      <c r="AB83" s="293"/>
      <c r="AC83" s="293"/>
      <c r="AD83" s="293"/>
      <c r="AE83" s="243"/>
      <c r="AF83" s="243"/>
      <c r="AG83" s="243"/>
      <c r="AH83" s="288"/>
      <c r="AI83" s="288"/>
      <c r="AJ83" s="288"/>
      <c r="AK83" s="288"/>
      <c r="AL83" s="288"/>
      <c r="AM83" s="288"/>
      <c r="AN83" s="288"/>
      <c r="AO83" s="288"/>
      <c r="AP83" s="288"/>
      <c r="AQ83" s="288"/>
      <c r="AR83" s="288"/>
      <c r="AS83" s="288"/>
      <c r="AT83" s="288"/>
      <c r="AU83" s="288"/>
      <c r="AV83" s="288"/>
      <c r="AW83" s="294"/>
      <c r="AX83" s="297">
        <f t="shared" ref="AX83:BG84" si="559">AX45/AT45-1</f>
        <v>-0.16820276497695852</v>
      </c>
      <c r="AY83" s="297">
        <f t="shared" si="559"/>
        <v>-0.19999999999999996</v>
      </c>
      <c r="AZ83" s="297">
        <f t="shared" si="559"/>
        <v>-0.20892018779342725</v>
      </c>
      <c r="BA83" s="297">
        <f t="shared" si="559"/>
        <v>-0.11845730027548207</v>
      </c>
      <c r="BB83" s="297">
        <f t="shared" si="559"/>
        <v>-3.4626038781163437E-2</v>
      </c>
      <c r="BC83" s="297">
        <f t="shared" si="559"/>
        <v>5.9880239520957446E-3</v>
      </c>
      <c r="BD83" s="297">
        <f t="shared" si="559"/>
        <v>-2.8189910979228516E-2</v>
      </c>
      <c r="BE83" s="297">
        <f t="shared" si="559"/>
        <v>-6.8749999999999978E-2</v>
      </c>
      <c r="BF83" s="297">
        <f t="shared" si="559"/>
        <v>-9.7560975609756073E-2</v>
      </c>
      <c r="BG83" s="297">
        <f t="shared" si="559"/>
        <v>-5.5059523809523836E-2</v>
      </c>
      <c r="BH83" s="297">
        <f t="shared" ref="BH83:BQ84" si="560">BH45/BD45-1</f>
        <v>-0.10381679389312981</v>
      </c>
      <c r="BI83" s="297">
        <f t="shared" si="560"/>
        <v>-0.1174496644295302</v>
      </c>
      <c r="BJ83" s="297">
        <f t="shared" si="560"/>
        <v>-0.14149443561208264</v>
      </c>
      <c r="BK83" s="297">
        <f t="shared" si="560"/>
        <v>-0.24094488188976382</v>
      </c>
      <c r="BL83" s="297">
        <f t="shared" si="560"/>
        <v>-0.141396933560477</v>
      </c>
      <c r="BM83" s="297">
        <f t="shared" si="560"/>
        <v>-6.2737642585551368E-2</v>
      </c>
      <c r="BN83" s="297">
        <f t="shared" si="560"/>
        <v>-6.2962962962962998E-2</v>
      </c>
      <c r="BO83" s="297">
        <f t="shared" si="560"/>
        <v>6.4315352697095429E-2</v>
      </c>
      <c r="BP83" s="297">
        <f t="shared" si="560"/>
        <v>4.9603174603174649E-2</v>
      </c>
      <c r="BQ83" s="297">
        <f t="shared" si="560"/>
        <v>1.6227180527383478E-2</v>
      </c>
      <c r="BR83" s="297">
        <f t="shared" ref="BR83:BZ84" si="561">BR45/BN45-1</f>
        <v>5.5335968379446543E-2</v>
      </c>
      <c r="BS83" s="297">
        <f t="shared" si="561"/>
        <v>5.4580896686159841E-2</v>
      </c>
      <c r="BT83" s="297">
        <f t="shared" si="561"/>
        <v>7.1833648393194727E-2</v>
      </c>
      <c r="BU83" s="297">
        <f t="shared" si="561"/>
        <v>3.0000000000000027E-2</v>
      </c>
      <c r="BV83" s="297">
        <f t="shared" si="561"/>
        <v>3.0000000000000027E-2</v>
      </c>
      <c r="BW83" s="297">
        <f t="shared" si="561"/>
        <v>3.0000000000000027E-2</v>
      </c>
      <c r="BX83" s="297">
        <f t="shared" si="561"/>
        <v>3.0000000000000027E-2</v>
      </c>
      <c r="BY83" s="297">
        <f t="shared" si="561"/>
        <v>3.0000000000000027E-2</v>
      </c>
      <c r="BZ83" s="297">
        <f t="shared" si="561"/>
        <v>3.0000000000000027E-2</v>
      </c>
      <c r="CA83" s="297"/>
      <c r="CB83" s="297"/>
      <c r="CC83" s="297"/>
      <c r="CD83" s="297"/>
      <c r="CE83" s="297"/>
      <c r="CF83" s="297"/>
      <c r="CG83" s="297"/>
      <c r="CH83" s="297"/>
      <c r="CI83" s="297"/>
      <c r="CJ83" s="297"/>
      <c r="CK83" s="297"/>
      <c r="CL83" s="297"/>
      <c r="CM83" s="297">
        <f t="shared" ref="CM83:CT83" si="562">+CM45/CI45-1</f>
        <v>0.14375000000000004</v>
      </c>
      <c r="CN83" s="297">
        <f t="shared" si="562"/>
        <v>0.12443778110944526</v>
      </c>
      <c r="CO83" s="297">
        <f t="shared" si="562"/>
        <v>0.13476263399693722</v>
      </c>
      <c r="CP83" s="297">
        <f t="shared" si="562"/>
        <v>0.12827988338192431</v>
      </c>
      <c r="CQ83" s="297">
        <f t="shared" si="562"/>
        <v>-6.8306010928961269E-3</v>
      </c>
      <c r="CR83" s="297">
        <f t="shared" si="562"/>
        <v>-0.21333333333333337</v>
      </c>
      <c r="CS83" s="297">
        <f t="shared" si="562"/>
        <v>0.12820512820512819</v>
      </c>
      <c r="CT83" s="297">
        <f t="shared" si="562"/>
        <v>0.1537467700258397</v>
      </c>
      <c r="CU83" s="297">
        <f t="shared" ref="CU83:DF84" si="563">+CU45/CQ45-1</f>
        <v>0.30536451169188439</v>
      </c>
      <c r="CV83" s="297">
        <f t="shared" si="563"/>
        <v>0.77288135593220342</v>
      </c>
      <c r="CW83" s="297">
        <f t="shared" si="563"/>
        <v>0.14473684210526305</v>
      </c>
      <c r="CX83" s="297">
        <f t="shared" si="563"/>
        <v>0.14109742441209416</v>
      </c>
      <c r="CY83" s="297">
        <f t="shared" si="563"/>
        <v>0.15068493150684925</v>
      </c>
      <c r="CZ83" s="297">
        <f t="shared" si="563"/>
        <v>2.8680688336519822E-3</v>
      </c>
      <c r="DA83" s="297">
        <f t="shared" si="563"/>
        <v>0.1076280041797284</v>
      </c>
      <c r="DB83" s="297">
        <f t="shared" si="563"/>
        <v>5.0000000000000044E-2</v>
      </c>
      <c r="DC83" s="297">
        <f t="shared" si="563"/>
        <v>5.0000000000000044E-2</v>
      </c>
      <c r="DD83" s="297">
        <f t="shared" si="563"/>
        <v>5.0000000000000044E-2</v>
      </c>
      <c r="DE83" s="297">
        <f t="shared" si="563"/>
        <v>5.0000000000000044E-2</v>
      </c>
      <c r="DF83" s="297">
        <f t="shared" si="563"/>
        <v>5.0000000000000044E-2</v>
      </c>
      <c r="DG83" s="296"/>
      <c r="DH83" s="245"/>
      <c r="DI83" s="245"/>
      <c r="DJ83" s="245"/>
      <c r="DK83" s="245"/>
      <c r="DL83" s="245"/>
      <c r="DM83" s="245"/>
      <c r="DN83" s="245"/>
      <c r="DO83" s="245"/>
      <c r="DP83" s="245"/>
      <c r="DQ83" s="245"/>
      <c r="DR83" s="245"/>
      <c r="DS83" s="245"/>
      <c r="DT83" s="245"/>
      <c r="DU83" s="245"/>
      <c r="DV83" s="245"/>
      <c r="DW83" s="245"/>
      <c r="DX83" s="245"/>
      <c r="DY83" s="245"/>
      <c r="DZ83" s="245"/>
      <c r="EA83" s="246"/>
      <c r="EB83" s="246"/>
      <c r="EC83" s="246"/>
      <c r="ED83" s="246"/>
      <c r="EE83" s="246"/>
      <c r="EF83" s="246"/>
      <c r="EG83" s="246"/>
      <c r="EH83" s="246"/>
      <c r="EI83" s="246"/>
      <c r="EJ83" s="246"/>
      <c r="EK83" s="246"/>
      <c r="EL83" s="246"/>
      <c r="EM83" s="246"/>
      <c r="FD83" s="290"/>
      <c r="FE83" s="290"/>
      <c r="FF83" s="290"/>
      <c r="FG83"/>
      <c r="FH83" s="290"/>
      <c r="FI83" s="290"/>
      <c r="FJ83" s="290"/>
    </row>
    <row r="84" spans="1:166" s="279" customFormat="1" ht="12.75" customHeight="1" x14ac:dyDescent="0.2">
      <c r="A84" s="1"/>
      <c r="B84" t="s">
        <v>1290</v>
      </c>
      <c r="C84" s="293"/>
      <c r="D84" s="293"/>
      <c r="E84" s="293"/>
      <c r="F84" s="293"/>
      <c r="G84" s="293"/>
      <c r="H84" s="293"/>
      <c r="I84" s="293"/>
      <c r="J84" s="293"/>
      <c r="K84" s="293"/>
      <c r="L84" s="293"/>
      <c r="M84" s="293"/>
      <c r="N84" s="293"/>
      <c r="O84" s="293"/>
      <c r="P84" s="293"/>
      <c r="Q84" s="293"/>
      <c r="R84" s="293"/>
      <c r="S84" s="293"/>
      <c r="T84" s="293"/>
      <c r="U84" s="293"/>
      <c r="V84" s="293"/>
      <c r="W84" s="293"/>
      <c r="X84" s="293"/>
      <c r="Y84" s="293"/>
      <c r="Z84" s="293"/>
      <c r="AA84" s="293"/>
      <c r="AB84" s="293"/>
      <c r="AC84" s="293"/>
      <c r="AD84" s="293"/>
      <c r="AE84" s="297">
        <f t="shared" ref="AE84:AN86" si="564">AE46/AA46-1</f>
        <v>0.13531799729364002</v>
      </c>
      <c r="AF84" s="297">
        <f t="shared" si="564"/>
        <v>0.12165775401069512</v>
      </c>
      <c r="AG84" s="297">
        <f t="shared" si="564"/>
        <v>0.10027855153203347</v>
      </c>
      <c r="AH84" s="297">
        <f t="shared" si="564"/>
        <v>0.18703241895261846</v>
      </c>
      <c r="AI84" s="297">
        <f t="shared" si="564"/>
        <v>0.18355184743742559</v>
      </c>
      <c r="AJ84" s="297">
        <f t="shared" si="564"/>
        <v>0.16805721096543502</v>
      </c>
      <c r="AK84" s="297">
        <f t="shared" si="564"/>
        <v>0.1354430379746836</v>
      </c>
      <c r="AL84" s="297">
        <f t="shared" si="564"/>
        <v>2.6260504201680579E-2</v>
      </c>
      <c r="AM84" s="297">
        <f t="shared" si="564"/>
        <v>4.6324269889224556E-2</v>
      </c>
      <c r="AN84" s="297">
        <f t="shared" si="564"/>
        <v>5.6122448979591733E-2</v>
      </c>
      <c r="AO84" s="297">
        <f t="shared" ref="AO84:AW86" si="565">AO46/AK46-1</f>
        <v>8.2497212931995634E-2</v>
      </c>
      <c r="AP84" s="297">
        <f t="shared" si="565"/>
        <v>8.4953940634595604E-2</v>
      </c>
      <c r="AQ84" s="297">
        <f t="shared" si="565"/>
        <v>0.11357074109720888</v>
      </c>
      <c r="AR84" s="297">
        <f t="shared" si="565"/>
        <v>9.661835748792269E-2</v>
      </c>
      <c r="AS84" s="297">
        <f t="shared" si="565"/>
        <v>0.11843460350154489</v>
      </c>
      <c r="AT84" s="297">
        <f t="shared" si="565"/>
        <v>0.14056603773584908</v>
      </c>
      <c r="AU84" s="297">
        <f t="shared" si="565"/>
        <v>8.2973206568712099E-2</v>
      </c>
      <c r="AV84" s="297">
        <f t="shared" si="565"/>
        <v>0.13568281938325999</v>
      </c>
      <c r="AW84" s="297">
        <f t="shared" si="565"/>
        <v>0.10036832412523022</v>
      </c>
      <c r="AX84" s="297">
        <f t="shared" si="559"/>
        <v>3.556658395368073E-2</v>
      </c>
      <c r="AY84" s="297">
        <f t="shared" si="559"/>
        <v>3.1125299281723917E-2</v>
      </c>
      <c r="AZ84" s="297">
        <f t="shared" si="559"/>
        <v>2.6377036462373882E-2</v>
      </c>
      <c r="BA84" s="297">
        <f t="shared" si="559"/>
        <v>7.4476987447698706E-2</v>
      </c>
      <c r="BB84" s="297">
        <f t="shared" si="559"/>
        <v>0.17651757188498407</v>
      </c>
      <c r="BC84" s="297">
        <f t="shared" si="559"/>
        <v>0.12538699690402466</v>
      </c>
      <c r="BD84" s="297">
        <f t="shared" si="559"/>
        <v>3.9304610733182255E-2</v>
      </c>
      <c r="BE84" s="297">
        <f t="shared" si="559"/>
        <v>1.947040498442365E-2</v>
      </c>
      <c r="BF84" s="297">
        <f t="shared" si="559"/>
        <v>-1.7651052274270218E-2</v>
      </c>
      <c r="BG84" s="297">
        <f t="shared" si="559"/>
        <v>3.3700137551581744E-2</v>
      </c>
      <c r="BH84" s="297">
        <f t="shared" si="560"/>
        <v>6.8363636363636404E-2</v>
      </c>
      <c r="BI84" s="297">
        <f t="shared" si="560"/>
        <v>5.7295645530939687E-2</v>
      </c>
      <c r="BJ84" s="297">
        <f t="shared" si="560"/>
        <v>4.146510020732519E-3</v>
      </c>
      <c r="BK84" s="297">
        <f t="shared" si="560"/>
        <v>-6.6533599467730742E-3</v>
      </c>
      <c r="BL84" s="297">
        <f t="shared" si="560"/>
        <v>0.10823689584751528</v>
      </c>
      <c r="BM84" s="297">
        <f t="shared" si="560"/>
        <v>0.65462427745664731</v>
      </c>
      <c r="BN84" s="297">
        <f t="shared" si="560"/>
        <v>0.64349621472814866</v>
      </c>
      <c r="BO84" s="297">
        <f t="shared" si="560"/>
        <v>0.59745478901540516</v>
      </c>
      <c r="BP84" s="297">
        <f t="shared" si="560"/>
        <v>0.46498771498771507</v>
      </c>
      <c r="BQ84" s="297">
        <f t="shared" si="560"/>
        <v>-3.0567685589519833E-3</v>
      </c>
      <c r="BR84" s="297">
        <f t="shared" si="561"/>
        <v>2.8475711892797406E-2</v>
      </c>
      <c r="BS84" s="297">
        <f t="shared" si="561"/>
        <v>1.5094339622641506E-2</v>
      </c>
      <c r="BT84" s="297">
        <f t="shared" si="561"/>
        <v>3.5220125786163514E-2</v>
      </c>
      <c r="BU84" s="297">
        <f t="shared" si="561"/>
        <v>2.0000000000000018E-2</v>
      </c>
      <c r="BV84" s="297">
        <f t="shared" si="561"/>
        <v>2.0000000000000018E-2</v>
      </c>
      <c r="BW84" s="297">
        <f t="shared" si="561"/>
        <v>2.0000000000000018E-2</v>
      </c>
      <c r="BX84" s="297">
        <f t="shared" si="561"/>
        <v>2.0000000000000018E-2</v>
      </c>
      <c r="BY84" s="297">
        <f t="shared" si="561"/>
        <v>2.0000000000000018E-2</v>
      </c>
      <c r="BZ84" s="297">
        <f t="shared" si="561"/>
        <v>2.0000000000000018E-2</v>
      </c>
      <c r="CA84" s="297"/>
      <c r="CB84" s="297"/>
      <c r="CC84" s="297"/>
      <c r="CD84" s="297"/>
      <c r="CE84" s="297"/>
      <c r="CF84" s="297"/>
      <c r="CG84" s="297"/>
      <c r="CH84" s="297"/>
      <c r="CI84" s="297"/>
      <c r="CJ84" s="297"/>
      <c r="CK84" s="297"/>
      <c r="CL84" s="297"/>
      <c r="CM84" s="297">
        <f t="shared" ref="CM84:CT84" si="566">+CM46/CI46-1</f>
        <v>-2.0444444444444487E-2</v>
      </c>
      <c r="CN84" s="297">
        <f t="shared" si="566"/>
        <v>-1.6799292661361598E-2</v>
      </c>
      <c r="CO84" s="297">
        <f t="shared" si="566"/>
        <v>1.279014684983415E-2</v>
      </c>
      <c r="CP84" s="297">
        <f t="shared" si="566"/>
        <v>4.8629531388151293E-3</v>
      </c>
      <c r="CQ84" s="297">
        <f t="shared" si="566"/>
        <v>-7.5317604355716883E-2</v>
      </c>
      <c r="CR84" s="297">
        <f t="shared" si="566"/>
        <v>-0.34757194244604317</v>
      </c>
      <c r="CS84" s="297">
        <f t="shared" si="566"/>
        <v>-2.572497661365758E-2</v>
      </c>
      <c r="CT84" s="297">
        <f t="shared" si="566"/>
        <v>-3.6075670919489711E-2</v>
      </c>
      <c r="CU84" s="297">
        <f t="shared" si="563"/>
        <v>3.6800785083415111E-2</v>
      </c>
      <c r="CV84" s="297">
        <f t="shared" si="563"/>
        <v>0.53480358373535486</v>
      </c>
      <c r="CW84" s="297">
        <f t="shared" si="563"/>
        <v>4.8007681228996457E-3</v>
      </c>
      <c r="CX84" s="297">
        <f t="shared" si="563"/>
        <v>-1.6430853491556374E-2</v>
      </c>
      <c r="CY84" s="297">
        <f t="shared" si="563"/>
        <v>3.5494557501183133E-2</v>
      </c>
      <c r="CZ84" s="297">
        <f t="shared" si="563"/>
        <v>-3.143242029636284E-2</v>
      </c>
      <c r="DA84" s="297">
        <f t="shared" si="563"/>
        <v>9.5556617295744495E-4</v>
      </c>
      <c r="DB84" s="297">
        <f t="shared" si="563"/>
        <v>2.0000000000000018E-2</v>
      </c>
      <c r="DC84" s="297">
        <f t="shared" si="563"/>
        <v>2.0000000000000018E-2</v>
      </c>
      <c r="DD84" s="297">
        <f t="shared" si="563"/>
        <v>2.0000000000000018E-2</v>
      </c>
      <c r="DE84" s="297">
        <f t="shared" si="563"/>
        <v>2.0000000000000018E-2</v>
      </c>
      <c r="DF84" s="297">
        <f t="shared" si="563"/>
        <v>2.0000000000000018E-2</v>
      </c>
      <c r="DG84" s="296"/>
      <c r="DH84" s="245"/>
      <c r="DI84" s="245"/>
      <c r="DJ84" s="245"/>
      <c r="DK84" s="245"/>
      <c r="DL84" s="245"/>
      <c r="DM84" s="245"/>
      <c r="DN84" s="245"/>
      <c r="DO84" s="245"/>
      <c r="DP84" s="245"/>
      <c r="DQ84" s="245"/>
      <c r="DR84" s="245"/>
      <c r="DS84" s="246">
        <f t="shared" ref="DS84:EB84" si="567">DS46/DR46-1</f>
        <v>3.7121644774414708E-2</v>
      </c>
      <c r="DT84" s="246">
        <f t="shared" si="567"/>
        <v>0.13105726872246692</v>
      </c>
      <c r="DU84" s="246">
        <f t="shared" si="567"/>
        <v>0.23515092502434265</v>
      </c>
      <c r="DV84" s="246">
        <f t="shared" si="567"/>
        <v>0.18525817895151753</v>
      </c>
      <c r="DW84" s="246">
        <f t="shared" si="567"/>
        <v>0.13734619221815758</v>
      </c>
      <c r="DX84" s="246">
        <f t="shared" si="567"/>
        <v>0.12485380116959055</v>
      </c>
      <c r="DY84" s="246">
        <f t="shared" si="567"/>
        <v>6.7065245645957949E-2</v>
      </c>
      <c r="DZ84" s="246">
        <f t="shared" si="567"/>
        <v>0.1174177831912302</v>
      </c>
      <c r="EA84" s="246">
        <f t="shared" si="567"/>
        <v>8.7638979725310762E-2</v>
      </c>
      <c r="EB84" s="246">
        <f t="shared" si="567"/>
        <v>7.6768891561435071E-2</v>
      </c>
      <c r="EC84" s="246"/>
      <c r="ED84" s="246"/>
      <c r="EE84" s="246"/>
      <c r="EF84" s="246"/>
      <c r="EG84" s="246"/>
      <c r="EH84" s="246"/>
      <c r="EI84" s="246"/>
      <c r="EJ84" s="246"/>
      <c r="EK84" s="246"/>
      <c r="EL84" s="246"/>
      <c r="EM84" s="246"/>
      <c r="FD84" s="290"/>
      <c r="FE84" s="290"/>
      <c r="FF84" s="290"/>
      <c r="FG84"/>
      <c r="FH84" s="291"/>
      <c r="FI84" s="290"/>
      <c r="FJ84" s="290"/>
    </row>
    <row r="85" spans="1:166" s="279" customFormat="1" ht="12.75" customHeight="1" x14ac:dyDescent="0.2">
      <c r="A85" s="1"/>
      <c r="B85" t="s">
        <v>124</v>
      </c>
      <c r="C85" s="293"/>
      <c r="D85" s="293"/>
      <c r="E85" s="293"/>
      <c r="F85" s="293"/>
      <c r="G85" s="297">
        <f t="shared" ref="G85:P86" si="568">G47/C47-1</f>
        <v>4.0000000000000036E-2</v>
      </c>
      <c r="H85" s="297">
        <f t="shared" si="568"/>
        <v>3.0000000000000027E-2</v>
      </c>
      <c r="I85" s="297">
        <f t="shared" si="568"/>
        <v>4.0000000000000036E-2</v>
      </c>
      <c r="J85" s="297">
        <f t="shared" si="568"/>
        <v>0.12698412698412698</v>
      </c>
      <c r="K85" s="297">
        <f t="shared" si="568"/>
        <v>0.20906801007556686</v>
      </c>
      <c r="L85" s="297">
        <f t="shared" si="568"/>
        <v>0.20253164556962022</v>
      </c>
      <c r="M85" s="297">
        <f t="shared" si="568"/>
        <v>0.2005141388174807</v>
      </c>
      <c r="N85" s="297">
        <f t="shared" si="568"/>
        <v>0.1619718309859155</v>
      </c>
      <c r="O85" s="297">
        <f t="shared" si="568"/>
        <v>4.1666666666666519E-3</v>
      </c>
      <c r="P85" s="297">
        <f t="shared" si="568"/>
        <v>7.1578947368420964E-2</v>
      </c>
      <c r="Q85" s="297">
        <f t="shared" ref="Q85:Z86" si="569">Q47/M47-1</f>
        <v>3.2119914346895095E-2</v>
      </c>
      <c r="R85" s="297">
        <f t="shared" si="569"/>
        <v>1.6161616161616266E-2</v>
      </c>
      <c r="S85" s="297">
        <f t="shared" si="569"/>
        <v>7.6763485477178373E-2</v>
      </c>
      <c r="T85" s="297">
        <f t="shared" si="569"/>
        <v>4.1257367387033339E-2</v>
      </c>
      <c r="U85" s="297">
        <f t="shared" si="569"/>
        <v>0.10373443983402497</v>
      </c>
      <c r="V85" s="297">
        <f t="shared" si="569"/>
        <v>0.22862823061630211</v>
      </c>
      <c r="W85" s="297">
        <f t="shared" si="569"/>
        <v>8.6705202312138629E-2</v>
      </c>
      <c r="X85" s="297">
        <f t="shared" si="569"/>
        <v>0.14339622641509431</v>
      </c>
      <c r="Y85" s="297">
        <f t="shared" si="569"/>
        <v>0.12030075187969924</v>
      </c>
      <c r="Z85" s="297">
        <f t="shared" si="569"/>
        <v>3.2362459546926292E-3</v>
      </c>
      <c r="AA85" s="297">
        <f t="shared" ref="AA85:AD86" si="570">AA47/W47-1</f>
        <v>0.11524822695035453</v>
      </c>
      <c r="AB85" s="297">
        <f t="shared" si="570"/>
        <v>0.11056105610561051</v>
      </c>
      <c r="AC85" s="297">
        <f t="shared" si="570"/>
        <v>7.3825503355704702E-2</v>
      </c>
      <c r="AD85" s="297">
        <f t="shared" si="570"/>
        <v>0.12419354838709684</v>
      </c>
      <c r="AE85" s="297">
        <f t="shared" si="564"/>
        <v>8.2670906200317917E-2</v>
      </c>
      <c r="AF85" s="297">
        <f t="shared" si="564"/>
        <v>6.3893016344725106E-2</v>
      </c>
      <c r="AG85" s="297">
        <f t="shared" si="564"/>
        <v>7.3437500000000044E-2</v>
      </c>
      <c r="AH85" s="297">
        <f t="shared" si="564"/>
        <v>8.0344332855093237E-2</v>
      </c>
      <c r="AI85" s="297">
        <f t="shared" si="564"/>
        <v>0.15565345080763593</v>
      </c>
      <c r="AJ85" s="297">
        <f t="shared" si="564"/>
        <v>0.11452513966480438</v>
      </c>
      <c r="AK85" s="297">
        <f t="shared" si="564"/>
        <v>8.4425036390101793E-2</v>
      </c>
      <c r="AL85" s="297">
        <f t="shared" si="564"/>
        <v>2.1248339973439556E-2</v>
      </c>
      <c r="AM85" s="297">
        <f t="shared" si="564"/>
        <v>-1.6518424396442133E-2</v>
      </c>
      <c r="AN85" s="297">
        <f t="shared" si="564"/>
        <v>2.2556390977443552E-2</v>
      </c>
      <c r="AO85" s="297">
        <f t="shared" si="565"/>
        <v>6.8456375838926276E-2</v>
      </c>
      <c r="AP85" s="297">
        <f t="shared" si="565"/>
        <v>7.5422626788036462E-2</v>
      </c>
      <c r="AQ85" s="297">
        <f t="shared" si="565"/>
        <v>0.12403100775193798</v>
      </c>
      <c r="AR85" s="297">
        <f t="shared" si="565"/>
        <v>0.10416666666666674</v>
      </c>
      <c r="AS85" s="297">
        <f t="shared" si="565"/>
        <v>0.10175879396984921</v>
      </c>
      <c r="AT85" s="297">
        <f t="shared" si="565"/>
        <v>0.14147521160822252</v>
      </c>
      <c r="AU85" s="297">
        <f t="shared" si="565"/>
        <v>8.6206896551724199E-2</v>
      </c>
      <c r="AV85" s="297">
        <f t="shared" si="565"/>
        <v>0.13207547169811318</v>
      </c>
      <c r="AW85" s="297">
        <f t="shared" si="565"/>
        <v>9.1220068415051259E-2</v>
      </c>
      <c r="AX85" s="297">
        <f t="shared" ref="AX85:BJ86" si="571">AX47/AT47-1</f>
        <v>-2.754237288135597E-2</v>
      </c>
      <c r="AY85" s="297">
        <f t="shared" si="571"/>
        <v>8.4656084656085095E-3</v>
      </c>
      <c r="AZ85" s="297">
        <f t="shared" si="571"/>
        <v>2.0588235294117574E-2</v>
      </c>
      <c r="BA85" s="297">
        <f t="shared" si="571"/>
        <v>6.478578892372E-2</v>
      </c>
      <c r="BB85" s="297">
        <f t="shared" si="571"/>
        <v>0.20806100217864931</v>
      </c>
      <c r="BC85" s="297">
        <f t="shared" si="571"/>
        <v>0.20356768100734524</v>
      </c>
      <c r="BD85" s="297">
        <f t="shared" si="571"/>
        <v>8.7415946205571471E-2</v>
      </c>
      <c r="BE85" s="297">
        <f t="shared" si="571"/>
        <v>5.201177625122666E-2</v>
      </c>
      <c r="BF85" s="297">
        <f t="shared" si="571"/>
        <v>3.8773669972948621E-2</v>
      </c>
      <c r="BG85" s="297">
        <f t="shared" si="571"/>
        <v>4.0104620749781938E-2</v>
      </c>
      <c r="BH85" s="297">
        <f t="shared" si="571"/>
        <v>0.11042402826855113</v>
      </c>
      <c r="BI85" s="297">
        <f t="shared" si="571"/>
        <v>0.10727611940298498</v>
      </c>
      <c r="BJ85" s="297">
        <f t="shared" si="571"/>
        <v>7.03125E-2</v>
      </c>
      <c r="BK85" s="297"/>
      <c r="BL85" s="297"/>
      <c r="BM85" s="297"/>
      <c r="BN85" s="297"/>
      <c r="BO85" s="297"/>
      <c r="BP85" s="297"/>
      <c r="BQ85" s="297"/>
      <c r="BR85" s="297"/>
      <c r="BS85" s="297"/>
      <c r="BT85" s="297"/>
      <c r="BU85" s="297"/>
      <c r="BV85" s="297"/>
      <c r="BW85" s="297"/>
      <c r="BX85" s="297"/>
      <c r="BY85" s="297"/>
      <c r="BZ85" s="297"/>
      <c r="CA85" s="297"/>
      <c r="CB85" s="297"/>
      <c r="CC85" s="297"/>
      <c r="CD85" s="297"/>
      <c r="CE85" s="297"/>
      <c r="CF85" s="297"/>
      <c r="CG85" s="297"/>
      <c r="CH85" s="297"/>
      <c r="CI85" s="297"/>
      <c r="CJ85" s="297"/>
      <c r="CK85" s="297"/>
      <c r="CL85" s="297"/>
      <c r="CM85" s="297">
        <f t="shared" ref="CM85:CT85" si="572">CM49/CI49-1</f>
        <v>6.9444444444444198E-3</v>
      </c>
      <c r="CN85" s="297">
        <f t="shared" si="572"/>
        <v>-8.2466567607726637E-2</v>
      </c>
      <c r="CO85" s="297">
        <f t="shared" si="572"/>
        <v>-6.6358024691357986E-2</v>
      </c>
      <c r="CP85" s="297">
        <f t="shared" si="572"/>
        <v>-9.6017069701280211E-2</v>
      </c>
      <c r="CQ85" s="297">
        <f t="shared" si="572"/>
        <v>-0.27356321839080455</v>
      </c>
      <c r="CR85" s="297">
        <f t="shared" si="572"/>
        <v>-0.37246963562753033</v>
      </c>
      <c r="CS85" s="297">
        <f t="shared" si="572"/>
        <v>-0.17355371900826444</v>
      </c>
      <c r="CT85" s="297">
        <f t="shared" si="572"/>
        <v>-0.12195121951219512</v>
      </c>
      <c r="CU85" s="297">
        <f t="shared" ref="CU85:DF86" si="573">CU49/CQ49-1</f>
        <v>0.17932489451476785</v>
      </c>
      <c r="CV85" s="297">
        <f t="shared" si="573"/>
        <v>0.50709677419354837</v>
      </c>
      <c r="CW85" s="297">
        <f t="shared" si="573"/>
        <v>0.14399999999999991</v>
      </c>
      <c r="CX85" s="297">
        <f t="shared" si="573"/>
        <v>6.8100358422939156E-2</v>
      </c>
      <c r="CY85" s="297">
        <f t="shared" si="573"/>
        <v>2.5044722719141266E-2</v>
      </c>
      <c r="CZ85" s="297">
        <f t="shared" si="573"/>
        <v>-1.0273972602739767E-2</v>
      </c>
      <c r="DA85" s="297">
        <f t="shared" si="573"/>
        <v>1.2237762237762295E-2</v>
      </c>
      <c r="DB85" s="297">
        <f t="shared" si="573"/>
        <v>2.0000000000000018E-2</v>
      </c>
      <c r="DC85" s="297">
        <f t="shared" si="573"/>
        <v>2.0000000000000018E-2</v>
      </c>
      <c r="DD85" s="297">
        <f t="shared" si="573"/>
        <v>2.0000000000000018E-2</v>
      </c>
      <c r="DE85" s="297">
        <f t="shared" si="573"/>
        <v>2.0000000000000018E-2</v>
      </c>
      <c r="DF85" s="297">
        <f t="shared" si="573"/>
        <v>2.0000000000000018E-2</v>
      </c>
      <c r="DG85" s="296"/>
      <c r="DH85" s="245"/>
      <c r="DI85" s="245"/>
      <c r="DJ85" s="245"/>
      <c r="DK85" s="245"/>
      <c r="DL85" s="245"/>
      <c r="DM85" s="245"/>
      <c r="DN85" s="245"/>
      <c r="DO85" s="245"/>
      <c r="DP85" s="246">
        <f t="shared" ref="DP85:DR86" si="574">DP47/DO47-1</f>
        <v>0</v>
      </c>
      <c r="DQ85" s="246">
        <f t="shared" si="574"/>
        <v>5.3770491803278642E-2</v>
      </c>
      <c r="DR85" s="246">
        <f t="shared" si="574"/>
        <v>0.20472930927193533</v>
      </c>
      <c r="DS85" s="246">
        <f t="shared" ref="DS85:EB85" si="575">DS47/DR47-1</f>
        <v>2.0661157024793431E-2</v>
      </c>
      <c r="DT85" s="246">
        <f t="shared" si="575"/>
        <v>0.11285425101214575</v>
      </c>
      <c r="DU85" s="246">
        <f t="shared" si="575"/>
        <v>8.5038653933606101E-2</v>
      </c>
      <c r="DV85" s="246">
        <f t="shared" si="575"/>
        <v>0.10603520536462696</v>
      </c>
      <c r="DW85" s="246">
        <f t="shared" si="575"/>
        <v>7.5028419856006057E-2</v>
      </c>
      <c r="DX85" s="246">
        <f t="shared" si="575"/>
        <v>9.2351075079309064E-2</v>
      </c>
      <c r="DY85" s="246">
        <f t="shared" si="575"/>
        <v>3.6786060019361022E-2</v>
      </c>
      <c r="DZ85" s="246">
        <f t="shared" si="575"/>
        <v>0.11795829442888262</v>
      </c>
      <c r="EA85" s="246">
        <f t="shared" si="575"/>
        <v>6.9042316258351999E-2</v>
      </c>
      <c r="EB85" s="246">
        <f t="shared" si="575"/>
        <v>7.3437500000000044E-2</v>
      </c>
      <c r="EC85" s="246">
        <f t="shared" ref="EC85:EI86" si="576">EC47/EB47-1</f>
        <v>9.243085880640467E-2</v>
      </c>
      <c r="ED85" s="246">
        <f t="shared" si="576"/>
        <v>8.1501221407950242E-2</v>
      </c>
      <c r="EE85" s="246">
        <f t="shared" si="576"/>
        <v>-1</v>
      </c>
      <c r="EF85" s="246" t="e">
        <f t="shared" si="576"/>
        <v>#DIV/0!</v>
      </c>
      <c r="EG85" s="246" t="e">
        <f t="shared" si="576"/>
        <v>#DIV/0!</v>
      </c>
      <c r="EH85" s="246" t="e">
        <f t="shared" si="576"/>
        <v>#DIV/0!</v>
      </c>
      <c r="EI85" s="246" t="e">
        <f t="shared" si="576"/>
        <v>#DIV/0!</v>
      </c>
      <c r="EJ85" s="246"/>
      <c r="EK85" s="246"/>
      <c r="EL85" s="246"/>
      <c r="EM85" s="246"/>
      <c r="FD85" s="290"/>
      <c r="FE85" s="290"/>
      <c r="FF85" s="290"/>
      <c r="FG85"/>
      <c r="FH85" s="290"/>
      <c r="FI85" s="290"/>
      <c r="FJ85" s="290"/>
    </row>
    <row r="86" spans="1:166" s="279" customFormat="1" ht="12.75" customHeight="1" x14ac:dyDescent="0.2">
      <c r="A86" s="1"/>
      <c r="B86" t="s">
        <v>123</v>
      </c>
      <c r="C86" s="293"/>
      <c r="D86" s="293"/>
      <c r="E86" s="293"/>
      <c r="F86" s="293"/>
      <c r="G86" s="297">
        <f t="shared" si="568"/>
        <v>0.15999999999999992</v>
      </c>
      <c r="H86" s="297">
        <f t="shared" si="568"/>
        <v>0.16999999999999993</v>
      </c>
      <c r="I86" s="297">
        <f t="shared" si="568"/>
        <v>0.16999999999999993</v>
      </c>
      <c r="J86" s="297">
        <f t="shared" si="568"/>
        <v>0.2234848484848484</v>
      </c>
      <c r="K86" s="297">
        <f t="shared" si="568"/>
        <v>0.50352112676056349</v>
      </c>
      <c r="L86" s="297">
        <f t="shared" si="568"/>
        <v>0.48620689655172411</v>
      </c>
      <c r="M86" s="297">
        <f t="shared" si="568"/>
        <v>0.46101694915254243</v>
      </c>
      <c r="N86" s="297">
        <f t="shared" si="568"/>
        <v>0.39318885448916419</v>
      </c>
      <c r="O86" s="297">
        <f t="shared" si="568"/>
        <v>4.9180327868852514E-2</v>
      </c>
      <c r="P86" s="297">
        <f t="shared" si="568"/>
        <v>7.4245939675174011E-2</v>
      </c>
      <c r="Q86" s="297">
        <f t="shared" si="569"/>
        <v>3.7122969837587005E-2</v>
      </c>
      <c r="R86" s="297">
        <f t="shared" si="569"/>
        <v>7.1111111111111125E-2</v>
      </c>
      <c r="S86" s="297">
        <f t="shared" si="569"/>
        <v>6.0267857142857206E-2</v>
      </c>
      <c r="T86" s="297">
        <f t="shared" si="569"/>
        <v>7.7753779697624203E-2</v>
      </c>
      <c r="U86" s="297">
        <f t="shared" si="569"/>
        <v>0.12527964205816544</v>
      </c>
      <c r="V86" s="297">
        <f t="shared" si="569"/>
        <v>8.5062240663900335E-2</v>
      </c>
      <c r="W86" s="297">
        <f t="shared" si="569"/>
        <v>9.6842105263157841E-2</v>
      </c>
      <c r="X86" s="297">
        <f t="shared" si="569"/>
        <v>0.1523046092184368</v>
      </c>
      <c r="Y86" s="297">
        <f t="shared" si="569"/>
        <v>0.13518886679920472</v>
      </c>
      <c r="Z86" s="297">
        <f t="shared" si="569"/>
        <v>0.19502868068833656</v>
      </c>
      <c r="AA86" s="297">
        <f t="shared" si="570"/>
        <v>0.19577735124760087</v>
      </c>
      <c r="AB86" s="297">
        <f t="shared" si="570"/>
        <v>0.1286956521739131</v>
      </c>
      <c r="AC86" s="297">
        <f t="shared" si="570"/>
        <v>8.9316987740805542E-2</v>
      </c>
      <c r="AD86" s="297">
        <f t="shared" si="570"/>
        <v>0.10880000000000001</v>
      </c>
      <c r="AE86" s="297">
        <f t="shared" si="564"/>
        <v>6.7415730337078594E-2</v>
      </c>
      <c r="AF86" s="297">
        <f t="shared" si="564"/>
        <v>9.3990755007704152E-2</v>
      </c>
      <c r="AG86" s="297">
        <f t="shared" si="564"/>
        <v>8.0385852090032239E-2</v>
      </c>
      <c r="AH86" s="297">
        <f t="shared" si="564"/>
        <v>0.15728715728715725</v>
      </c>
      <c r="AI86" s="297">
        <f t="shared" si="564"/>
        <v>0.15338345864661651</v>
      </c>
      <c r="AJ86" s="297">
        <f t="shared" si="564"/>
        <v>0.10563380281690149</v>
      </c>
      <c r="AK86" s="297">
        <f t="shared" si="564"/>
        <v>7.5892857142857206E-2</v>
      </c>
      <c r="AL86" s="297">
        <f t="shared" si="564"/>
        <v>2.6184538653366562E-2</v>
      </c>
      <c r="AM86" s="297">
        <f t="shared" si="564"/>
        <v>3.5202086049543668E-2</v>
      </c>
      <c r="AN86" s="297">
        <f t="shared" si="564"/>
        <v>9.1719745222929916E-2</v>
      </c>
      <c r="AO86" s="297">
        <f t="shared" si="565"/>
        <v>0.14246196403872746</v>
      </c>
      <c r="AP86" s="297">
        <f t="shared" si="565"/>
        <v>9.3560145808019524E-2</v>
      </c>
      <c r="AQ86" s="297">
        <f t="shared" si="565"/>
        <v>0.12216624685138533</v>
      </c>
      <c r="AR86" s="297">
        <f t="shared" si="565"/>
        <v>0.11668611435239207</v>
      </c>
      <c r="AS86" s="297">
        <f t="shared" si="565"/>
        <v>0.116222760290557</v>
      </c>
      <c r="AT86" s="297">
        <f t="shared" si="565"/>
        <v>0.18222222222222229</v>
      </c>
      <c r="AU86" s="297">
        <f t="shared" si="565"/>
        <v>0.12570145903479246</v>
      </c>
      <c r="AV86" s="297">
        <f t="shared" si="565"/>
        <v>0.17450365726227801</v>
      </c>
      <c r="AW86" s="297">
        <f t="shared" si="565"/>
        <v>0.13015184381778733</v>
      </c>
      <c r="AX86" s="297">
        <f t="shared" si="571"/>
        <v>4.9812030075187863E-2</v>
      </c>
      <c r="AY86" s="297">
        <f t="shared" si="571"/>
        <v>1.1964107676968982E-2</v>
      </c>
      <c r="AZ86" s="297">
        <f t="shared" si="571"/>
        <v>-8.0071174377224219E-3</v>
      </c>
      <c r="BA86" s="297">
        <f t="shared" si="571"/>
        <v>6.1420345489443307E-2</v>
      </c>
      <c r="BB86" s="297">
        <f t="shared" si="571"/>
        <v>0.12444046553267674</v>
      </c>
      <c r="BC86" s="297">
        <f t="shared" si="571"/>
        <v>0.15073891625615765</v>
      </c>
      <c r="BD86" s="297">
        <f t="shared" si="571"/>
        <v>7.2645739910313978E-2</v>
      </c>
      <c r="BE86" s="297">
        <f t="shared" si="571"/>
        <v>2.8028933092224317E-2</v>
      </c>
      <c r="BF86" s="297">
        <f t="shared" si="571"/>
        <v>7.9617834394896114E-4</v>
      </c>
      <c r="BG86" s="297">
        <f t="shared" si="571"/>
        <v>4.5376712328767166E-2</v>
      </c>
      <c r="BH86" s="297">
        <f t="shared" si="571"/>
        <v>8.2775919732441361E-2</v>
      </c>
      <c r="BI86" s="297">
        <f t="shared" si="571"/>
        <v>8.267370272647323E-2</v>
      </c>
      <c r="BJ86" s="297">
        <f t="shared" si="571"/>
        <v>6.0461416070007878E-2</v>
      </c>
      <c r="BK86" s="297"/>
      <c r="BL86" s="297"/>
      <c r="BM86" s="297"/>
      <c r="BN86" s="297"/>
      <c r="BO86" s="297"/>
      <c r="BP86" s="297"/>
      <c r="BQ86" s="297"/>
      <c r="BR86" s="297"/>
      <c r="BS86" s="297"/>
      <c r="BT86" s="297"/>
      <c r="BU86" s="297"/>
      <c r="BV86" s="297"/>
      <c r="BW86" s="297"/>
      <c r="BX86" s="297"/>
      <c r="BY86" s="297"/>
      <c r="BZ86" s="297"/>
      <c r="CA86" s="297"/>
      <c r="CB86" s="297"/>
      <c r="CC86" s="297"/>
      <c r="CD86" s="297"/>
      <c r="CE86" s="297"/>
      <c r="CF86" s="297"/>
      <c r="CG86" s="297"/>
      <c r="CH86" s="297"/>
      <c r="CI86" s="297"/>
      <c r="CJ86" s="297"/>
      <c r="CK86" s="297"/>
      <c r="CL86" s="297"/>
      <c r="CM86" s="297">
        <f t="shared" ref="CM86:CT86" si="577">CM50/CI50-1</f>
        <v>-3.3717834960070969E-2</v>
      </c>
      <c r="CN86" s="297">
        <f t="shared" si="577"/>
        <v>-4.2771599657827175E-2</v>
      </c>
      <c r="CO86" s="297">
        <f t="shared" si="577"/>
        <v>1.9444444444444375E-2</v>
      </c>
      <c r="CP86" s="297">
        <f t="shared" si="577"/>
        <v>-8.4674005080440651E-3</v>
      </c>
      <c r="CQ86" s="297">
        <f t="shared" si="577"/>
        <v>5.8769513314967936E-2</v>
      </c>
      <c r="CR86" s="297">
        <f t="shared" si="577"/>
        <v>-0.30741733690795348</v>
      </c>
      <c r="CS86" s="297">
        <f t="shared" si="577"/>
        <v>4.632152588555849E-2</v>
      </c>
      <c r="CT86" s="297">
        <f t="shared" si="577"/>
        <v>0.12040990606319379</v>
      </c>
      <c r="CU86" s="297">
        <f t="shared" si="573"/>
        <v>8.759757155247172E-2</v>
      </c>
      <c r="CV86" s="297">
        <f t="shared" si="573"/>
        <v>0.74709677419354836</v>
      </c>
      <c r="CW86" s="297">
        <f t="shared" si="573"/>
        <v>9.461805555555558E-2</v>
      </c>
      <c r="CX86" s="297">
        <f t="shared" si="573"/>
        <v>6.8597560975609539E-3</v>
      </c>
      <c r="CY86" s="297">
        <f t="shared" si="573"/>
        <v>2.7113237639553533E-2</v>
      </c>
      <c r="CZ86" s="297">
        <f t="shared" si="573"/>
        <v>-4.4313146233382561E-2</v>
      </c>
      <c r="DA86" s="297">
        <f t="shared" si="573"/>
        <v>2.3790642347343294E-3</v>
      </c>
      <c r="DB86" s="297">
        <f t="shared" si="573"/>
        <v>2.0000000000000018E-2</v>
      </c>
      <c r="DC86" s="297">
        <f t="shared" si="573"/>
        <v>2.0000000000000018E-2</v>
      </c>
      <c r="DD86" s="297">
        <f t="shared" si="573"/>
        <v>2.0000000000000018E-2</v>
      </c>
      <c r="DE86" s="297">
        <f t="shared" si="573"/>
        <v>2.0000000000000018E-2</v>
      </c>
      <c r="DF86" s="297">
        <f t="shared" si="573"/>
        <v>2.0000000000000018E-2</v>
      </c>
      <c r="DG86" s="296"/>
      <c r="DH86" s="245"/>
      <c r="DI86" s="245"/>
      <c r="DJ86" s="245"/>
      <c r="DK86" s="245"/>
      <c r="DL86" s="245"/>
      <c r="DM86" s="245"/>
      <c r="DN86" s="245"/>
      <c r="DO86" s="245"/>
      <c r="DP86" s="246">
        <f t="shared" si="574"/>
        <v>0.15999999999999992</v>
      </c>
      <c r="DQ86" s="246">
        <f t="shared" si="574"/>
        <v>0.18156959256220939</v>
      </c>
      <c r="DR86" s="246">
        <f t="shared" si="574"/>
        <v>0.45889261744966436</v>
      </c>
      <c r="DS86" s="246">
        <f t="shared" ref="DS86:EB86" si="578">DS48/DR48-1</f>
        <v>5.8079355951696332E-2</v>
      </c>
      <c r="DT86" s="246">
        <f t="shared" si="578"/>
        <v>8.6956521739130377E-2</v>
      </c>
      <c r="DU86" s="246">
        <f t="shared" si="578"/>
        <v>0.14599999999999991</v>
      </c>
      <c r="DV86" s="246">
        <f t="shared" si="578"/>
        <v>0.12870855148342053</v>
      </c>
      <c r="DW86" s="246">
        <f t="shared" si="578"/>
        <v>0.10127560881329734</v>
      </c>
      <c r="DX86" s="246">
        <f t="shared" si="578"/>
        <v>8.7399087399087305E-2</v>
      </c>
      <c r="DY86" s="246">
        <f t="shared" si="578"/>
        <v>9.0058102001291163E-2</v>
      </c>
      <c r="DZ86" s="246">
        <f t="shared" si="578"/>
        <v>0.13532721350310917</v>
      </c>
      <c r="EA86" s="246">
        <f t="shared" si="578"/>
        <v>0.11789254042775177</v>
      </c>
      <c r="EB86" s="246">
        <f t="shared" si="578"/>
        <v>4.8063462435837589E-2</v>
      </c>
      <c r="EC86" s="246">
        <f t="shared" si="576"/>
        <v>5.9216384683882461E-2</v>
      </c>
      <c r="ED86" s="246">
        <f t="shared" si="576"/>
        <v>6.767549390500216E-2</v>
      </c>
      <c r="EE86" s="246">
        <f t="shared" si="576"/>
        <v>-1</v>
      </c>
      <c r="EF86" s="246" t="e">
        <f t="shared" si="576"/>
        <v>#DIV/0!</v>
      </c>
      <c r="EG86" s="246" t="e">
        <f t="shared" si="576"/>
        <v>#DIV/0!</v>
      </c>
      <c r="EH86" s="246" t="e">
        <f t="shared" si="576"/>
        <v>#DIV/0!</v>
      </c>
      <c r="EI86" s="246" t="e">
        <f t="shared" si="576"/>
        <v>#DIV/0!</v>
      </c>
      <c r="EJ86" s="246"/>
      <c r="EK86" s="246"/>
      <c r="EL86" s="246"/>
      <c r="EM86" s="246"/>
      <c r="FD86" s="290"/>
      <c r="FE86" s="290"/>
      <c r="FF86" s="291"/>
      <c r="FG86"/>
      <c r="FH86" s="291"/>
      <c r="FI86" s="290"/>
      <c r="FJ86" s="290"/>
    </row>
    <row r="87" spans="1:166" s="279" customFormat="1" ht="12.75" customHeight="1" x14ac:dyDescent="0.2">
      <c r="A87" s="1"/>
      <c r="B87" t="s">
        <v>125</v>
      </c>
      <c r="C87" s="293"/>
      <c r="D87" s="293"/>
      <c r="E87" s="293"/>
      <c r="F87" s="293"/>
      <c r="G87" s="297">
        <f t="shared" ref="G87:AL87" si="579">G53/C53-1</f>
        <v>3.0000000000000027E-2</v>
      </c>
      <c r="H87" s="297">
        <f t="shared" si="579"/>
        <v>0</v>
      </c>
      <c r="I87" s="297">
        <f t="shared" si="579"/>
        <v>-1.8333333333333313E-2</v>
      </c>
      <c r="J87" s="297">
        <f t="shared" si="579"/>
        <v>6.7961165048543659E-2</v>
      </c>
      <c r="K87" s="297">
        <f t="shared" si="579"/>
        <v>6.7632850241545972E-2</v>
      </c>
      <c r="L87" s="297">
        <f t="shared" si="579"/>
        <v>0.11428571428571432</v>
      </c>
      <c r="M87" s="297">
        <f t="shared" si="579"/>
        <v>0.14746543778801846</v>
      </c>
      <c r="N87" s="297">
        <f t="shared" si="579"/>
        <v>5.9090909090909083E-2</v>
      </c>
      <c r="O87" s="297">
        <f t="shared" si="579"/>
        <v>9.5022624434389247E-2</v>
      </c>
      <c r="P87" s="297">
        <f t="shared" si="579"/>
        <v>8.9743589743589647E-2</v>
      </c>
      <c r="Q87" s="297">
        <f t="shared" si="579"/>
        <v>0.10040160642570273</v>
      </c>
      <c r="R87" s="297">
        <f t="shared" si="579"/>
        <v>0.11587982832618016</v>
      </c>
      <c r="S87" s="297">
        <f t="shared" si="579"/>
        <v>9.0909090909090828E-2</v>
      </c>
      <c r="T87" s="297">
        <f t="shared" si="579"/>
        <v>3.9215686274509887E-2</v>
      </c>
      <c r="U87" s="297">
        <f t="shared" si="579"/>
        <v>2.9197080291970767E-2</v>
      </c>
      <c r="V87" s="297">
        <f t="shared" si="579"/>
        <v>-3.0769230769230771E-2</v>
      </c>
      <c r="W87" s="297">
        <f t="shared" si="579"/>
        <v>2.2727272727272707E-2</v>
      </c>
      <c r="X87" s="297">
        <f t="shared" si="579"/>
        <v>8.679245283018866E-2</v>
      </c>
      <c r="Y87" s="297">
        <f t="shared" si="579"/>
        <v>0.1063829787234043</v>
      </c>
      <c r="Z87" s="297">
        <f t="shared" si="579"/>
        <v>0.18253968253968256</v>
      </c>
      <c r="AA87" s="297">
        <f t="shared" si="579"/>
        <v>0.11111111111111116</v>
      </c>
      <c r="AB87" s="297">
        <f t="shared" si="579"/>
        <v>0.10069444444444442</v>
      </c>
      <c r="AC87" s="297">
        <f t="shared" si="579"/>
        <v>9.6153846153846256E-2</v>
      </c>
      <c r="AD87" s="297">
        <f t="shared" si="579"/>
        <v>0.13758389261744974</v>
      </c>
      <c r="AE87" s="297">
        <f t="shared" si="579"/>
        <v>0.17999999999999994</v>
      </c>
      <c r="AF87" s="297">
        <f t="shared" si="579"/>
        <v>0.18927444794952675</v>
      </c>
      <c r="AG87" s="297">
        <f t="shared" si="579"/>
        <v>0.14619883040935666</v>
      </c>
      <c r="AH87" s="297">
        <f t="shared" si="579"/>
        <v>0.20058997050147487</v>
      </c>
      <c r="AI87" s="297">
        <f t="shared" si="579"/>
        <v>0.14971751412429368</v>
      </c>
      <c r="AJ87" s="297">
        <f t="shared" si="579"/>
        <v>0.12997347480106103</v>
      </c>
      <c r="AK87" s="297">
        <f t="shared" si="579"/>
        <v>0.13010204081632648</v>
      </c>
      <c r="AL87" s="297">
        <f t="shared" si="579"/>
        <v>2.7027027027026973E-2</v>
      </c>
      <c r="AM87" s="297">
        <f t="shared" ref="AM87:BR87" si="580">AM53/AI53-1</f>
        <v>8.3538083538083452E-2</v>
      </c>
      <c r="AN87" s="297">
        <f t="shared" si="580"/>
        <v>0.11267605633802824</v>
      </c>
      <c r="AO87" s="297">
        <f t="shared" si="580"/>
        <v>0.1128668171557563</v>
      </c>
      <c r="AP87" s="297">
        <f t="shared" si="580"/>
        <v>0.12679425837320579</v>
      </c>
      <c r="AQ87" s="297">
        <f t="shared" si="580"/>
        <v>0.16326530612244894</v>
      </c>
      <c r="AR87" s="297">
        <f t="shared" si="580"/>
        <v>0.16666666666666674</v>
      </c>
      <c r="AS87" s="297">
        <f t="shared" si="580"/>
        <v>0.17038539553752541</v>
      </c>
      <c r="AT87" s="297">
        <f t="shared" si="580"/>
        <v>0.20169851380042458</v>
      </c>
      <c r="AU87" s="297">
        <f t="shared" si="580"/>
        <v>0.18323586744639386</v>
      </c>
      <c r="AV87" s="297">
        <f t="shared" si="580"/>
        <v>0.15551537070524413</v>
      </c>
      <c r="AW87" s="297">
        <f t="shared" si="580"/>
        <v>0.12998266897746968</v>
      </c>
      <c r="AX87" s="297">
        <f t="shared" si="580"/>
        <v>6.360424028268552E-2</v>
      </c>
      <c r="AY87" s="297">
        <f t="shared" si="580"/>
        <v>-1.3179571663920919E-2</v>
      </c>
      <c r="AZ87" s="297">
        <f t="shared" si="580"/>
        <v>-1.4084507042253502E-2</v>
      </c>
      <c r="BA87" s="297">
        <f t="shared" si="580"/>
        <v>1.0736196319018454E-2</v>
      </c>
      <c r="BB87" s="297">
        <f t="shared" si="580"/>
        <v>2.6578073089700949E-2</v>
      </c>
      <c r="BC87" s="297">
        <f t="shared" si="580"/>
        <v>0.10851419031719534</v>
      </c>
      <c r="BD87" s="297">
        <f t="shared" si="580"/>
        <v>5.0793650793650835E-2</v>
      </c>
      <c r="BE87" s="297">
        <f t="shared" si="580"/>
        <v>5.4628224582701002E-2</v>
      </c>
      <c r="BF87" s="297">
        <f t="shared" si="580"/>
        <v>6.6343042071197456E-2</v>
      </c>
      <c r="BG87" s="297">
        <f t="shared" si="580"/>
        <v>8.7349397590361422E-2</v>
      </c>
      <c r="BH87" s="297">
        <f t="shared" si="580"/>
        <v>0.10574018126888207</v>
      </c>
      <c r="BI87" s="297">
        <f t="shared" si="580"/>
        <v>8.2014388489208612E-2</v>
      </c>
      <c r="BJ87" s="297">
        <f t="shared" si="580"/>
        <v>7.7389984825493086E-2</v>
      </c>
      <c r="BK87" s="297">
        <f t="shared" si="580"/>
        <v>4.8476454293628901E-2</v>
      </c>
      <c r="BL87" s="297">
        <f t="shared" si="580"/>
        <v>-2.732240437158473E-3</v>
      </c>
      <c r="BM87" s="297">
        <f t="shared" si="580"/>
        <v>1.5957446808510634E-2</v>
      </c>
      <c r="BN87" s="297">
        <f t="shared" si="580"/>
        <v>4.9295774647887258E-2</v>
      </c>
      <c r="BO87" s="297">
        <f t="shared" si="580"/>
        <v>-2.2457067371202122E-2</v>
      </c>
      <c r="BP87" s="297">
        <f t="shared" si="580"/>
        <v>0</v>
      </c>
      <c r="BQ87" s="297">
        <f t="shared" si="580"/>
        <v>-2.0942408376963373E-2</v>
      </c>
      <c r="BR87" s="297">
        <f t="shared" si="580"/>
        <v>-3.4899328859060441E-2</v>
      </c>
      <c r="BS87" s="297">
        <f t="shared" ref="BS87:BZ87" si="581">BS53/BO53-1</f>
        <v>2.8378378378378422E-2</v>
      </c>
      <c r="BT87" s="297">
        <f t="shared" si="581"/>
        <v>-3.150684931506853E-2</v>
      </c>
      <c r="BU87" s="297">
        <f t="shared" si="581"/>
        <v>-4.9999999999999933E-2</v>
      </c>
      <c r="BV87" s="297">
        <f t="shared" si="581"/>
        <v>-5.0000000000000044E-2</v>
      </c>
      <c r="BW87" s="297">
        <f t="shared" si="581"/>
        <v>-5.0000000000000044E-2</v>
      </c>
      <c r="BX87" s="297">
        <f t="shared" si="581"/>
        <v>-5.0000000000000044E-2</v>
      </c>
      <c r="BY87" s="297">
        <f t="shared" si="581"/>
        <v>-5.0000000000000155E-2</v>
      </c>
      <c r="BZ87" s="297">
        <f t="shared" si="581"/>
        <v>-5.0000000000000044E-2</v>
      </c>
      <c r="CA87" s="297"/>
      <c r="CB87" s="297"/>
      <c r="CC87" s="297"/>
      <c r="CD87" s="297"/>
      <c r="CE87" s="297"/>
      <c r="CF87" s="297"/>
      <c r="CG87" s="297"/>
      <c r="CH87" s="297"/>
      <c r="CI87" s="297"/>
      <c r="CJ87" s="297"/>
      <c r="CK87" s="297"/>
      <c r="CL87" s="297"/>
      <c r="CM87" s="297"/>
      <c r="CN87" s="297"/>
      <c r="CO87" s="297"/>
      <c r="CP87" s="297"/>
      <c r="CQ87" s="297"/>
      <c r="CR87" s="297"/>
      <c r="CS87" s="297"/>
      <c r="CT87" s="297"/>
      <c r="CU87" s="297"/>
      <c r="CV87" s="297"/>
      <c r="CW87" s="297"/>
      <c r="CX87" s="297"/>
      <c r="CY87" s="297"/>
      <c r="CZ87" s="297"/>
      <c r="DA87" s="297"/>
      <c r="DB87" s="297"/>
      <c r="DC87" s="297"/>
      <c r="DD87" s="297"/>
      <c r="DE87" s="297"/>
      <c r="DF87" s="297"/>
      <c r="DG87" s="296"/>
      <c r="DH87" s="245"/>
      <c r="DI87" s="245"/>
      <c r="DJ87" s="245"/>
      <c r="DK87" s="245"/>
      <c r="DL87" s="245"/>
      <c r="DM87" s="245"/>
      <c r="DN87" s="245"/>
      <c r="DO87" s="245"/>
      <c r="DP87" s="246">
        <f t="shared" ref="DP87:EI87" si="582">DP53/DO53-1</f>
        <v>0.16999999999999993</v>
      </c>
      <c r="DQ87" s="246">
        <f t="shared" si="582"/>
        <v>9.4562647754137252E-3</v>
      </c>
      <c r="DR87" s="246">
        <f t="shared" si="582"/>
        <v>0.11592505854800939</v>
      </c>
      <c r="DS87" s="246">
        <f t="shared" si="582"/>
        <v>8.1846799580272744E-2</v>
      </c>
      <c r="DT87" s="246">
        <f t="shared" si="582"/>
        <v>3.1037827352085268E-2</v>
      </c>
      <c r="DU87" s="246">
        <f t="shared" si="582"/>
        <v>9.8777046095954946E-2</v>
      </c>
      <c r="DV87" s="246">
        <f t="shared" si="582"/>
        <v>0.11130136986301364</v>
      </c>
      <c r="DW87" s="246">
        <f t="shared" si="582"/>
        <v>0.17873651771956856</v>
      </c>
      <c r="DX87" s="246">
        <f t="shared" si="582"/>
        <v>0.10718954248366019</v>
      </c>
      <c r="DY87" s="246">
        <f t="shared" si="582"/>
        <v>0.10920897284533648</v>
      </c>
      <c r="DZ87" s="246">
        <f t="shared" si="582"/>
        <v>0.17562533262373603</v>
      </c>
      <c r="EA87" s="246">
        <f t="shared" si="582"/>
        <v>0.13173381620642832</v>
      </c>
      <c r="EB87" s="246">
        <f t="shared" si="582"/>
        <v>2.3999999999999577E-3</v>
      </c>
      <c r="EC87" s="246">
        <f t="shared" si="582"/>
        <v>6.9433359936153183E-2</v>
      </c>
      <c r="ED87" s="246">
        <f t="shared" si="582"/>
        <v>8.8059701492537279E-2</v>
      </c>
      <c r="EE87" s="246">
        <f t="shared" si="582"/>
        <v>2.7434842249657088E-2</v>
      </c>
      <c r="EF87" s="246">
        <f t="shared" si="582"/>
        <v>-1.9692923898531389E-2</v>
      </c>
      <c r="EG87" s="246">
        <f t="shared" si="582"/>
        <v>-5.0000000000000044E-3</v>
      </c>
      <c r="EH87" s="246">
        <f t="shared" si="582"/>
        <v>-5.0000000000000044E-3</v>
      </c>
      <c r="EI87" s="246">
        <f t="shared" si="582"/>
        <v>-5.0000000000000044E-3</v>
      </c>
      <c r="EJ87" s="246"/>
      <c r="EK87" s="246"/>
      <c r="EL87" s="246"/>
      <c r="EM87" s="246"/>
      <c r="EO87" s="245">
        <f t="shared" ref="EO87:EW87" si="583">+EO53/EN53-1</f>
        <v>4.4884812286689391E-2</v>
      </c>
      <c r="EP87" s="245">
        <f t="shared" si="583"/>
        <v>-5.0000000000001155E-3</v>
      </c>
      <c r="EQ87" s="245">
        <f t="shared" si="583"/>
        <v>-4.9999999999998934E-3</v>
      </c>
      <c r="ER87" s="245">
        <f t="shared" si="583"/>
        <v>-5.0000000000001155E-3</v>
      </c>
      <c r="ES87" s="245">
        <f t="shared" si="583"/>
        <v>-5.0000000000001155E-3</v>
      </c>
      <c r="ET87" s="245">
        <f t="shared" si="583"/>
        <v>-5.0000000000000044E-3</v>
      </c>
      <c r="EU87" s="245">
        <f t="shared" si="583"/>
        <v>-5.0000000000000044E-3</v>
      </c>
      <c r="EV87" s="245">
        <f t="shared" si="583"/>
        <v>-4.9999999999998934E-3</v>
      </c>
      <c r="EW87" s="245">
        <f t="shared" si="583"/>
        <v>-5.0000000000000044E-3</v>
      </c>
      <c r="FD87" s="290"/>
      <c r="FE87" s="290"/>
      <c r="FF87" s="291"/>
      <c r="FG87"/>
      <c r="FH87" s="291"/>
      <c r="FI87" s="290"/>
      <c r="FJ87" s="290"/>
    </row>
    <row r="88" spans="1:166" ht="12.75" customHeight="1" x14ac:dyDescent="0.2">
      <c r="AE88" s="243"/>
      <c r="AF88" s="243"/>
      <c r="AG88" s="243"/>
      <c r="AH88" s="243"/>
      <c r="AI88" s="243"/>
      <c r="AJ88" s="243"/>
      <c r="AK88" s="243"/>
      <c r="AL88" s="243"/>
      <c r="AM88" s="243"/>
      <c r="AN88" s="243"/>
      <c r="AO88" s="243"/>
      <c r="AP88" s="243"/>
      <c r="AQ88" s="243"/>
      <c r="AR88" s="243"/>
      <c r="AS88" s="243"/>
      <c r="AT88" s="243"/>
      <c r="AU88" s="243"/>
      <c r="AV88" s="243"/>
      <c r="AW88" s="243"/>
      <c r="AX88" s="243"/>
      <c r="DH88" s="276"/>
      <c r="DI88" s="276"/>
      <c r="DJ88" s="276"/>
      <c r="DK88" s="276"/>
      <c r="DL88" s="276"/>
      <c r="DM88" s="276"/>
      <c r="DN88" s="276"/>
      <c r="DO88" s="276"/>
      <c r="DP88" s="276"/>
      <c r="DQ88" s="276"/>
      <c r="DR88" s="276"/>
      <c r="DS88" s="298"/>
      <c r="DT88" s="298"/>
      <c r="DU88" s="298"/>
      <c r="DV88" s="235"/>
      <c r="DW88" s="235"/>
      <c r="DX88" s="235"/>
      <c r="DY88" s="283"/>
      <c r="DZ88" s="283"/>
      <c r="EA88" s="283"/>
      <c r="EB88" s="283"/>
      <c r="EC88" s="283"/>
      <c r="ED88" s="276"/>
      <c r="EE88" s="276"/>
      <c r="EF88" s="276"/>
      <c r="EG88" s="276"/>
      <c r="EH88" s="276"/>
      <c r="EI88" s="276"/>
      <c r="EJ88" s="276"/>
      <c r="EK88" s="276"/>
      <c r="EL88" s="276"/>
      <c r="EM88" s="276"/>
    </row>
    <row r="89" spans="1:166" ht="12.75" customHeight="1" x14ac:dyDescent="0.2">
      <c r="B89" t="s">
        <v>352</v>
      </c>
      <c r="C89" s="240">
        <f t="shared" ref="C89:AH89" si="584">C58/C56</f>
        <v>0.68993875765529311</v>
      </c>
      <c r="D89" s="240">
        <f t="shared" si="584"/>
        <v>0.693050193050193</v>
      </c>
      <c r="E89" s="240">
        <f t="shared" si="584"/>
        <v>0.68671679197994984</v>
      </c>
      <c r="F89" s="240">
        <f t="shared" si="584"/>
        <v>0.66589698046181167</v>
      </c>
      <c r="G89" s="240">
        <f t="shared" si="584"/>
        <v>0.69272004150095101</v>
      </c>
      <c r="H89" s="240">
        <f t="shared" si="584"/>
        <v>0.68822410513574273</v>
      </c>
      <c r="I89" s="240">
        <f t="shared" si="584"/>
        <v>0.69287211740041932</v>
      </c>
      <c r="J89" s="240">
        <f t="shared" si="584"/>
        <v>0.67048845610177477</v>
      </c>
      <c r="K89" s="240">
        <f t="shared" si="584"/>
        <v>0.69297981319674595</v>
      </c>
      <c r="L89" s="240">
        <f t="shared" si="584"/>
        <v>0.69565217391304346</v>
      </c>
      <c r="M89" s="240">
        <f t="shared" si="584"/>
        <v>0.69921469847384798</v>
      </c>
      <c r="N89" s="240">
        <f t="shared" si="584"/>
        <v>0.68285589646648248</v>
      </c>
      <c r="O89" s="240">
        <f t="shared" si="584"/>
        <v>0.69381062986746822</v>
      </c>
      <c r="P89" s="241">
        <f t="shared" si="584"/>
        <v>0.6995205114544486</v>
      </c>
      <c r="Q89" s="240">
        <f t="shared" si="584"/>
        <v>0.69752915047196007</v>
      </c>
      <c r="R89" s="240">
        <f t="shared" si="584"/>
        <v>0.69259988745075973</v>
      </c>
      <c r="S89" s="240">
        <f t="shared" si="584"/>
        <v>0.70748299319727892</v>
      </c>
      <c r="T89" s="241">
        <f t="shared" si="584"/>
        <v>0.71685447134979619</v>
      </c>
      <c r="U89" s="240">
        <f t="shared" si="584"/>
        <v>0.71048798252002909</v>
      </c>
      <c r="V89" s="240">
        <f t="shared" si="584"/>
        <v>0.70379626323931932</v>
      </c>
      <c r="W89" s="241">
        <f t="shared" si="584"/>
        <v>0.71897518014411532</v>
      </c>
      <c r="X89" s="240">
        <f t="shared" si="584"/>
        <v>0.715419376171057</v>
      </c>
      <c r="Y89" s="240">
        <f t="shared" si="584"/>
        <v>0.7124132613723978</v>
      </c>
      <c r="Z89" s="240">
        <f t="shared" si="584"/>
        <v>0.70254174199723496</v>
      </c>
      <c r="AA89" s="241">
        <f t="shared" si="584"/>
        <v>0.72286703319079615</v>
      </c>
      <c r="AB89" s="240">
        <f t="shared" si="584"/>
        <v>0.71293070073557874</v>
      </c>
      <c r="AC89" s="240">
        <f t="shared" si="584"/>
        <v>0.71494164912951985</v>
      </c>
      <c r="AD89" s="240">
        <f t="shared" si="584"/>
        <v>0.6919834928439722</v>
      </c>
      <c r="AE89" s="288">
        <f t="shared" si="584"/>
        <v>0.71904205607476634</v>
      </c>
      <c r="AF89" s="289">
        <f t="shared" si="584"/>
        <v>0.73410696266397579</v>
      </c>
      <c r="AG89" s="289">
        <f t="shared" si="584"/>
        <v>0.72414091577945128</v>
      </c>
      <c r="AH89" s="288">
        <f t="shared" si="584"/>
        <v>0.70937892095357591</v>
      </c>
      <c r="AI89" s="289">
        <f t="shared" ref="AI89:BN89" si="585">AI58/AI56</f>
        <v>0.72755610972568574</v>
      </c>
      <c r="AJ89" s="289">
        <f t="shared" si="585"/>
        <v>0.7240244475787494</v>
      </c>
      <c r="AK89" s="289">
        <f t="shared" si="585"/>
        <v>0.72753858651502845</v>
      </c>
      <c r="AL89" s="288">
        <f t="shared" si="585"/>
        <v>0.71149881046788266</v>
      </c>
      <c r="AM89" s="288">
        <f t="shared" si="585"/>
        <v>0.72198275862068961</v>
      </c>
      <c r="AN89" s="288">
        <f t="shared" si="585"/>
        <v>0.71653071914989153</v>
      </c>
      <c r="AO89" s="289">
        <f t="shared" si="585"/>
        <v>0.72529540152028293</v>
      </c>
      <c r="AP89" s="288">
        <f t="shared" si="585"/>
        <v>0.70713346002046484</v>
      </c>
      <c r="AQ89" s="288">
        <f t="shared" si="585"/>
        <v>0.7093524226154968</v>
      </c>
      <c r="AR89" s="288">
        <f t="shared" si="585"/>
        <v>0.71219125610883638</v>
      </c>
      <c r="AS89" s="288">
        <f t="shared" si="585"/>
        <v>0.71519957353235153</v>
      </c>
      <c r="AT89" s="288">
        <f t="shared" si="585"/>
        <v>0.70332769317540889</v>
      </c>
      <c r="AU89" s="288">
        <f t="shared" si="585"/>
        <v>0.71507965913301219</v>
      </c>
      <c r="AV89" s="288">
        <f t="shared" si="585"/>
        <v>0.71118541033434646</v>
      </c>
      <c r="AW89" s="288">
        <f t="shared" si="585"/>
        <v>0.70014446328748192</v>
      </c>
      <c r="AX89" s="288">
        <f t="shared" si="585"/>
        <v>0.71202740086945071</v>
      </c>
      <c r="AY89" s="288">
        <f t="shared" si="585"/>
        <v>0.71709037668042064</v>
      </c>
      <c r="AZ89" s="288">
        <f t="shared" si="585"/>
        <v>0.70798608832600562</v>
      </c>
      <c r="BA89" s="288">
        <f t="shared" si="585"/>
        <v>0.70598766660035805</v>
      </c>
      <c r="BB89" s="288">
        <f t="shared" si="585"/>
        <v>0.68588000725031717</v>
      </c>
      <c r="BC89" s="288">
        <f t="shared" si="585"/>
        <v>0.71031923741283343</v>
      </c>
      <c r="BD89" s="288">
        <f t="shared" si="585"/>
        <v>0.69913574631230102</v>
      </c>
      <c r="BE89" s="288">
        <f t="shared" si="585"/>
        <v>0.69336537177946866</v>
      </c>
      <c r="BF89" s="288">
        <f t="shared" si="585"/>
        <v>0.67783175658399386</v>
      </c>
      <c r="BG89" s="288">
        <f t="shared" si="585"/>
        <v>0.71837793233525871</v>
      </c>
      <c r="BH89" s="288">
        <f t="shared" si="585"/>
        <v>0.68837741760559135</v>
      </c>
      <c r="BI89" s="288">
        <f t="shared" si="585"/>
        <v>0.68309903155263985</v>
      </c>
      <c r="BJ89" s="288">
        <f t="shared" si="585"/>
        <v>0.71638063864831836</v>
      </c>
      <c r="BK89" s="288">
        <f t="shared" si="585"/>
        <v>0.69545820682818016</v>
      </c>
      <c r="BL89" s="288">
        <f t="shared" si="585"/>
        <v>0.69066522314447254</v>
      </c>
      <c r="BM89" s="288">
        <f t="shared" si="585"/>
        <v>0.67442266302134835</v>
      </c>
      <c r="BN89" s="288">
        <f t="shared" si="585"/>
        <v>0.66258220448541394</v>
      </c>
      <c r="BO89" s="288">
        <f t="shared" ref="BO89:BT89" si="586">BO58/BO56</f>
        <v>0.68349669478003194</v>
      </c>
      <c r="BP89" s="288">
        <f t="shared" si="586"/>
        <v>0.69391624379635308</v>
      </c>
      <c r="BQ89" s="288">
        <f t="shared" si="586"/>
        <v>0.69703497930721692</v>
      </c>
      <c r="BR89" s="288">
        <f t="shared" si="586"/>
        <v>0.6772532654056691</v>
      </c>
      <c r="BS89" s="288">
        <f t="shared" si="586"/>
        <v>0.69886834115373997</v>
      </c>
      <c r="BT89" s="288">
        <f t="shared" si="586"/>
        <v>0.69022826365734802</v>
      </c>
      <c r="BU89" s="288">
        <v>0.69</v>
      </c>
      <c r="BV89" s="288">
        <v>0.69</v>
      </c>
      <c r="BW89" s="288">
        <v>0.69</v>
      </c>
      <c r="BX89" s="288">
        <v>0.69</v>
      </c>
      <c r="BY89" s="288">
        <v>0.69</v>
      </c>
      <c r="BZ89" s="288">
        <v>0.69</v>
      </c>
      <c r="CA89" s="288"/>
      <c r="CB89" s="288"/>
      <c r="CC89" s="288"/>
      <c r="CD89" s="288"/>
      <c r="CE89" s="288"/>
      <c r="CF89" s="288"/>
      <c r="CG89" s="288"/>
      <c r="CH89" s="288"/>
      <c r="CI89" s="288"/>
      <c r="CJ89" s="288"/>
      <c r="CK89" s="288"/>
      <c r="CL89" s="288"/>
      <c r="CM89" s="288"/>
      <c r="CN89" s="288"/>
      <c r="CO89" s="288"/>
      <c r="CP89" s="288"/>
      <c r="CQ89" s="288">
        <f t="shared" ref="CQ89:DF89" si="587">+CQ58/CQ56</f>
        <v>0.658675688738521</v>
      </c>
      <c r="CR89" s="288">
        <f t="shared" si="587"/>
        <v>0.64123677609335805</v>
      </c>
      <c r="CS89" s="288">
        <f t="shared" si="587"/>
        <v>0.6692913385826772</v>
      </c>
      <c r="CT89" s="288">
        <f t="shared" si="587"/>
        <v>0.65234027407011919</v>
      </c>
      <c r="CU89" s="288">
        <f t="shared" si="587"/>
        <v>0.68357152457327186</v>
      </c>
      <c r="CV89" s="288">
        <f t="shared" si="587"/>
        <v>0.72932042148372511</v>
      </c>
      <c r="CW89" s="288">
        <f t="shared" si="587"/>
        <v>0.68930790657810159</v>
      </c>
      <c r="CX89" s="288">
        <f t="shared" si="587"/>
        <v>0.67932438424638208</v>
      </c>
      <c r="CY89" s="288">
        <f t="shared" si="587"/>
        <v>0.67565952360624948</v>
      </c>
      <c r="CZ89" s="288">
        <f t="shared" si="587"/>
        <v>0.72522897585345547</v>
      </c>
      <c r="DA89" s="288">
        <f t="shared" si="587"/>
        <v>0.67186449226630796</v>
      </c>
      <c r="DB89" s="288">
        <f t="shared" si="587"/>
        <v>0.67500000000000004</v>
      </c>
      <c r="DC89" s="288">
        <f t="shared" si="587"/>
        <v>0.67500000000000004</v>
      </c>
      <c r="DD89" s="288">
        <f t="shared" si="587"/>
        <v>0.67500000000000004</v>
      </c>
      <c r="DE89" s="288">
        <f t="shared" si="587"/>
        <v>0.67500000000000004</v>
      </c>
      <c r="DF89" s="288">
        <f t="shared" si="587"/>
        <v>0.67500000000000004</v>
      </c>
      <c r="DH89" s="240">
        <f t="shared" ref="DH89:EU89" si="588">+DH58/DH56</f>
        <v>0.64333299169826796</v>
      </c>
      <c r="DI89" s="240">
        <f t="shared" si="588"/>
        <v>0.64948361823361822</v>
      </c>
      <c r="DJ89" s="240">
        <f t="shared" si="588"/>
        <v>0.66224793122840842</v>
      </c>
      <c r="DK89" s="240">
        <f t="shared" si="588"/>
        <v>0.65985603141132843</v>
      </c>
      <c r="DL89" s="240">
        <f t="shared" si="588"/>
        <v>0.66112604328759372</v>
      </c>
      <c r="DM89" s="240">
        <f t="shared" si="588"/>
        <v>0.66321342316003562</v>
      </c>
      <c r="DN89" s="240">
        <f t="shared" si="588"/>
        <v>0.6690903301135761</v>
      </c>
      <c r="DO89" s="240">
        <f t="shared" si="588"/>
        <v>0.67539315448658654</v>
      </c>
      <c r="DP89" s="240">
        <f t="shared" si="588"/>
        <v>0.68394537982235182</v>
      </c>
      <c r="DQ89" s="240">
        <f t="shared" si="588"/>
        <v>0.68567443040114973</v>
      </c>
      <c r="DR89" s="240">
        <f t="shared" si="588"/>
        <v>0.69269411379272683</v>
      </c>
      <c r="DS89" s="240">
        <f t="shared" si="588"/>
        <v>0.69590583067366762</v>
      </c>
      <c r="DT89" s="240">
        <f t="shared" si="588"/>
        <v>0.71106532541510115</v>
      </c>
      <c r="DU89" s="240">
        <f t="shared" si="588"/>
        <v>0.71697474256269655</v>
      </c>
      <c r="DV89" s="240">
        <f t="shared" si="588"/>
        <v>0.71259565588900375</v>
      </c>
      <c r="DW89" s="240">
        <f t="shared" si="588"/>
        <v>0.72105492861150944</v>
      </c>
      <c r="DX89" s="240">
        <f t="shared" si="588"/>
        <v>0.71808961978261743</v>
      </c>
      <c r="DY89" s="240">
        <f t="shared" si="588"/>
        <v>0.71763183557122501</v>
      </c>
      <c r="DZ89" s="240">
        <f t="shared" si="588"/>
        <v>0.70945249202062366</v>
      </c>
      <c r="EA89" s="240">
        <f t="shared" si="588"/>
        <v>0.70961770749996078</v>
      </c>
      <c r="EB89" s="240">
        <f t="shared" si="588"/>
        <v>0.70379824547231695</v>
      </c>
      <c r="EC89" s="240">
        <f t="shared" si="588"/>
        <v>0.69421527947278494</v>
      </c>
      <c r="ED89" s="240">
        <f t="shared" si="588"/>
        <v>0.73856681531600799</v>
      </c>
      <c r="EE89" s="240">
        <f t="shared" si="588"/>
        <v>0.68031056725759076</v>
      </c>
      <c r="EF89" s="240">
        <f t="shared" si="588"/>
        <v>0.68670069553511326</v>
      </c>
      <c r="EG89" s="240">
        <f t="shared" si="588"/>
        <v>0.69</v>
      </c>
      <c r="EH89" s="240">
        <f t="shared" si="588"/>
        <v>0.69</v>
      </c>
      <c r="EI89" s="240">
        <f t="shared" si="588"/>
        <v>0.69</v>
      </c>
      <c r="EJ89" s="240">
        <f t="shared" si="588"/>
        <v>0.69</v>
      </c>
      <c r="EK89" s="240">
        <f t="shared" si="588"/>
        <v>0.69</v>
      </c>
      <c r="EL89" s="240">
        <f t="shared" si="588"/>
        <v>0.69</v>
      </c>
      <c r="EM89" s="240">
        <f t="shared" si="588"/>
        <v>0.69</v>
      </c>
      <c r="EN89" s="240">
        <f t="shared" si="588"/>
        <v>0.69529519509286075</v>
      </c>
      <c r="EO89" s="240">
        <f t="shared" si="588"/>
        <v>0.69</v>
      </c>
      <c r="EP89" s="240">
        <f t="shared" si="588"/>
        <v>0.69</v>
      </c>
      <c r="EQ89" s="240">
        <f t="shared" si="588"/>
        <v>0.69</v>
      </c>
      <c r="ER89" s="240">
        <f t="shared" si="588"/>
        <v>0.69</v>
      </c>
      <c r="ES89" s="240">
        <f t="shared" si="588"/>
        <v>0.69</v>
      </c>
      <c r="ET89" s="240">
        <f t="shared" si="588"/>
        <v>0.69</v>
      </c>
      <c r="EU89" s="240">
        <f t="shared" si="588"/>
        <v>0.69</v>
      </c>
    </row>
    <row r="90" spans="1:166" ht="12.75" customHeight="1" x14ac:dyDescent="0.2">
      <c r="B90" t="s">
        <v>340</v>
      </c>
      <c r="C90" s="240">
        <f t="shared" ref="C90:AD90" si="589">+C59/C56</f>
        <v>0.37410323709536308</v>
      </c>
      <c r="D90" s="240">
        <f t="shared" si="589"/>
        <v>0.37592137592137592</v>
      </c>
      <c r="E90" s="240">
        <f t="shared" si="589"/>
        <v>0.38471177944862156</v>
      </c>
      <c r="F90" s="240">
        <f t="shared" si="589"/>
        <v>0.40603907637655418</v>
      </c>
      <c r="G90" s="240">
        <f t="shared" si="589"/>
        <v>0.3631333218052914</v>
      </c>
      <c r="H90" s="240">
        <f t="shared" si="589"/>
        <v>0.36555421061732662</v>
      </c>
      <c r="I90" s="240">
        <f t="shared" si="589"/>
        <v>0.37578616352201261</v>
      </c>
      <c r="J90" s="240">
        <f t="shared" si="589"/>
        <v>0.39924611276896499</v>
      </c>
      <c r="K90" s="240">
        <f t="shared" si="589"/>
        <v>0.36200662850256099</v>
      </c>
      <c r="L90" s="240">
        <f t="shared" si="589"/>
        <v>0.37189962065946891</v>
      </c>
      <c r="M90" s="240">
        <f t="shared" si="589"/>
        <v>0.37990813453845013</v>
      </c>
      <c r="N90" s="240">
        <f t="shared" si="589"/>
        <v>0.41602442925694344</v>
      </c>
      <c r="O90" s="240">
        <f t="shared" si="589"/>
        <v>0.35646946304139909</v>
      </c>
      <c r="P90" s="240">
        <f t="shared" si="589"/>
        <v>0.36561001598295151</v>
      </c>
      <c r="Q90" s="240">
        <f t="shared" si="589"/>
        <v>0.37132148806218768</v>
      </c>
      <c r="R90" s="240">
        <f t="shared" si="589"/>
        <v>0.40039392234102422</v>
      </c>
      <c r="S90" s="240">
        <f t="shared" si="589"/>
        <v>0.34924913361571042</v>
      </c>
      <c r="T90" s="240">
        <f t="shared" si="589"/>
        <v>0.35662910573004075</v>
      </c>
      <c r="U90" s="240">
        <f t="shared" si="589"/>
        <v>0.35129885894634622</v>
      </c>
      <c r="V90" s="240">
        <f t="shared" si="589"/>
        <v>0.3903367844817327</v>
      </c>
      <c r="W90" s="240">
        <f t="shared" si="589"/>
        <v>0.32517442525448931</v>
      </c>
      <c r="X90" s="240">
        <f t="shared" si="589"/>
        <v>0.3325250743965612</v>
      </c>
      <c r="Y90" s="240">
        <f t="shared" si="589"/>
        <v>0.33109373278995485</v>
      </c>
      <c r="Z90" s="240">
        <f t="shared" si="589"/>
        <v>0.35626927576305434</v>
      </c>
      <c r="AA90" s="240">
        <f t="shared" si="589"/>
        <v>0.33119527591121972</v>
      </c>
      <c r="AB90" s="240">
        <f t="shared" si="589"/>
        <v>0.32868757259001163</v>
      </c>
      <c r="AC90" s="240">
        <f t="shared" si="589"/>
        <v>0.32791276066577385</v>
      </c>
      <c r="AD90" s="240">
        <f t="shared" si="589"/>
        <v>0.3559575028536307</v>
      </c>
      <c r="AE90" s="288">
        <f t="shared" ref="AE90:BV90" si="590">AE59/AE56</f>
        <v>0.30373831775700932</v>
      </c>
      <c r="AF90" s="288">
        <f t="shared" si="590"/>
        <v>0.31205852674066598</v>
      </c>
      <c r="AG90" s="288">
        <f t="shared" si="590"/>
        <v>0.3335930061455899</v>
      </c>
      <c r="AH90" s="288">
        <f t="shared" si="590"/>
        <v>0.36504077791718947</v>
      </c>
      <c r="AI90" s="288">
        <f t="shared" si="590"/>
        <v>0.32161783042394015</v>
      </c>
      <c r="AJ90" s="288">
        <f t="shared" si="590"/>
        <v>0.32863187588152326</v>
      </c>
      <c r="AK90" s="288">
        <f t="shared" si="590"/>
        <v>0.33801787164906583</v>
      </c>
      <c r="AL90" s="288">
        <f t="shared" si="590"/>
        <v>0.36835844567803333</v>
      </c>
      <c r="AM90" s="288">
        <f t="shared" si="590"/>
        <v>0.31519396551724138</v>
      </c>
      <c r="AN90" s="288">
        <f t="shared" si="590"/>
        <v>0.32560053880116741</v>
      </c>
      <c r="AO90" s="288">
        <f t="shared" si="590"/>
        <v>0.32294724166478511</v>
      </c>
      <c r="AP90" s="288">
        <f t="shared" si="590"/>
        <v>0.34322467475515278</v>
      </c>
      <c r="AQ90" s="288">
        <f t="shared" si="590"/>
        <v>0.31828726718366807</v>
      </c>
      <c r="AR90" s="288">
        <f t="shared" si="590"/>
        <v>0.33212257297582881</v>
      </c>
      <c r="AS90" s="288">
        <f t="shared" si="590"/>
        <v>0.32644765775971213</v>
      </c>
      <c r="AT90" s="288">
        <f t="shared" si="590"/>
        <v>0.3585260387290844</v>
      </c>
      <c r="AU90" s="288">
        <f t="shared" si="590"/>
        <v>0.31635173521057181</v>
      </c>
      <c r="AV90" s="288">
        <f t="shared" si="590"/>
        <v>0.33477203647416415</v>
      </c>
      <c r="AW90" s="288">
        <f t="shared" si="590"/>
        <v>0.32629859933421268</v>
      </c>
      <c r="AX90" s="288">
        <f t="shared" si="590"/>
        <v>0.37313924384139113</v>
      </c>
      <c r="AY90" s="288">
        <f t="shared" si="590"/>
        <v>0.30666844136829496</v>
      </c>
      <c r="AZ90" s="288">
        <f t="shared" si="590"/>
        <v>0.3147844346741912</v>
      </c>
      <c r="BA90" s="288">
        <f t="shared" si="590"/>
        <v>0.31609309727471652</v>
      </c>
      <c r="BB90" s="288">
        <f t="shared" si="590"/>
        <v>0.34010029605461906</v>
      </c>
      <c r="BC90" s="288">
        <f t="shared" si="590"/>
        <v>0.30573859637899048</v>
      </c>
      <c r="BD90" s="288">
        <f t="shared" si="590"/>
        <v>0.30905192020274219</v>
      </c>
      <c r="BE90" s="288">
        <f t="shared" si="590"/>
        <v>0.31431050594046189</v>
      </c>
      <c r="BF90" s="288">
        <f t="shared" si="590"/>
        <v>0.33111736128867297</v>
      </c>
      <c r="BG90" s="288">
        <f t="shared" si="590"/>
        <v>0.29800778026641517</v>
      </c>
      <c r="BH90" s="288">
        <f t="shared" si="590"/>
        <v>0.31421341206242093</v>
      </c>
      <c r="BI90" s="288">
        <f t="shared" si="590"/>
        <v>0.32739768822243048</v>
      </c>
      <c r="BJ90" s="288">
        <f t="shared" si="590"/>
        <v>0.28999521810743317</v>
      </c>
      <c r="BK90" s="288">
        <f t="shared" si="590"/>
        <v>0.31073796393828612</v>
      </c>
      <c r="BL90" s="288">
        <f t="shared" si="590"/>
        <v>0.29862865391555393</v>
      </c>
      <c r="BM90" s="288">
        <f t="shared" si="590"/>
        <v>0.30411261706706999</v>
      </c>
      <c r="BN90" s="288">
        <f t="shared" si="590"/>
        <v>0.31819459277162609</v>
      </c>
      <c r="BO90" s="288">
        <f t="shared" si="590"/>
        <v>0.29764075678139956</v>
      </c>
      <c r="BP90" s="288">
        <f t="shared" si="590"/>
        <v>0.27887135448614286</v>
      </c>
      <c r="BQ90" s="288">
        <f t="shared" si="590"/>
        <v>0.30126424400476215</v>
      </c>
      <c r="BR90" s="288">
        <f t="shared" si="590"/>
        <v>0.32068722562462737</v>
      </c>
      <c r="BS90" s="288">
        <f t="shared" si="590"/>
        <v>0.28611647805685897</v>
      </c>
      <c r="BT90" s="288">
        <f t="shared" si="590"/>
        <v>0.28114901256732494</v>
      </c>
      <c r="BU90" s="288">
        <f t="shared" si="590"/>
        <v>0.29213759293214453</v>
      </c>
      <c r="BV90" s="288">
        <f t="shared" si="590"/>
        <v>0.3095082659949322</v>
      </c>
      <c r="BW90" s="288"/>
      <c r="BX90" s="288"/>
      <c r="BY90" s="288"/>
      <c r="BZ90" s="288"/>
      <c r="CA90" s="288"/>
      <c r="CB90" s="288"/>
      <c r="CC90" s="288"/>
      <c r="CD90" s="288"/>
      <c r="CE90" s="288"/>
      <c r="CF90" s="288"/>
      <c r="CG90" s="288"/>
      <c r="CH90" s="288"/>
      <c r="CI90" s="288"/>
      <c r="CJ90" s="288"/>
      <c r="CK90" s="288"/>
      <c r="CL90" s="288"/>
      <c r="CM90" s="288"/>
      <c r="CN90" s="288"/>
      <c r="CO90" s="288"/>
      <c r="CP90" s="288"/>
      <c r="CQ90" s="288">
        <f t="shared" ref="CQ90:DF90" si="591">+CQ59/CQ56</f>
        <v>0.25147414209763169</v>
      </c>
      <c r="CR90" s="288">
        <f t="shared" si="591"/>
        <v>0.27227614788962812</v>
      </c>
      <c r="CS90" s="288">
        <f t="shared" si="591"/>
        <v>0.25761312968409067</v>
      </c>
      <c r="CT90" s="288">
        <f t="shared" si="591"/>
        <v>0.28728421427300233</v>
      </c>
      <c r="CU90" s="288">
        <f t="shared" si="591"/>
        <v>0.2433582724788316</v>
      </c>
      <c r="CV90" s="288">
        <f t="shared" si="591"/>
        <v>0.2588200162109125</v>
      </c>
      <c r="CW90" s="288">
        <f t="shared" si="591"/>
        <v>0.25712449110777802</v>
      </c>
      <c r="CX90" s="288">
        <f t="shared" si="591"/>
        <v>0.28838634256459872</v>
      </c>
      <c r="CY90" s="288">
        <f t="shared" si="591"/>
        <v>0.25347904038248098</v>
      </c>
      <c r="CZ90" s="288">
        <f t="shared" si="591"/>
        <v>0.25895087427144048</v>
      </c>
      <c r="DA90" s="288">
        <f t="shared" si="591"/>
        <v>0.25</v>
      </c>
      <c r="DB90" s="288">
        <f t="shared" si="591"/>
        <v>0.25</v>
      </c>
      <c r="DC90" s="288">
        <f t="shared" si="591"/>
        <v>0.25</v>
      </c>
      <c r="DD90" s="288">
        <f t="shared" si="591"/>
        <v>0.25</v>
      </c>
      <c r="DE90" s="288">
        <f t="shared" si="591"/>
        <v>0.25</v>
      </c>
      <c r="DF90" s="288">
        <f t="shared" si="591"/>
        <v>0.25</v>
      </c>
      <c r="DH90" s="240">
        <f t="shared" ref="DH90:EB90" si="592">+DH59/DH56</f>
        <v>0.39940555498616376</v>
      </c>
      <c r="DI90" s="240">
        <f t="shared" si="592"/>
        <v>0.39788105413105412</v>
      </c>
      <c r="DJ90" s="240">
        <f t="shared" si="592"/>
        <v>0.40965694544870251</v>
      </c>
      <c r="DK90" s="240">
        <f t="shared" si="592"/>
        <v>0.41234639714971277</v>
      </c>
      <c r="DL90" s="240">
        <f t="shared" si="592"/>
        <v>0.40819069175272316</v>
      </c>
      <c r="DM90" s="240">
        <f t="shared" si="592"/>
        <v>0.403584593873141</v>
      </c>
      <c r="DN90" s="240">
        <f t="shared" si="592"/>
        <v>0.3960301454198068</v>
      </c>
      <c r="DO90" s="240">
        <f t="shared" si="592"/>
        <v>0.38825161887141535</v>
      </c>
      <c r="DP90" s="240">
        <f t="shared" si="592"/>
        <v>0.3851252817181493</v>
      </c>
      <c r="DQ90" s="240">
        <f t="shared" si="592"/>
        <v>0.376505896774739</v>
      </c>
      <c r="DR90" s="240">
        <f t="shared" si="592"/>
        <v>0.38233045757344108</v>
      </c>
      <c r="DS90" s="240">
        <f t="shared" si="592"/>
        <v>0.37321116030062801</v>
      </c>
      <c r="DT90" s="240">
        <f t="shared" si="592"/>
        <v>0.36334989698218395</v>
      </c>
      <c r="DU90" s="240">
        <f t="shared" si="592"/>
        <v>0.33095018137782123</v>
      </c>
      <c r="DV90" s="240">
        <f t="shared" si="592"/>
        <v>0.3335504916748101</v>
      </c>
      <c r="DW90" s="240">
        <f t="shared" si="592"/>
        <v>0.32961323440779766</v>
      </c>
      <c r="DX90" s="240">
        <f t="shared" si="592"/>
        <v>0.34096327124328257</v>
      </c>
      <c r="DY90" s="240">
        <f t="shared" si="592"/>
        <v>0.32692596204335761</v>
      </c>
      <c r="DZ90" s="240">
        <f t="shared" si="592"/>
        <v>0.33474097716670759</v>
      </c>
      <c r="EA90" s="240">
        <f t="shared" si="592"/>
        <v>0.33711390339937564</v>
      </c>
      <c r="EB90" s="240">
        <f t="shared" si="592"/>
        <v>0.31990241853401619</v>
      </c>
      <c r="EC90" s="240">
        <f>EB90-0.1%</f>
        <v>0.31890241853401619</v>
      </c>
      <c r="ED90" s="240">
        <v>0.32</v>
      </c>
      <c r="EE90" s="240">
        <v>0.32500000000000001</v>
      </c>
      <c r="EF90" s="240">
        <v>0.32500000000000001</v>
      </c>
      <c r="EG90" s="240">
        <v>0.33</v>
      </c>
      <c r="EH90" s="240">
        <f t="shared" ref="EH90:EU90" si="593">+EH59/EH56</f>
        <v>0</v>
      </c>
      <c r="EI90" s="240">
        <f t="shared" si="593"/>
        <v>0</v>
      </c>
      <c r="EJ90" s="240">
        <f t="shared" si="593"/>
        <v>0</v>
      </c>
      <c r="EK90" s="240">
        <f t="shared" si="593"/>
        <v>0</v>
      </c>
      <c r="EL90" s="240">
        <f t="shared" si="593"/>
        <v>0</v>
      </c>
      <c r="EM90" s="240">
        <f t="shared" si="593"/>
        <v>0</v>
      </c>
      <c r="EN90" s="240">
        <f t="shared" si="593"/>
        <v>0.2625340773555972</v>
      </c>
      <c r="EO90" s="240">
        <f t="shared" si="593"/>
        <v>0.26</v>
      </c>
      <c r="EP90" s="240">
        <f t="shared" si="593"/>
        <v>0.26</v>
      </c>
      <c r="EQ90" s="240">
        <f t="shared" si="593"/>
        <v>0.26</v>
      </c>
      <c r="ER90" s="240">
        <f t="shared" si="593"/>
        <v>0.26</v>
      </c>
      <c r="ES90" s="240">
        <f t="shared" si="593"/>
        <v>0.26</v>
      </c>
      <c r="ET90" s="240">
        <f t="shared" si="593"/>
        <v>0.26</v>
      </c>
      <c r="EU90" s="240">
        <f t="shared" si="593"/>
        <v>0.26</v>
      </c>
    </row>
    <row r="91" spans="1:166" ht="12.75" customHeight="1" x14ac:dyDescent="0.2">
      <c r="B91" t="s">
        <v>341</v>
      </c>
      <c r="C91" s="240">
        <f t="shared" ref="C91:AD91" si="594">+C60/C$56</f>
        <v>8.3639545056867895E-2</v>
      </c>
      <c r="D91" s="240">
        <f t="shared" si="594"/>
        <v>9.1260091260091256E-2</v>
      </c>
      <c r="E91" s="240">
        <f t="shared" si="594"/>
        <v>9.2373791621911922E-2</v>
      </c>
      <c r="F91" s="240">
        <f t="shared" si="594"/>
        <v>0.11119005328596802</v>
      </c>
      <c r="G91" s="240">
        <f t="shared" si="594"/>
        <v>8.542279093895902E-2</v>
      </c>
      <c r="H91" s="240">
        <f t="shared" si="594"/>
        <v>9.1993774857340477E-2</v>
      </c>
      <c r="I91" s="240">
        <f t="shared" si="594"/>
        <v>8.9273235499650591E-2</v>
      </c>
      <c r="J91" s="240">
        <f t="shared" si="594"/>
        <v>0.11496780273284121</v>
      </c>
      <c r="K91" s="240">
        <f t="shared" si="594"/>
        <v>8.0747213015968669E-2</v>
      </c>
      <c r="L91" s="240">
        <f t="shared" si="594"/>
        <v>8.374671724540414E-2</v>
      </c>
      <c r="M91" s="240">
        <f t="shared" si="594"/>
        <v>9.0828270854941467E-2</v>
      </c>
      <c r="N91" s="240">
        <f t="shared" si="594"/>
        <v>0.11807474189326742</v>
      </c>
      <c r="O91" s="240">
        <f t="shared" si="594"/>
        <v>8.7033747779751328E-2</v>
      </c>
      <c r="P91" s="240">
        <f t="shared" si="594"/>
        <v>8.8838572189664358E-2</v>
      </c>
      <c r="Q91" s="240">
        <f t="shared" si="594"/>
        <v>9.605774569683509E-2</v>
      </c>
      <c r="R91" s="240">
        <f t="shared" si="594"/>
        <v>0.13083849184018007</v>
      </c>
      <c r="S91" s="240">
        <f t="shared" si="594"/>
        <v>8.99756128866641E-2</v>
      </c>
      <c r="T91" s="240">
        <f t="shared" si="594"/>
        <v>9.9376648285782784E-2</v>
      </c>
      <c r="U91" s="240">
        <f t="shared" si="594"/>
        <v>0.10912842923039573</v>
      </c>
      <c r="V91" s="240">
        <f t="shared" si="594"/>
        <v>0.13138164941092467</v>
      </c>
      <c r="W91" s="240">
        <f t="shared" si="594"/>
        <v>9.5047466544664297E-2</v>
      </c>
      <c r="X91" s="240">
        <f t="shared" si="594"/>
        <v>0.10272236305521878</v>
      </c>
      <c r="Y91" s="240">
        <f t="shared" si="594"/>
        <v>0.10485736314572089</v>
      </c>
      <c r="Z91" s="240">
        <f t="shared" si="594"/>
        <v>0.13208550462618313</v>
      </c>
      <c r="AA91" s="240">
        <f t="shared" si="594"/>
        <v>9.5296273671350032E-2</v>
      </c>
      <c r="AB91" s="240">
        <f t="shared" si="594"/>
        <v>0.10472319008904375</v>
      </c>
      <c r="AC91" s="240">
        <f t="shared" si="594"/>
        <v>0.11258848287736752</v>
      </c>
      <c r="AD91" s="240">
        <f t="shared" si="594"/>
        <v>0.13074018790060585</v>
      </c>
      <c r="AE91" s="288">
        <f t="shared" ref="AE91:BV91" si="595">AE60/AE56</f>
        <v>9.1371829105473965E-2</v>
      </c>
      <c r="AF91" s="288">
        <f t="shared" si="595"/>
        <v>9.9394550958627648E-2</v>
      </c>
      <c r="AG91" s="288">
        <f t="shared" si="595"/>
        <v>0.10369600969445165</v>
      </c>
      <c r="AH91" s="288">
        <f t="shared" si="595"/>
        <v>0.1354297365119197</v>
      </c>
      <c r="AI91" s="288">
        <f t="shared" si="595"/>
        <v>0.10785536159600997</v>
      </c>
      <c r="AJ91" s="288">
        <f t="shared" si="595"/>
        <v>0.11651778718069268</v>
      </c>
      <c r="AK91" s="288">
        <f t="shared" si="595"/>
        <v>0.12502030869212022</v>
      </c>
      <c r="AL91" s="288">
        <f t="shared" si="595"/>
        <v>0.15971451229183187</v>
      </c>
      <c r="AM91" s="288">
        <f t="shared" si="595"/>
        <v>0.11791871921182266</v>
      </c>
      <c r="AN91" s="288">
        <f t="shared" si="595"/>
        <v>0.12444810297088978</v>
      </c>
      <c r="AO91" s="288">
        <f t="shared" si="595"/>
        <v>0.1293745766538722</v>
      </c>
      <c r="AP91" s="288">
        <f t="shared" si="595"/>
        <v>0.14953954100277736</v>
      </c>
      <c r="AQ91" s="288">
        <f t="shared" si="595"/>
        <v>0.10949824352091204</v>
      </c>
      <c r="AR91" s="288">
        <f t="shared" si="595"/>
        <v>0.12323339056927751</v>
      </c>
      <c r="AS91" s="288">
        <f t="shared" si="595"/>
        <v>0.12220963550343174</v>
      </c>
      <c r="AT91" s="288">
        <f t="shared" si="595"/>
        <v>0.14589208497837938</v>
      </c>
      <c r="AU91" s="288">
        <f t="shared" si="595"/>
        <v>0.10571816722242806</v>
      </c>
      <c r="AV91" s="288">
        <f t="shared" si="595"/>
        <v>0.11525835866261398</v>
      </c>
      <c r="AW91" s="288">
        <f t="shared" si="595"/>
        <v>0.1168896426103888</v>
      </c>
      <c r="AX91" s="288">
        <f t="shared" si="595"/>
        <v>0.13884863654327492</v>
      </c>
      <c r="AY91" s="288">
        <f t="shared" si="595"/>
        <v>0.10102489019033675</v>
      </c>
      <c r="AZ91" s="288">
        <f t="shared" si="595"/>
        <v>0.10748736793752871</v>
      </c>
      <c r="BA91" s="288">
        <f t="shared" si="595"/>
        <v>0.10722100656455143</v>
      </c>
      <c r="BB91" s="288">
        <f t="shared" si="595"/>
        <v>0.13370793305540452</v>
      </c>
      <c r="BC91" s="288">
        <f t="shared" si="595"/>
        <v>9.960974985605528E-2</v>
      </c>
      <c r="BD91" s="288">
        <f t="shared" si="595"/>
        <v>0.10708947949834297</v>
      </c>
      <c r="BE91" s="288">
        <f t="shared" si="595"/>
        <v>0.11059938592978241</v>
      </c>
      <c r="BF91" s="288">
        <f t="shared" si="595"/>
        <v>0.12669394016875479</v>
      </c>
      <c r="BG91" s="288">
        <f t="shared" si="595"/>
        <v>0.10244017446658021</v>
      </c>
      <c r="BH91" s="288">
        <f t="shared" si="595"/>
        <v>0.11339398686509611</v>
      </c>
      <c r="BI91" s="288">
        <f t="shared" si="595"/>
        <v>0.11077788191190253</v>
      </c>
      <c r="BJ91" s="288">
        <f t="shared" si="595"/>
        <v>0.11449976090537166</v>
      </c>
      <c r="BK91" s="288">
        <f t="shared" si="595"/>
        <v>0.10192700910837103</v>
      </c>
      <c r="BL91" s="288">
        <f t="shared" si="595"/>
        <v>0.10621917478647901</v>
      </c>
      <c r="BM91" s="288">
        <f t="shared" si="595"/>
        <v>0.111860857425397</v>
      </c>
      <c r="BN91" s="288">
        <f t="shared" si="595"/>
        <v>0.1310213029059637</v>
      </c>
      <c r="BO91" s="288">
        <f t="shared" si="595"/>
        <v>0.10166400729427855</v>
      </c>
      <c r="BP91" s="288">
        <f t="shared" si="595"/>
        <v>0.10851502816037473</v>
      </c>
      <c r="BQ91" s="288">
        <f t="shared" si="595"/>
        <v>0.11576619989795339</v>
      </c>
      <c r="BR91" s="288">
        <f t="shared" si="595"/>
        <v>0.13067042436724297</v>
      </c>
      <c r="BS91" s="288">
        <f t="shared" si="595"/>
        <v>0.10107645597571073</v>
      </c>
      <c r="BT91" s="288">
        <f t="shared" si="595"/>
        <v>0.10284688381636317</v>
      </c>
      <c r="BU91" s="288">
        <f t="shared" si="595"/>
        <v>0.11115854059478729</v>
      </c>
      <c r="BV91" s="288">
        <f t="shared" si="595"/>
        <v>0.12487890882815539</v>
      </c>
      <c r="BW91" s="288"/>
      <c r="BX91" s="288"/>
      <c r="BY91" s="288"/>
      <c r="BZ91" s="288"/>
      <c r="CA91" s="288"/>
      <c r="CB91" s="288"/>
      <c r="CC91" s="288"/>
      <c r="CD91" s="288"/>
      <c r="CE91" s="288"/>
      <c r="CF91" s="288"/>
      <c r="CG91" s="288"/>
      <c r="CH91" s="288"/>
      <c r="CI91" s="288"/>
      <c r="CJ91" s="288"/>
      <c r="CK91" s="288"/>
      <c r="CL91" s="288"/>
      <c r="CM91" s="288"/>
      <c r="CN91" s="288"/>
      <c r="CO91" s="288"/>
      <c r="CP91" s="288"/>
      <c r="CQ91" s="288">
        <f t="shared" ref="CQ91:DF91" si="596">+CQ60/CQ56</f>
        <v>0.12469792170130498</v>
      </c>
      <c r="CR91" s="288">
        <f t="shared" si="596"/>
        <v>0.1476169702257607</v>
      </c>
      <c r="CS91" s="288">
        <f t="shared" si="596"/>
        <v>0.13471207665306897</v>
      </c>
      <c r="CT91" s="288">
        <f t="shared" si="596"/>
        <v>0.1793913507741591</v>
      </c>
      <c r="CU91" s="288">
        <f t="shared" si="596"/>
        <v>0.14237713364096591</v>
      </c>
      <c r="CV91" s="288">
        <f t="shared" si="596"/>
        <v>0.14350923595409751</v>
      </c>
      <c r="CW91" s="288">
        <f t="shared" si="596"/>
        <v>0.14664666809513607</v>
      </c>
      <c r="CX91" s="288">
        <f t="shared" si="596"/>
        <v>0.19026887572056275</v>
      </c>
      <c r="CY91" s="288">
        <f t="shared" si="596"/>
        <v>0.14778451293434644</v>
      </c>
      <c r="CZ91" s="288">
        <f t="shared" si="596"/>
        <v>0.14796003330557869</v>
      </c>
      <c r="DA91" s="288">
        <f t="shared" si="596"/>
        <v>0.15118527236045728</v>
      </c>
      <c r="DB91" s="288">
        <f t="shared" si="596"/>
        <v>0</v>
      </c>
      <c r="DC91" s="288">
        <f t="shared" si="596"/>
        <v>0</v>
      </c>
      <c r="DD91" s="288">
        <f t="shared" si="596"/>
        <v>0</v>
      </c>
      <c r="DE91" s="288">
        <f t="shared" si="596"/>
        <v>0</v>
      </c>
      <c r="DF91" s="288">
        <f t="shared" si="596"/>
        <v>0</v>
      </c>
      <c r="DH91" s="240">
        <f t="shared" ref="DH91:EB91" si="597">+DH60/DH$56</f>
        <v>7.3690683611765909E-2</v>
      </c>
      <c r="DI91" s="240">
        <f t="shared" si="597"/>
        <v>7.4252136752136752E-2</v>
      </c>
      <c r="DJ91" s="240">
        <f t="shared" si="597"/>
        <v>7.8733831445328195E-2</v>
      </c>
      <c r="DK91" s="240">
        <f t="shared" si="597"/>
        <v>8.1945757289318688E-2</v>
      </c>
      <c r="DL91" s="240">
        <f t="shared" si="597"/>
        <v>8.360447022209648E-2</v>
      </c>
      <c r="DM91" s="240">
        <f t="shared" si="597"/>
        <v>8.1225371806279395E-2</v>
      </c>
      <c r="DN91" s="240">
        <f t="shared" si="597"/>
        <v>8.672115486678697E-2</v>
      </c>
      <c r="DO91" s="240">
        <f t="shared" si="597"/>
        <v>8.8112858464384824E-2</v>
      </c>
      <c r="DP91" s="240">
        <f t="shared" si="597"/>
        <v>9.4568915992752661E-2</v>
      </c>
      <c r="DQ91" s="240">
        <f t="shared" si="597"/>
        <v>9.591241493004185E-2</v>
      </c>
      <c r="DR91" s="240">
        <f t="shared" si="597"/>
        <v>9.4645262276582584E-2</v>
      </c>
      <c r="DS91" s="240">
        <f t="shared" si="597"/>
        <v>0.1004152510381276</v>
      </c>
      <c r="DT91" s="240">
        <f t="shared" si="597"/>
        <v>0.10880499333414131</v>
      </c>
      <c r="DU91" s="240">
        <f t="shared" si="597"/>
        <v>0.10720120069679426</v>
      </c>
      <c r="DV91" s="240">
        <f t="shared" si="597"/>
        <v>0.11056192081273869</v>
      </c>
      <c r="DW91" s="240">
        <f t="shared" si="597"/>
        <v>0.10813226094727435</v>
      </c>
      <c r="DX91" s="240">
        <f t="shared" si="597"/>
        <v>0.12752030385066063</v>
      </c>
      <c r="DY91" s="240">
        <f t="shared" si="597"/>
        <v>0.13052284149726201</v>
      </c>
      <c r="DZ91" s="240">
        <f t="shared" si="597"/>
        <v>0.12570586791063099</v>
      </c>
      <c r="EA91" s="240">
        <f t="shared" si="597"/>
        <v>0.11886049539586177</v>
      </c>
      <c r="EB91" s="240">
        <f t="shared" si="597"/>
        <v>0.11286492075544857</v>
      </c>
      <c r="EC91" s="240">
        <v>0.11</v>
      </c>
      <c r="ED91" s="240">
        <v>0.104</v>
      </c>
      <c r="EE91" s="240">
        <v>0.104</v>
      </c>
      <c r="EF91" s="240">
        <v>0.104</v>
      </c>
      <c r="EG91" s="240">
        <v>0.104</v>
      </c>
      <c r="EH91" s="240">
        <f t="shared" ref="EH91:EU91" si="598">+EH60/EH56</f>
        <v>3.8958582660348899E-2</v>
      </c>
      <c r="EI91" s="240">
        <f t="shared" si="598"/>
        <v>4.0887419661372972E-2</v>
      </c>
      <c r="EJ91" s="240">
        <f t="shared" si="598"/>
        <v>4.2560325054229985E-2</v>
      </c>
      <c r="EK91" s="240">
        <f t="shared" si="598"/>
        <v>4.2556780683493591E-2</v>
      </c>
      <c r="EL91" s="240">
        <f t="shared" si="598"/>
        <v>4.2292621617319996E-2</v>
      </c>
      <c r="EM91" s="240">
        <f t="shared" si="598"/>
        <v>3.6325769500883925E-2</v>
      </c>
      <c r="EN91" s="240">
        <f t="shared" si="598"/>
        <v>0.15637246549667747</v>
      </c>
      <c r="EO91" s="240">
        <f t="shared" si="598"/>
        <v>3.1666654000005068E-2</v>
      </c>
      <c r="EP91" s="240">
        <f t="shared" si="598"/>
        <v>3.1901110606434357E-2</v>
      </c>
      <c r="EQ91" s="240">
        <f t="shared" si="598"/>
        <v>3.1754055194535544E-2</v>
      </c>
      <c r="ER91" s="240">
        <f t="shared" si="598"/>
        <v>3.1970576990440987E-2</v>
      </c>
      <c r="ES91" s="240">
        <f t="shared" si="598"/>
        <v>3.2097355442267481E-2</v>
      </c>
      <c r="ET91" s="240">
        <f t="shared" si="598"/>
        <v>3.2069889535604502E-2</v>
      </c>
      <c r="EU91" s="240">
        <f t="shared" si="598"/>
        <v>3.1967851464775709E-2</v>
      </c>
    </row>
    <row r="92" spans="1:166" ht="12.75" customHeight="1" x14ac:dyDescent="0.2">
      <c r="B92" t="s">
        <v>353</v>
      </c>
      <c r="C92" s="240">
        <f t="shared" ref="C92:AD92" si="599">+C62/C56</f>
        <v>0.23219597550306212</v>
      </c>
      <c r="D92" s="240">
        <f t="shared" si="599"/>
        <v>0.22586872586872586</v>
      </c>
      <c r="E92" s="240">
        <f t="shared" si="599"/>
        <v>0.20963122090941641</v>
      </c>
      <c r="F92" s="240">
        <f t="shared" si="599"/>
        <v>0.14866785079928951</v>
      </c>
      <c r="G92" s="240">
        <f t="shared" si="599"/>
        <v>0.24416392875670068</v>
      </c>
      <c r="H92" s="240">
        <f t="shared" si="599"/>
        <v>0.23067611966107557</v>
      </c>
      <c r="I92" s="240">
        <f t="shared" si="599"/>
        <v>0.22781271837875611</v>
      </c>
      <c r="J92" s="240">
        <f t="shared" si="599"/>
        <v>0.15627454059996859</v>
      </c>
      <c r="K92" s="240">
        <f t="shared" si="599"/>
        <v>0.25022597167821631</v>
      </c>
      <c r="L92" s="240">
        <f t="shared" si="599"/>
        <v>0.24000583600817041</v>
      </c>
      <c r="M92" s="240">
        <f t="shared" si="599"/>
        <v>0.22847829308045636</v>
      </c>
      <c r="N92" s="240">
        <f t="shared" si="599"/>
        <v>0.14875672531627163</v>
      </c>
      <c r="O92" s="240">
        <f t="shared" si="599"/>
        <v>0.25030741904631781</v>
      </c>
      <c r="P92" s="240">
        <f t="shared" si="599"/>
        <v>0.24507192328183272</v>
      </c>
      <c r="Q92" s="240">
        <f t="shared" si="599"/>
        <v>0.23014991671293725</v>
      </c>
      <c r="R92" s="240">
        <f t="shared" si="599"/>
        <v>0.16136747326955542</v>
      </c>
      <c r="S92" s="240">
        <f t="shared" si="599"/>
        <v>0.26825824669490439</v>
      </c>
      <c r="T92" s="240">
        <f t="shared" si="599"/>
        <v>0.26084871733397269</v>
      </c>
      <c r="U92" s="240">
        <f t="shared" si="599"/>
        <v>0.2500606943432872</v>
      </c>
      <c r="V92" s="240">
        <f t="shared" si="599"/>
        <v>0.18207782934666192</v>
      </c>
      <c r="W92" s="240">
        <f t="shared" si="599"/>
        <v>0.29875328834496168</v>
      </c>
      <c r="X92" s="240">
        <f t="shared" si="599"/>
        <v>0.28017193871927698</v>
      </c>
      <c r="Y92" s="240">
        <f t="shared" si="599"/>
        <v>0.27646216543672208</v>
      </c>
      <c r="Z92" s="240">
        <f t="shared" si="599"/>
        <v>0.21418696160799744</v>
      </c>
      <c r="AA92" s="240">
        <f t="shared" si="599"/>
        <v>0.29637548360822641</v>
      </c>
      <c r="AB92" s="240">
        <f t="shared" si="599"/>
        <v>0.27951993805652342</v>
      </c>
      <c r="AC92" s="240">
        <f t="shared" si="599"/>
        <v>0.27444040558637844</v>
      </c>
      <c r="AD92" s="240">
        <f t="shared" si="599"/>
        <v>0.20528580208973571</v>
      </c>
      <c r="AE92" s="288">
        <f t="shared" ref="AE92:BV92" si="600">AE62/AE56</f>
        <v>0.32393190921228304</v>
      </c>
      <c r="AF92" s="288">
        <f t="shared" si="600"/>
        <v>0.32265388496468211</v>
      </c>
      <c r="AG92" s="288">
        <f t="shared" si="600"/>
        <v>0.28685189993940968</v>
      </c>
      <c r="AH92" s="288">
        <f t="shared" si="600"/>
        <v>0.20890840652446674</v>
      </c>
      <c r="AI92" s="288">
        <f t="shared" si="600"/>
        <v>0.29808291770573564</v>
      </c>
      <c r="AJ92" s="288">
        <f t="shared" si="600"/>
        <v>0.27887478451653347</v>
      </c>
      <c r="AK92" s="288">
        <f t="shared" si="600"/>
        <v>0.26450040617384241</v>
      </c>
      <c r="AL92" s="288">
        <f t="shared" si="600"/>
        <v>0.18342585249801743</v>
      </c>
      <c r="AM92" s="288">
        <f t="shared" si="600"/>
        <v>0.28887007389162561</v>
      </c>
      <c r="AN92" s="288">
        <f t="shared" si="600"/>
        <v>0.2664820773778343</v>
      </c>
      <c r="AO92" s="288">
        <f t="shared" si="600"/>
        <v>0.27297358320162562</v>
      </c>
      <c r="AP92" s="288">
        <f t="shared" si="600"/>
        <v>0.21436924426253473</v>
      </c>
      <c r="AQ92" s="288">
        <f t="shared" si="600"/>
        <v>0.28156691191091671</v>
      </c>
      <c r="AR92" s="288">
        <f t="shared" si="600"/>
        <v>0.25683529256373</v>
      </c>
      <c r="AS92" s="288">
        <f t="shared" si="600"/>
        <v>0.26654228026920768</v>
      </c>
      <c r="AT92" s="288">
        <f t="shared" si="600"/>
        <v>0.19890956946794511</v>
      </c>
      <c r="AU92" s="288">
        <f t="shared" si="600"/>
        <v>0.29300975670001234</v>
      </c>
      <c r="AV92" s="288">
        <f t="shared" si="600"/>
        <v>0.2611550151975684</v>
      </c>
      <c r="AW92" s="288">
        <f t="shared" si="600"/>
        <v>0.25695622134288049</v>
      </c>
      <c r="AX92" s="288">
        <f t="shared" si="600"/>
        <v>0.2000395204847846</v>
      </c>
      <c r="AY92" s="288">
        <f t="shared" si="600"/>
        <v>0.30939704512178889</v>
      </c>
      <c r="AZ92" s="288">
        <f t="shared" si="600"/>
        <v>0.2857142857142857</v>
      </c>
      <c r="BA92" s="288">
        <f t="shared" si="600"/>
        <v>0.28267356276109012</v>
      </c>
      <c r="BB92" s="288">
        <f t="shared" si="600"/>
        <v>0.21207177814029363</v>
      </c>
      <c r="BC92" s="288">
        <f t="shared" si="600"/>
        <v>0.30497089117778775</v>
      </c>
      <c r="BD92" s="288">
        <f t="shared" si="600"/>
        <v>0.28299434661121581</v>
      </c>
      <c r="BE92" s="288">
        <f t="shared" si="600"/>
        <v>0.26845547990922441</v>
      </c>
      <c r="BF92" s="288">
        <f t="shared" si="600"/>
        <v>0.22002045512656609</v>
      </c>
      <c r="BG92" s="288">
        <f t="shared" si="600"/>
        <v>0.31792997760226333</v>
      </c>
      <c r="BH92" s="288">
        <f t="shared" si="600"/>
        <v>0.26077001867807437</v>
      </c>
      <c r="BI92" s="288">
        <f t="shared" si="600"/>
        <v>0.24492346141830679</v>
      </c>
      <c r="BJ92" s="288">
        <f t="shared" si="600"/>
        <v>0.31188565963551351</v>
      </c>
      <c r="BK92" s="288">
        <f t="shared" si="600"/>
        <v>0.28279323378152305</v>
      </c>
      <c r="BL92" s="288">
        <f t="shared" si="600"/>
        <v>0.28581739444243953</v>
      </c>
      <c r="BM92" s="288">
        <f t="shared" si="600"/>
        <v>0.25844918852888138</v>
      </c>
      <c r="BN92" s="288">
        <f t="shared" si="600"/>
        <v>0.21336630880782417</v>
      </c>
      <c r="BO92" s="288">
        <f t="shared" si="600"/>
        <v>0.28419193070435378</v>
      </c>
      <c r="BP92" s="288">
        <f t="shared" si="600"/>
        <v>0.30652986114983549</v>
      </c>
      <c r="BQ92" s="288">
        <f t="shared" si="600"/>
        <v>0.28000453540450138</v>
      </c>
      <c r="BR92" s="288">
        <f t="shared" si="600"/>
        <v>0.22589561541379871</v>
      </c>
      <c r="BS92" s="288">
        <f t="shared" si="600"/>
        <v>0.31167540712117031</v>
      </c>
      <c r="BT92" s="288">
        <f t="shared" si="600"/>
        <v>0.30623236727365993</v>
      </c>
      <c r="BU92" s="288">
        <f t="shared" si="600"/>
        <v>0.29670386647306812</v>
      </c>
      <c r="BV92" s="288">
        <f t="shared" si="600"/>
        <v>0.26561282517691231</v>
      </c>
      <c r="BW92" s="288"/>
      <c r="BX92" s="288"/>
      <c r="BY92" s="288"/>
      <c r="BZ92" s="288"/>
      <c r="CA92" s="288"/>
      <c r="CB92" s="288"/>
      <c r="CC92" s="288"/>
      <c r="CD92" s="288"/>
      <c r="CE92" s="288"/>
      <c r="CF92" s="288"/>
      <c r="CG92" s="288"/>
      <c r="CH92" s="288"/>
      <c r="CI92" s="288"/>
      <c r="CJ92" s="288"/>
      <c r="CK92" s="288"/>
      <c r="CL92" s="288"/>
      <c r="CM92" s="288"/>
      <c r="CN92" s="288"/>
      <c r="CO92" s="288"/>
      <c r="CP92" s="288"/>
      <c r="CQ92" s="288">
        <f t="shared" ref="CQ92:DF92" si="601">+CQ62/CQ56</f>
        <v>0.28250362493958436</v>
      </c>
      <c r="CR92" s="288">
        <f t="shared" si="601"/>
        <v>0.22134365797796923</v>
      </c>
      <c r="CS92" s="288">
        <f t="shared" si="601"/>
        <v>0.27696613224551753</v>
      </c>
      <c r="CT92" s="288">
        <f t="shared" si="601"/>
        <v>0.18566470902295781</v>
      </c>
      <c r="CU92" s="288">
        <f t="shared" si="601"/>
        <v>0.2978361184534743</v>
      </c>
      <c r="CV92" s="288">
        <f t="shared" si="601"/>
        <v>0.32699116931871508</v>
      </c>
      <c r="CW92" s="288">
        <f t="shared" si="601"/>
        <v>0.28553674737518747</v>
      </c>
      <c r="CX92" s="288">
        <f t="shared" si="601"/>
        <v>0.20066916596122061</v>
      </c>
      <c r="CY92" s="288">
        <f t="shared" si="601"/>
        <v>0.27439597028942203</v>
      </c>
      <c r="CZ92" s="288">
        <f t="shared" si="601"/>
        <v>0.31831806827643633</v>
      </c>
      <c r="DA92" s="288">
        <f t="shared" si="601"/>
        <v>0.2706792199058507</v>
      </c>
      <c r="DB92" s="288">
        <f t="shared" si="601"/>
        <v>0.42500000000000004</v>
      </c>
      <c r="DC92" s="288">
        <f t="shared" si="601"/>
        <v>0.42500000000000004</v>
      </c>
      <c r="DD92" s="288">
        <f t="shared" si="601"/>
        <v>0.42499999999999999</v>
      </c>
      <c r="DE92" s="288">
        <f t="shared" si="601"/>
        <v>0.4250000000000001</v>
      </c>
      <c r="DF92" s="288">
        <f t="shared" si="601"/>
        <v>0.4250000000000001</v>
      </c>
      <c r="DH92" s="240">
        <f t="shared" ref="DH92:EU92" si="602">+DH62/DH56</f>
        <v>0.17023675310033823</v>
      </c>
      <c r="DI92" s="240">
        <f t="shared" si="602"/>
        <v>0.17735042735042736</v>
      </c>
      <c r="DJ92" s="240">
        <f t="shared" si="602"/>
        <v>0.17385715433437776</v>
      </c>
      <c r="DK92" s="240">
        <f t="shared" si="602"/>
        <v>0.16556387697229696</v>
      </c>
      <c r="DL92" s="240">
        <f t="shared" si="602"/>
        <v>0.16933088131277407</v>
      </c>
      <c r="DM92" s="240">
        <f t="shared" si="602"/>
        <v>0.17840345748061523</v>
      </c>
      <c r="DN92" s="240">
        <f t="shared" si="602"/>
        <v>0.18633902982698228</v>
      </c>
      <c r="DO92" s="240">
        <f t="shared" si="602"/>
        <v>0.19902867715078632</v>
      </c>
      <c r="DP92" s="240">
        <f t="shared" si="602"/>
        <v>0.20425118211144991</v>
      </c>
      <c r="DQ92" s="240">
        <f t="shared" si="602"/>
        <v>0.21325611869636893</v>
      </c>
      <c r="DR92" s="240">
        <f t="shared" si="602"/>
        <v>0.2157183939427032</v>
      </c>
      <c r="DS92" s="240">
        <f t="shared" si="602"/>
        <v>0.22227941933491197</v>
      </c>
      <c r="DT92" s="240">
        <f t="shared" si="602"/>
        <v>0.23891043509877591</v>
      </c>
      <c r="DU92" s="240">
        <f t="shared" si="602"/>
        <v>0.2788233604880811</v>
      </c>
      <c r="DV92" s="240">
        <f t="shared" si="602"/>
        <v>0.26848324340145496</v>
      </c>
      <c r="DW92" s="240">
        <f t="shared" si="602"/>
        <v>0.28330943325643743</v>
      </c>
      <c r="DX92" s="240">
        <f t="shared" si="602"/>
        <v>0.24960604468867428</v>
      </c>
      <c r="DY92" s="240">
        <f t="shared" si="602"/>
        <v>0.26018303203060533</v>
      </c>
      <c r="DZ92" s="240">
        <f t="shared" si="602"/>
        <v>0.24900564694328506</v>
      </c>
      <c r="EA92" s="240">
        <f t="shared" si="602"/>
        <v>0.25364330870472335</v>
      </c>
      <c r="EB92" s="240">
        <f t="shared" si="602"/>
        <v>0.27103090618285214</v>
      </c>
      <c r="EC92" s="240">
        <f t="shared" si="602"/>
        <v>0.26678057114962167</v>
      </c>
      <c r="ED92" s="240">
        <f t="shared" si="602"/>
        <v>0.30004613255420576</v>
      </c>
      <c r="EE92" s="240">
        <f t="shared" si="602"/>
        <v>0.2591258653519713</v>
      </c>
      <c r="EF92" s="240">
        <f t="shared" si="602"/>
        <v>0.27109041956472962</v>
      </c>
      <c r="EG92" s="240">
        <f t="shared" si="602"/>
        <v>0.32065503336551521</v>
      </c>
      <c r="EH92" s="240">
        <f t="shared" si="602"/>
        <v>0.65104141733965104</v>
      </c>
      <c r="EI92" s="240">
        <f t="shared" si="602"/>
        <v>0.64911258033862695</v>
      </c>
      <c r="EJ92" s="240">
        <f t="shared" si="602"/>
        <v>0.64743967494576993</v>
      </c>
      <c r="EK92" s="240">
        <f t="shared" si="602"/>
        <v>0.64744321931650628</v>
      </c>
      <c r="EL92" s="240">
        <f t="shared" si="602"/>
        <v>0.64770737838267989</v>
      </c>
      <c r="EM92" s="240">
        <f t="shared" si="602"/>
        <v>0.65367423049911599</v>
      </c>
      <c r="EN92" s="240">
        <f t="shared" si="602"/>
        <v>0.27638865224058612</v>
      </c>
      <c r="EO92" s="240">
        <f t="shared" si="602"/>
        <v>0.39833334599999487</v>
      </c>
      <c r="EP92" s="240">
        <f t="shared" si="602"/>
        <v>0.39809888939356564</v>
      </c>
      <c r="EQ92" s="240">
        <f t="shared" si="602"/>
        <v>0.39824594480546432</v>
      </c>
      <c r="ER92" s="240">
        <f t="shared" si="602"/>
        <v>0.39802942300955901</v>
      </c>
      <c r="ES92" s="240">
        <f t="shared" si="602"/>
        <v>0.3979026445577325</v>
      </c>
      <c r="ET92" s="240">
        <f t="shared" si="602"/>
        <v>0.39793011046439547</v>
      </c>
      <c r="EU92" s="240">
        <f t="shared" si="602"/>
        <v>0.39803214853522423</v>
      </c>
    </row>
    <row r="93" spans="1:166" ht="12.75" customHeight="1" x14ac:dyDescent="0.2">
      <c r="B93" t="s">
        <v>354</v>
      </c>
      <c r="C93" s="240">
        <f t="shared" ref="C93:AD93" si="603">+(C65)/C$56</f>
        <v>0.22782152230971128</v>
      </c>
      <c r="D93" s="240">
        <f t="shared" si="603"/>
        <v>0.2270972270972271</v>
      </c>
      <c r="E93" s="240">
        <f t="shared" si="603"/>
        <v>0.21428571428571427</v>
      </c>
      <c r="F93" s="240">
        <f t="shared" si="603"/>
        <v>0.13907637655417407</v>
      </c>
      <c r="G93" s="240">
        <f t="shared" si="603"/>
        <v>0.24796818260418468</v>
      </c>
      <c r="H93" s="240">
        <f t="shared" si="603"/>
        <v>0.23707418295002594</v>
      </c>
      <c r="I93" s="240">
        <f t="shared" si="603"/>
        <v>0.23008385744234802</v>
      </c>
      <c r="J93" s="240">
        <f t="shared" si="603"/>
        <v>0.14512329197424217</v>
      </c>
      <c r="K93" s="240">
        <f t="shared" si="603"/>
        <v>0.24178969569147332</v>
      </c>
      <c r="L93" s="240">
        <f t="shared" si="603"/>
        <v>0.23548292967610154</v>
      </c>
      <c r="M93" s="240">
        <f t="shared" si="603"/>
        <v>0.2238850200029634</v>
      </c>
      <c r="N93" s="240">
        <f t="shared" si="603"/>
        <v>0.14119528864330377</v>
      </c>
      <c r="O93" s="240">
        <f t="shared" si="603"/>
        <v>0.2585052602814592</v>
      </c>
      <c r="P93" s="240">
        <f t="shared" si="603"/>
        <v>0.24853489611081514</v>
      </c>
      <c r="Q93" s="240">
        <f t="shared" si="603"/>
        <v>0.24236535258189895</v>
      </c>
      <c r="R93" s="240">
        <f t="shared" si="603"/>
        <v>0.16488463702870004</v>
      </c>
      <c r="S93" s="240">
        <f t="shared" si="603"/>
        <v>0.27467590809908871</v>
      </c>
      <c r="T93" s="240">
        <f t="shared" si="603"/>
        <v>0.2552145768400863</v>
      </c>
      <c r="U93" s="240">
        <f t="shared" si="603"/>
        <v>0.25588735129885892</v>
      </c>
      <c r="V93" s="240">
        <f t="shared" si="603"/>
        <v>0.18433892657384268</v>
      </c>
      <c r="W93" s="240">
        <f t="shared" si="603"/>
        <v>0.29978268328948876</v>
      </c>
      <c r="X93" s="240">
        <f t="shared" si="603"/>
        <v>0.30111319299019068</v>
      </c>
      <c r="Y93" s="240">
        <f t="shared" si="603"/>
        <v>0.2635752836215442</v>
      </c>
      <c r="Z93" s="240">
        <f t="shared" si="603"/>
        <v>0.19663937041369775</v>
      </c>
      <c r="AA93" s="240">
        <f t="shared" si="603"/>
        <v>0.30014253716147427</v>
      </c>
      <c r="AB93" s="240">
        <f t="shared" si="603"/>
        <v>0.28610143244289588</v>
      </c>
      <c r="AC93" s="240">
        <f t="shared" si="603"/>
        <v>0.28199732159938778</v>
      </c>
      <c r="AD93" s="240">
        <f t="shared" si="603"/>
        <v>0.22030028975327071</v>
      </c>
      <c r="AE93" s="288">
        <f t="shared" ref="AE93:BV93" si="604">AE65/AE56</f>
        <v>0.32785380507343126</v>
      </c>
      <c r="AF93" s="288">
        <f t="shared" si="604"/>
        <v>0.32315842583249244</v>
      </c>
      <c r="AG93" s="288">
        <f t="shared" si="604"/>
        <v>0.28494763264952827</v>
      </c>
      <c r="AH93" s="288">
        <f t="shared" si="604"/>
        <v>0.20585006273525722</v>
      </c>
      <c r="AI93" s="288">
        <f t="shared" si="604"/>
        <v>0.30603179551122195</v>
      </c>
      <c r="AJ93" s="288">
        <f t="shared" si="604"/>
        <v>0.2931358721203573</v>
      </c>
      <c r="AK93" s="288">
        <f t="shared" si="604"/>
        <v>0.27782290820471162</v>
      </c>
      <c r="AL93" s="288">
        <f t="shared" si="604"/>
        <v>0.19920697858842187</v>
      </c>
      <c r="AM93" s="288">
        <f t="shared" si="604"/>
        <v>0.35806650246305421</v>
      </c>
      <c r="AN93" s="288">
        <f t="shared" si="604"/>
        <v>0.28848312504677093</v>
      </c>
      <c r="AO93" s="288">
        <f t="shared" si="604"/>
        <v>0.28418755174230453</v>
      </c>
      <c r="AP93" s="288">
        <f t="shared" si="604"/>
        <v>0.22131267358573309</v>
      </c>
      <c r="AQ93" s="288">
        <f t="shared" si="604"/>
        <v>0.29886657387154503</v>
      </c>
      <c r="AR93" s="288">
        <f t="shared" si="604"/>
        <v>0.26693963809272225</v>
      </c>
      <c r="AS93" s="288">
        <f t="shared" si="604"/>
        <v>0.27014060105284199</v>
      </c>
      <c r="AT93" s="288">
        <f t="shared" si="604"/>
        <v>0.20110296421633139</v>
      </c>
      <c r="AU93" s="288">
        <f t="shared" si="604"/>
        <v>0.29313325923181427</v>
      </c>
      <c r="AV93" s="288">
        <f t="shared" si="604"/>
        <v>0.26838905775075989</v>
      </c>
      <c r="AW93" s="288">
        <f t="shared" si="604"/>
        <v>0.26945543621631807</v>
      </c>
      <c r="AX93" s="288">
        <f t="shared" si="604"/>
        <v>0.21597944934791199</v>
      </c>
      <c r="AY93" s="288">
        <f t="shared" si="604"/>
        <v>0.30899773725542395</v>
      </c>
      <c r="AZ93" s="288">
        <f t="shared" si="604"/>
        <v>0.27974276527331188</v>
      </c>
      <c r="BA93" s="288">
        <f t="shared" si="604"/>
        <v>0.28148000795703204</v>
      </c>
      <c r="BB93" s="288">
        <f t="shared" si="604"/>
        <v>0.22898918494350795</v>
      </c>
      <c r="BC93" s="288">
        <f t="shared" si="604"/>
        <v>0.30599449811272472</v>
      </c>
      <c r="BD93" s="288">
        <f t="shared" si="604"/>
        <v>0.2780557541100786</v>
      </c>
      <c r="BE93" s="288">
        <f t="shared" si="604"/>
        <v>0.2816045921772794</v>
      </c>
      <c r="BF93" s="288">
        <f t="shared" si="604"/>
        <v>0.22059575556123753</v>
      </c>
      <c r="BG93" s="288">
        <f t="shared" si="604"/>
        <v>0.31256630908876576</v>
      </c>
      <c r="BH93" s="288">
        <f t="shared" si="604"/>
        <v>0.24167018135807677</v>
      </c>
      <c r="BI93" s="288">
        <f t="shared" si="604"/>
        <v>0.25685723211496408</v>
      </c>
      <c r="BJ93" s="288">
        <f t="shared" si="604"/>
        <v>0.33064130492534932</v>
      </c>
      <c r="BK93" s="288">
        <f t="shared" si="604"/>
        <v>0.31259681516822602</v>
      </c>
      <c r="BL93" s="288">
        <f t="shared" si="604"/>
        <v>0.27805846264886325</v>
      </c>
      <c r="BM93" s="288">
        <f t="shared" si="604"/>
        <v>0.25670408934907801</v>
      </c>
      <c r="BN93" s="288">
        <f t="shared" si="604"/>
        <v>0.19043336518464393</v>
      </c>
      <c r="BO93" s="288">
        <f t="shared" si="604"/>
        <v>0.24891725552769547</v>
      </c>
      <c r="BP93" s="288">
        <f t="shared" si="604"/>
        <v>0.3026822059889589</v>
      </c>
      <c r="BQ93" s="288">
        <f t="shared" si="604"/>
        <v>0.27751006292873748</v>
      </c>
      <c r="BR93" s="288">
        <f t="shared" si="604"/>
        <v>0.21706140588585984</v>
      </c>
      <c r="BS93" s="288">
        <f t="shared" si="604"/>
        <v>0.30692796025393321</v>
      </c>
      <c r="BT93" s="288">
        <f t="shared" si="604"/>
        <v>0.31033598358553477</v>
      </c>
      <c r="BU93" s="288">
        <f t="shared" si="604"/>
        <v>0.29670386647306812</v>
      </c>
      <c r="BV93" s="288">
        <f t="shared" si="604"/>
        <v>0.26561282517691231</v>
      </c>
      <c r="BW93" s="288"/>
      <c r="BX93" s="288"/>
      <c r="BY93" s="288"/>
      <c r="BZ93" s="288"/>
      <c r="CA93" s="288"/>
      <c r="CB93" s="288"/>
      <c r="CC93" s="288"/>
      <c r="CD93" s="288"/>
      <c r="CE93" s="288"/>
      <c r="CF93" s="288"/>
      <c r="CG93" s="288"/>
      <c r="CH93" s="288"/>
      <c r="CI93" s="288"/>
      <c r="CJ93" s="288"/>
      <c r="CK93" s="288"/>
      <c r="CL93" s="288"/>
      <c r="CM93" s="288"/>
      <c r="CN93" s="288"/>
      <c r="CO93" s="288"/>
      <c r="CP93" s="288"/>
      <c r="CQ93" s="288"/>
      <c r="CR93" s="288"/>
      <c r="CS93" s="288"/>
      <c r="CT93" s="288"/>
      <c r="CU93" s="288"/>
      <c r="CV93" s="288"/>
      <c r="CW93" s="288"/>
      <c r="CX93" s="288"/>
      <c r="CY93" s="288"/>
      <c r="CZ93" s="288"/>
      <c r="DA93" s="288"/>
      <c r="DB93" s="288"/>
      <c r="DC93" s="288"/>
      <c r="DD93" s="288"/>
      <c r="DE93" s="288"/>
      <c r="DF93" s="288"/>
      <c r="DH93" s="240">
        <f t="shared" ref="DH93:EU93" si="605">+(DH65)/DH$56</f>
        <v>0.15517064671517886</v>
      </c>
      <c r="DI93" s="240">
        <f t="shared" si="605"/>
        <v>0.15375712250712251</v>
      </c>
      <c r="DJ93" s="240">
        <f t="shared" si="605"/>
        <v>0.16373423314854985</v>
      </c>
      <c r="DK93" s="240">
        <f t="shared" si="605"/>
        <v>0.16047407838289829</v>
      </c>
      <c r="DL93" s="240">
        <f t="shared" si="605"/>
        <v>0.16494553685103974</v>
      </c>
      <c r="DM93" s="240">
        <f t="shared" si="605"/>
        <v>0.17039532223210882</v>
      </c>
      <c r="DN93" s="240">
        <f t="shared" si="605"/>
        <v>0.17604288292113363</v>
      </c>
      <c r="DO93" s="240">
        <f t="shared" si="605"/>
        <v>0.18654024051803886</v>
      </c>
      <c r="DP93" s="240">
        <f t="shared" si="605"/>
        <v>0.20221839232842811</v>
      </c>
      <c r="DQ93" s="240">
        <f t="shared" si="605"/>
        <v>0.21329838948302829</v>
      </c>
      <c r="DR93" s="240">
        <f t="shared" si="605"/>
        <v>0.20942084379891521</v>
      </c>
      <c r="DS93" s="240">
        <f t="shared" si="605"/>
        <v>0.22797625175881123</v>
      </c>
      <c r="DT93" s="240">
        <f t="shared" si="605"/>
        <v>0.2424857593019028</v>
      </c>
      <c r="DU93" s="240">
        <f t="shared" si="605"/>
        <v>0.27345923672311639</v>
      </c>
      <c r="DV93" s="240">
        <f t="shared" si="605"/>
        <v>0.27686272288235214</v>
      </c>
      <c r="DW93" s="240">
        <f t="shared" si="605"/>
        <v>0.28316395452750587</v>
      </c>
      <c r="DX93" s="240">
        <f t="shared" si="605"/>
        <v>0.26267727989009659</v>
      </c>
      <c r="DY93" s="240">
        <f t="shared" si="605"/>
        <v>0.28713149801215215</v>
      </c>
      <c r="DZ93" s="240">
        <f t="shared" si="605"/>
        <v>0.25723872657336933</v>
      </c>
      <c r="EA93" s="240">
        <f t="shared" si="605"/>
        <v>0.26245940985458138</v>
      </c>
      <c r="EB93" s="240">
        <f t="shared" si="605"/>
        <v>0.27107129586248124</v>
      </c>
      <c r="EC93" s="240">
        <f t="shared" si="605"/>
        <v>0.26915629322268325</v>
      </c>
      <c r="ED93" s="240">
        <f t="shared" si="605"/>
        <v>0.30213747501153315</v>
      </c>
      <c r="EE93" s="240">
        <f t="shared" si="605"/>
        <v>0.25310345845572496</v>
      </c>
      <c r="EF93" s="240">
        <f t="shared" si="605"/>
        <v>0.25853993717747364</v>
      </c>
      <c r="EG93" s="240">
        <f t="shared" si="605"/>
        <v>0.32576565305070698</v>
      </c>
      <c r="EH93" s="240">
        <f t="shared" si="605"/>
        <v>0.65741043299179802</v>
      </c>
      <c r="EI93" s="240">
        <f t="shared" si="605"/>
        <v>0.65924671947194091</v>
      </c>
      <c r="EJ93" s="240">
        <f t="shared" si="605"/>
        <v>0.66141955026563359</v>
      </c>
      <c r="EK93" s="240">
        <f t="shared" si="605"/>
        <v>0.66390204716507362</v>
      </c>
      <c r="EL93" s="240">
        <f t="shared" si="605"/>
        <v>0.66653822174917143</v>
      </c>
      <c r="EM93" s="240">
        <f t="shared" si="605"/>
        <v>0.67199519932968299</v>
      </c>
      <c r="EN93" s="240">
        <f t="shared" si="605"/>
        <v>0.2871549667745783</v>
      </c>
      <c r="EO93" s="240">
        <f t="shared" si="605"/>
        <v>0.41778375185129168</v>
      </c>
      <c r="EP93" s="240">
        <f t="shared" si="605"/>
        <v>0.41927159269503611</v>
      </c>
      <c r="EQ93" s="240">
        <f t="shared" si="605"/>
        <v>0.42088606846832244</v>
      </c>
      <c r="ER93" s="240">
        <f t="shared" si="605"/>
        <v>0.42241300806991355</v>
      </c>
      <c r="ES93" s="240">
        <f t="shared" si="605"/>
        <v>0.3979026445577325</v>
      </c>
      <c r="ET93" s="240">
        <f t="shared" si="605"/>
        <v>0.39793011046439547</v>
      </c>
      <c r="EU93" s="240">
        <f t="shared" si="605"/>
        <v>0.39803214853522423</v>
      </c>
    </row>
    <row r="94" spans="1:166" ht="12.75" customHeight="1" x14ac:dyDescent="0.2">
      <c r="B94" t="s">
        <v>355</v>
      </c>
      <c r="C94" s="240">
        <f t="shared" ref="C94:AD94" si="606">+C66/C65</f>
        <v>0.30184331797235026</v>
      </c>
      <c r="D94" s="240">
        <f t="shared" si="606"/>
        <v>0.2975270479134467</v>
      </c>
      <c r="E94" s="240">
        <f t="shared" si="606"/>
        <v>0.2857142857142857</v>
      </c>
      <c r="F94" s="240">
        <f t="shared" si="606"/>
        <v>0.19540229885057472</v>
      </c>
      <c r="G94" s="240">
        <f t="shared" si="606"/>
        <v>0.29567642956764295</v>
      </c>
      <c r="H94" s="240">
        <f t="shared" si="606"/>
        <v>0.26695842450765866</v>
      </c>
      <c r="I94" s="240">
        <f t="shared" si="606"/>
        <v>0.27031131359149585</v>
      </c>
      <c r="J94" s="240">
        <f t="shared" si="606"/>
        <v>0.25</v>
      </c>
      <c r="K94" s="240">
        <f t="shared" si="606"/>
        <v>0.297196261682243</v>
      </c>
      <c r="L94" s="240">
        <f t="shared" si="606"/>
        <v>0.28438661710037177</v>
      </c>
      <c r="M94" s="240">
        <f t="shared" si="606"/>
        <v>0.27266710787557907</v>
      </c>
      <c r="N94" s="240">
        <f t="shared" si="606"/>
        <v>0.22348094747682801</v>
      </c>
      <c r="O94" s="240">
        <f t="shared" si="606"/>
        <v>0.30549682875264272</v>
      </c>
      <c r="P94" s="240">
        <f t="shared" si="606"/>
        <v>0.28670953912111469</v>
      </c>
      <c r="Q94" s="240">
        <f t="shared" si="606"/>
        <v>0.27605956471935855</v>
      </c>
      <c r="R94" s="240">
        <f t="shared" si="606"/>
        <v>0.19368600682593856</v>
      </c>
      <c r="S94" s="240">
        <f t="shared" si="606"/>
        <v>0.29906542056074764</v>
      </c>
      <c r="T94" s="240">
        <f t="shared" si="606"/>
        <v>0.30389854391733206</v>
      </c>
      <c r="U94" s="240">
        <f t="shared" si="606"/>
        <v>0.27466793168880455</v>
      </c>
      <c r="V94" s="240">
        <f t="shared" si="606"/>
        <v>0.21885087153001936</v>
      </c>
      <c r="W94" s="240">
        <f t="shared" si="606"/>
        <v>0.30026707363601679</v>
      </c>
      <c r="X94" s="240">
        <f t="shared" si="606"/>
        <v>0.28330893118594436</v>
      </c>
      <c r="Y94" s="240">
        <f t="shared" si="606"/>
        <v>0.27914751358127871</v>
      </c>
      <c r="Z94" s="240">
        <f t="shared" si="606"/>
        <v>0.25148729042725798</v>
      </c>
      <c r="AA94" s="240">
        <f t="shared" si="606"/>
        <v>0.29138398914518315</v>
      </c>
      <c r="AB94" s="240">
        <f t="shared" si="606"/>
        <v>0.2861975642760487</v>
      </c>
      <c r="AC94" s="240">
        <f t="shared" si="606"/>
        <v>0.2974898236092266</v>
      </c>
      <c r="AD94" s="240">
        <f t="shared" si="606"/>
        <v>0.21084097249900358</v>
      </c>
      <c r="AE94" s="288">
        <f t="shared" ref="AE94:BV94" si="607">AE66/AE65</f>
        <v>0.25731738355815731</v>
      </c>
      <c r="AF94" s="288">
        <f t="shared" si="607"/>
        <v>0.25422846734322146</v>
      </c>
      <c r="AG94" s="288">
        <f t="shared" si="607"/>
        <v>0.28341433778857839</v>
      </c>
      <c r="AH94" s="288">
        <f t="shared" si="607"/>
        <v>0.2358095238095238</v>
      </c>
      <c r="AI94" s="288">
        <f t="shared" si="607"/>
        <v>0.27705627705627706</v>
      </c>
      <c r="AJ94" s="288">
        <f t="shared" si="607"/>
        <v>0.19406575781876503</v>
      </c>
      <c r="AK94" s="288">
        <f t="shared" si="607"/>
        <v>0.25789473684210529</v>
      </c>
      <c r="AL94" s="288">
        <f t="shared" si="607"/>
        <v>0.16361464968152867</v>
      </c>
      <c r="AM94" s="288">
        <f t="shared" si="607"/>
        <v>0.28159931212381772</v>
      </c>
      <c r="AN94" s="288">
        <f t="shared" si="607"/>
        <v>0.20311284046692607</v>
      </c>
      <c r="AO94" s="288">
        <f t="shared" si="607"/>
        <v>0.23861228813559321</v>
      </c>
      <c r="AP94" s="288">
        <f t="shared" si="607"/>
        <v>0.21235138705416115</v>
      </c>
      <c r="AQ94" s="288">
        <f t="shared" si="607"/>
        <v>0.23929917941893991</v>
      </c>
      <c r="AR94" s="288">
        <f t="shared" si="607"/>
        <v>0.23503216229589313</v>
      </c>
      <c r="AS94" s="288">
        <f t="shared" si="607"/>
        <v>0.23300000000000001</v>
      </c>
      <c r="AT94" s="288">
        <f t="shared" si="607"/>
        <v>0.153</v>
      </c>
      <c r="AU94" s="288">
        <f t="shared" si="607"/>
        <v>0.24204760901622077</v>
      </c>
      <c r="AV94" s="288">
        <f t="shared" si="607"/>
        <v>0.23737259343148359</v>
      </c>
      <c r="AW94" s="288">
        <f t="shared" si="607"/>
        <v>0.22843822843822845</v>
      </c>
      <c r="AX94" s="288">
        <f t="shared" si="607"/>
        <v>0.19914608112229337</v>
      </c>
      <c r="AY94" s="288">
        <f t="shared" si="607"/>
        <v>0.24466939478785268</v>
      </c>
      <c r="AZ94" s="288">
        <f t="shared" si="607"/>
        <v>0.24747830166549378</v>
      </c>
      <c r="BA94" s="288">
        <f t="shared" si="607"/>
        <v>0.21201413427561838</v>
      </c>
      <c r="BB94" s="288">
        <f t="shared" si="607"/>
        <v>0.23905013192612137</v>
      </c>
      <c r="BC94" s="288">
        <f t="shared" si="607"/>
        <v>0.24398912816224128</v>
      </c>
      <c r="BD94" s="288">
        <f t="shared" si="607"/>
        <v>0.195840149567656</v>
      </c>
      <c r="BE94" s="288">
        <f t="shared" si="607"/>
        <v>0.19009243896657976</v>
      </c>
      <c r="BF94" s="288">
        <f t="shared" si="607"/>
        <v>0.17009562445667922</v>
      </c>
      <c r="BG94" s="288">
        <f t="shared" si="607"/>
        <v>0.19498397133697906</v>
      </c>
      <c r="BH94" s="288">
        <f t="shared" si="607"/>
        <v>0.16105709299426577</v>
      </c>
      <c r="BI94" s="288">
        <f t="shared" si="607"/>
        <v>0.22111408416443687</v>
      </c>
      <c r="BJ94" s="288">
        <f t="shared" si="607"/>
        <v>8.4846537040012854E-2</v>
      </c>
      <c r="BK94" s="288">
        <f t="shared" si="607"/>
        <v>0.22497522299306244</v>
      </c>
      <c r="BL94" s="288">
        <f t="shared" si="607"/>
        <v>0.21674237508111616</v>
      </c>
      <c r="BM94" s="288">
        <f t="shared" si="607"/>
        <v>0.21889870836165873</v>
      </c>
      <c r="BN94" s="288">
        <f t="shared" si="607"/>
        <v>0.15731995277449823</v>
      </c>
      <c r="BO94" s="288">
        <f t="shared" si="607"/>
        <v>0.1749084249084249</v>
      </c>
      <c r="BP94" s="288">
        <f t="shared" si="607"/>
        <v>0.19952100221075902</v>
      </c>
      <c r="BQ94" s="288">
        <f t="shared" si="607"/>
        <v>0.18631256384065373</v>
      </c>
      <c r="BR94" s="288">
        <f t="shared" si="607"/>
        <v>8.8999999999999996E-2</v>
      </c>
      <c r="BS94" s="288">
        <f t="shared" si="607"/>
        <v>0.12535971223021583</v>
      </c>
      <c r="BT94" s="288">
        <f t="shared" si="607"/>
        <v>0.21487603305785125</v>
      </c>
      <c r="BU94" s="288">
        <f t="shared" si="607"/>
        <v>0.2</v>
      </c>
      <c r="BV94" s="288">
        <f t="shared" si="607"/>
        <v>0.2</v>
      </c>
      <c r="BW94" s="288"/>
      <c r="BX94" s="288"/>
      <c r="BY94" s="288"/>
      <c r="BZ94" s="288"/>
      <c r="CA94" s="288"/>
      <c r="CB94" s="288"/>
      <c r="CC94" s="288"/>
      <c r="CD94" s="288"/>
      <c r="CE94" s="288"/>
      <c r="CF94" s="288"/>
      <c r="CG94" s="288"/>
      <c r="CH94" s="288"/>
      <c r="CI94" s="288"/>
      <c r="CJ94" s="288"/>
      <c r="CK94" s="288"/>
      <c r="CL94" s="288"/>
      <c r="CM94" s="288"/>
      <c r="CN94" s="288"/>
      <c r="CO94" s="288"/>
      <c r="CP94" s="288"/>
      <c r="CQ94" s="288"/>
      <c r="CR94" s="288"/>
      <c r="CS94" s="288"/>
      <c r="CT94" s="288"/>
      <c r="CU94" s="288"/>
      <c r="CV94" s="288"/>
      <c r="CW94" s="288"/>
      <c r="CX94" s="288"/>
      <c r="CY94" s="288"/>
      <c r="CZ94" s="288"/>
      <c r="DA94" s="288"/>
      <c r="DB94" s="288"/>
      <c r="DC94" s="288"/>
      <c r="DD94" s="288"/>
      <c r="DE94" s="288"/>
      <c r="DF94" s="288"/>
      <c r="DH94" s="240">
        <f t="shared" ref="DH94:DX94" si="608">+DH66/DH65</f>
        <v>0.28533685601056802</v>
      </c>
      <c r="DI94" s="240">
        <f t="shared" si="608"/>
        <v>0.27793862188766649</v>
      </c>
      <c r="DJ94" s="240">
        <f t="shared" si="608"/>
        <v>0.2831207065750736</v>
      </c>
      <c r="DK94" s="240">
        <f t="shared" si="608"/>
        <v>0.26370638876302671</v>
      </c>
      <c r="DL94" s="240">
        <f t="shared" si="608"/>
        <v>0.233704974271012</v>
      </c>
      <c r="DM94" s="240">
        <f t="shared" si="608"/>
        <v>0.2517717269675494</v>
      </c>
      <c r="DN94" s="240">
        <f t="shared" si="608"/>
        <v>0.27555019596020502</v>
      </c>
      <c r="DO94" s="240">
        <f t="shared" si="608"/>
        <v>0.28415571534837591</v>
      </c>
      <c r="DP94" s="240">
        <f t="shared" si="608"/>
        <v>0.27819055944055943</v>
      </c>
      <c r="DQ94" s="240">
        <f t="shared" si="608"/>
        <v>0.23979389615537058</v>
      </c>
      <c r="DR94" s="240">
        <f t="shared" si="608"/>
        <v>0.27568225273770208</v>
      </c>
      <c r="DS94" s="240">
        <f t="shared" si="608"/>
        <v>0.2742736715339455</v>
      </c>
      <c r="DT94" s="240">
        <f t="shared" si="608"/>
        <v>0.27864550793452453</v>
      </c>
      <c r="DU94" s="240">
        <f t="shared" si="608"/>
        <v>0.25</v>
      </c>
      <c r="DV94" s="240">
        <f t="shared" si="608"/>
        <v>0.26523095810527392</v>
      </c>
      <c r="DW94" s="240">
        <f t="shared" si="608"/>
        <v>0.31772477064220184</v>
      </c>
      <c r="DX94" s="240">
        <f t="shared" si="608"/>
        <v>0.24957698815566837</v>
      </c>
      <c r="DY94" s="240">
        <f t="shared" ref="DY94:ED94" si="609">DY66/DY65</f>
        <v>0.27287571027365948</v>
      </c>
      <c r="DZ94" s="240">
        <f t="shared" si="609"/>
        <v>0.22044788750318148</v>
      </c>
      <c r="EA94" s="240">
        <f t="shared" si="609"/>
        <v>0.22891638276253662</v>
      </c>
      <c r="EB94" s="240">
        <f t="shared" si="609"/>
        <v>0</v>
      </c>
      <c r="EC94" s="240">
        <f t="shared" si="609"/>
        <v>0.20518711081554925</v>
      </c>
      <c r="ED94" s="240">
        <f t="shared" si="609"/>
        <v>0.15864210097719869</v>
      </c>
      <c r="EE94" s="240">
        <f t="shared" ref="EE94:EG94" si="610">ED94+1%</f>
        <v>0.1686421009771987</v>
      </c>
      <c r="EF94" s="240">
        <f t="shared" si="610"/>
        <v>0.17864210097719871</v>
      </c>
      <c r="EG94" s="240">
        <f t="shared" si="610"/>
        <v>0.18864210097719872</v>
      </c>
      <c r="EH94" s="240">
        <f t="shared" ref="EH94:EU94" si="611">+EH66/EH65</f>
        <v>0</v>
      </c>
      <c r="EI94" s="240">
        <f t="shared" si="611"/>
        <v>0</v>
      </c>
      <c r="EJ94" s="240">
        <f t="shared" si="611"/>
        <v>0.25</v>
      </c>
      <c r="EK94" s="240">
        <f t="shared" si="611"/>
        <v>0.25</v>
      </c>
      <c r="EL94" s="240">
        <f t="shared" si="611"/>
        <v>0.25</v>
      </c>
      <c r="EM94" s="240">
        <f t="shared" si="611"/>
        <v>0.25</v>
      </c>
      <c r="EN94" s="240">
        <f t="shared" si="611"/>
        <v>9.8831819024661594E-2</v>
      </c>
      <c r="EO94" s="240">
        <f t="shared" si="611"/>
        <v>0.25</v>
      </c>
      <c r="EP94" s="240">
        <f t="shared" si="611"/>
        <v>0.25</v>
      </c>
      <c r="EQ94" s="240">
        <f t="shared" si="611"/>
        <v>0.25</v>
      </c>
      <c r="ER94" s="240">
        <f t="shared" si="611"/>
        <v>0.25</v>
      </c>
      <c r="ES94" s="240">
        <f t="shared" si="611"/>
        <v>0.25</v>
      </c>
      <c r="ET94" s="240">
        <f t="shared" si="611"/>
        <v>0.25</v>
      </c>
      <c r="EU94" s="240">
        <f t="shared" si="611"/>
        <v>0.25</v>
      </c>
    </row>
    <row r="95" spans="1:166" ht="12.75" customHeight="1" x14ac:dyDescent="0.2">
      <c r="B95" s="299" t="s">
        <v>356</v>
      </c>
      <c r="C95" s="242">
        <f t="shared" ref="C95:AH95" si="612">C67/C56</f>
        <v>0.15905511811023623</v>
      </c>
      <c r="D95" s="242">
        <f t="shared" si="612"/>
        <v>0.15952965952965953</v>
      </c>
      <c r="E95" s="242">
        <f t="shared" si="612"/>
        <v>0.15306122448979592</v>
      </c>
      <c r="F95" s="242">
        <f t="shared" si="612"/>
        <v>0.11190053285968028</v>
      </c>
      <c r="G95" s="242">
        <f t="shared" si="612"/>
        <v>0.17464983572540205</v>
      </c>
      <c r="H95" s="242">
        <f t="shared" si="612"/>
        <v>0.17378523257824657</v>
      </c>
      <c r="I95" s="242">
        <f t="shared" si="612"/>
        <v>0.16788958770090845</v>
      </c>
      <c r="J95" s="242">
        <f t="shared" si="612"/>
        <v>0.10884246898068164</v>
      </c>
      <c r="K95" s="242">
        <f t="shared" si="612"/>
        <v>0.16993070201868032</v>
      </c>
      <c r="L95" s="242">
        <f t="shared" si="612"/>
        <v>0.16851473592063029</v>
      </c>
      <c r="M95" s="242">
        <f t="shared" si="612"/>
        <v>0.16283893910208919</v>
      </c>
      <c r="N95" s="242">
        <f t="shared" si="612"/>
        <v>0.10964083175803403</v>
      </c>
      <c r="O95" s="242">
        <f t="shared" si="612"/>
        <v>0.17953272304959694</v>
      </c>
      <c r="P95" s="242">
        <f t="shared" si="612"/>
        <v>0.1772775705913692</v>
      </c>
      <c r="Q95" s="242">
        <f t="shared" si="612"/>
        <v>0.17545807884508607</v>
      </c>
      <c r="R95" s="242">
        <f t="shared" si="612"/>
        <v>0.13294879009566685</v>
      </c>
      <c r="S95" s="242">
        <f t="shared" si="612"/>
        <v>0.19252984212552945</v>
      </c>
      <c r="T95" s="242">
        <f t="shared" si="612"/>
        <v>0.17765523855190601</v>
      </c>
      <c r="U95" s="242">
        <f t="shared" si="612"/>
        <v>0.18560330177227483</v>
      </c>
      <c r="V95" s="242">
        <f t="shared" si="612"/>
        <v>0.14399619183624895</v>
      </c>
      <c r="W95" s="242">
        <f t="shared" si="612"/>
        <v>0.20976781425140112</v>
      </c>
      <c r="X95" s="242">
        <f t="shared" si="612"/>
        <v>0.21580513611815277</v>
      </c>
      <c r="Y95" s="242">
        <f t="shared" si="612"/>
        <v>0.1899988985571098</v>
      </c>
      <c r="Z95" s="242">
        <f t="shared" si="612"/>
        <v>0.14718706795703498</v>
      </c>
      <c r="AA95" s="242">
        <f t="shared" si="612"/>
        <v>0.21268580737120749</v>
      </c>
      <c r="AB95" s="242">
        <f t="shared" si="612"/>
        <v>0.20421989934185056</v>
      </c>
      <c r="AC95" s="242">
        <f t="shared" si="612"/>
        <v>0.19810598813851157</v>
      </c>
      <c r="AD95" s="242">
        <f t="shared" si="612"/>
        <v>0.17385196241987882</v>
      </c>
      <c r="AE95" s="242">
        <f t="shared" si="612"/>
        <v>0.2434913217623498</v>
      </c>
      <c r="AF95" s="242">
        <f t="shared" si="612"/>
        <v>0.24100235452404978</v>
      </c>
      <c r="AG95" s="242">
        <f t="shared" si="612"/>
        <v>0.20418938803773912</v>
      </c>
      <c r="AH95" s="242">
        <f t="shared" si="612"/>
        <v>0.1573086574654956</v>
      </c>
      <c r="AI95" s="242">
        <f t="shared" ref="AI95:BN95" si="613">AI67/AI56</f>
        <v>0.22124376558603492</v>
      </c>
      <c r="AJ95" s="242">
        <f t="shared" si="613"/>
        <v>0.23624823695345556</v>
      </c>
      <c r="AK95" s="242">
        <f t="shared" si="613"/>
        <v>0.20617384240454914</v>
      </c>
      <c r="AL95" s="242">
        <f t="shared" si="613"/>
        <v>0.16661379857256145</v>
      </c>
      <c r="AM95" s="242">
        <f t="shared" si="613"/>
        <v>0.25723522167487683</v>
      </c>
      <c r="AN95" s="242">
        <f t="shared" si="613"/>
        <v>0.22988849809174586</v>
      </c>
      <c r="AO95" s="242">
        <f t="shared" si="613"/>
        <v>0.21637690976142093</v>
      </c>
      <c r="AP95" s="242">
        <f t="shared" si="613"/>
        <v>0.17431662037713785</v>
      </c>
      <c r="AQ95" s="242">
        <f t="shared" si="613"/>
        <v>0.22734804798833433</v>
      </c>
      <c r="AR95" s="242">
        <f t="shared" si="613"/>
        <v>0.20420023774930657</v>
      </c>
      <c r="AS95" s="242">
        <f t="shared" si="613"/>
        <v>0.2071978410075298</v>
      </c>
      <c r="AT95" s="242">
        <f t="shared" si="613"/>
        <v>0.18123851601178168</v>
      </c>
      <c r="AU95" s="242">
        <f t="shared" si="613"/>
        <v>0.22218105471162158</v>
      </c>
      <c r="AV95" s="242">
        <f t="shared" si="613"/>
        <v>0.2046808510638298</v>
      </c>
      <c r="AW95" s="242">
        <f t="shared" si="613"/>
        <v>0.2079015137240123</v>
      </c>
      <c r="AX95" s="242">
        <f t="shared" si="613"/>
        <v>0.17296798840732447</v>
      </c>
      <c r="AY95" s="242">
        <f t="shared" si="613"/>
        <v>0.23339544789032343</v>
      </c>
      <c r="AZ95" s="242">
        <f t="shared" si="613"/>
        <v>0.21051250082026379</v>
      </c>
      <c r="BA95" s="242">
        <f t="shared" si="613"/>
        <v>0.2218022677541277</v>
      </c>
      <c r="BB95" s="242">
        <f t="shared" si="613"/>
        <v>0.17424929007310735</v>
      </c>
      <c r="BC95" s="242">
        <f t="shared" si="613"/>
        <v>0.23133516729575843</v>
      </c>
      <c r="BD95" s="242">
        <f t="shared" si="613"/>
        <v>0.22360127363701346</v>
      </c>
      <c r="BE95" s="242">
        <f t="shared" si="613"/>
        <v>0.22807368842611134</v>
      </c>
      <c r="BF95" s="242">
        <f t="shared" si="613"/>
        <v>0.18307338276655588</v>
      </c>
      <c r="BG95" s="242">
        <f t="shared" si="613"/>
        <v>0.25162088883649653</v>
      </c>
      <c r="BH95" s="242">
        <f t="shared" si="613"/>
        <v>0.20274748448514793</v>
      </c>
      <c r="BI95" s="242">
        <f t="shared" si="613"/>
        <v>0.20006248047485162</v>
      </c>
      <c r="BJ95" s="242">
        <f t="shared" si="613"/>
        <v>0.3025875352000425</v>
      </c>
      <c r="BK95" s="242">
        <f t="shared" si="613"/>
        <v>0.24227027696883327</v>
      </c>
      <c r="BL95" s="242">
        <f t="shared" si="613"/>
        <v>0.21779141104294478</v>
      </c>
      <c r="BM95" s="242">
        <f t="shared" si="613"/>
        <v>0.200511895759409</v>
      </c>
      <c r="BN95" s="242">
        <f t="shared" si="613"/>
        <v>0.16047439716710696</v>
      </c>
      <c r="BO95" s="242">
        <f t="shared" ref="BO95:BV95" si="614">BO67/BO56</f>
        <v>0.20537953043081833</v>
      </c>
      <c r="BP95" s="242">
        <f t="shared" si="614"/>
        <v>0.24229074889867841</v>
      </c>
      <c r="BQ95" s="242">
        <f t="shared" si="614"/>
        <v>0.22580645161290322</v>
      </c>
      <c r="BR95" s="242">
        <f t="shared" si="614"/>
        <v>0.19774294076201832</v>
      </c>
      <c r="BS95" s="242">
        <f t="shared" si="614"/>
        <v>0.26845155948109301</v>
      </c>
      <c r="BT95" s="242">
        <f t="shared" si="614"/>
        <v>0.2436522185175686</v>
      </c>
      <c r="BU95" s="242">
        <f t="shared" si="614"/>
        <v>0.23736309317845447</v>
      </c>
      <c r="BV95" s="242">
        <f t="shared" si="614"/>
        <v>0.21249026014152989</v>
      </c>
      <c r="BW95" s="240"/>
      <c r="BX95" s="240"/>
      <c r="BY95" s="240"/>
      <c r="BZ95" s="240"/>
      <c r="CA95" s="240"/>
      <c r="CB95" s="240"/>
      <c r="CC95" s="240"/>
      <c r="CD95" s="240"/>
      <c r="CE95" s="240"/>
      <c r="CF95" s="240"/>
      <c r="CG95" s="240"/>
      <c r="CH95" s="240"/>
      <c r="CI95" s="240"/>
      <c r="CJ95" s="240"/>
      <c r="CK95" s="240"/>
      <c r="CL95" s="240"/>
      <c r="CM95" s="240"/>
      <c r="CN95" s="240"/>
      <c r="CO95" s="240"/>
      <c r="CP95" s="240"/>
      <c r="CQ95" s="240"/>
      <c r="CR95" s="240"/>
      <c r="CS95" s="240"/>
      <c r="CT95" s="240"/>
      <c r="CU95" s="240"/>
      <c r="CV95" s="240"/>
      <c r="CW95" s="240"/>
      <c r="CX95" s="240"/>
      <c r="CY95" s="240"/>
      <c r="CZ95" s="240"/>
      <c r="DA95" s="240"/>
      <c r="DB95" s="240"/>
      <c r="DC95" s="240"/>
      <c r="DD95" s="240"/>
      <c r="DE95" s="240"/>
      <c r="DF95" s="240"/>
      <c r="DH95" s="242">
        <f t="shared" ref="DH95:EU95" si="615">DH67/DH56</f>
        <v>0.11089474223634314</v>
      </c>
      <c r="DI95" s="242">
        <f t="shared" si="615"/>
        <v>0.11102207977207977</v>
      </c>
      <c r="DJ95" s="242">
        <f t="shared" si="615"/>
        <v>0.11737768136900457</v>
      </c>
      <c r="DK95" s="242">
        <f t="shared" si="615"/>
        <v>0.11815603868246928</v>
      </c>
      <c r="DL95" s="242">
        <f t="shared" si="615"/>
        <v>0.12639694440514923</v>
      </c>
      <c r="DM95" s="242">
        <f t="shared" si="615"/>
        <v>0.1274945976865387</v>
      </c>
      <c r="DN95" s="242">
        <f t="shared" si="615"/>
        <v>0.12753423203481584</v>
      </c>
      <c r="DO95" s="242">
        <f t="shared" si="615"/>
        <v>0.13353376503237743</v>
      </c>
      <c r="DP95" s="242">
        <f t="shared" si="615"/>
        <v>0.14596314463741217</v>
      </c>
      <c r="DQ95" s="242">
        <f t="shared" si="615"/>
        <v>0.16215073762522719</v>
      </c>
      <c r="DR95" s="242">
        <f t="shared" si="615"/>
        <v>0.15168723381019986</v>
      </c>
      <c r="DS95" s="242">
        <f t="shared" si="615"/>
        <v>0.16544836816637495</v>
      </c>
      <c r="DT95" s="242">
        <f t="shared" si="615"/>
        <v>0.17491819173433523</v>
      </c>
      <c r="DU95" s="242">
        <f t="shared" si="615"/>
        <v>0.20509442754233731</v>
      </c>
      <c r="DV95" s="242">
        <f t="shared" si="615"/>
        <v>0.20343015762863093</v>
      </c>
      <c r="DW95" s="242">
        <f t="shared" si="615"/>
        <v>0.19319575202111519</v>
      </c>
      <c r="DX95" s="242">
        <f t="shared" si="615"/>
        <v>0.19711907551820276</v>
      </c>
      <c r="DY95" s="242">
        <f t="shared" si="615"/>
        <v>0.20878028655014627</v>
      </c>
      <c r="DZ95" s="242">
        <f t="shared" si="615"/>
        <v>0.20053099271626154</v>
      </c>
      <c r="EA95" s="242">
        <f t="shared" si="615"/>
        <v>0.20237815112868057</v>
      </c>
      <c r="EB95" s="242">
        <f t="shared" si="615"/>
        <v>0.27107129586248124</v>
      </c>
      <c r="EC95" s="242">
        <f t="shared" si="615"/>
        <v>0.21392889105849808</v>
      </c>
      <c r="ED95" s="242">
        <f t="shared" si="615"/>
        <v>0.25420575119175765</v>
      </c>
      <c r="EE95" s="242">
        <f t="shared" si="615"/>
        <v>0.19943318523329445</v>
      </c>
      <c r="EF95" s="242">
        <f t="shared" si="615"/>
        <v>0.21485240913170295</v>
      </c>
      <c r="EG95" s="242">
        <f t="shared" si="615"/>
        <v>0.26431253583301245</v>
      </c>
      <c r="EH95" s="242">
        <f t="shared" si="615"/>
        <v>0.65741043299179802</v>
      </c>
      <c r="EI95" s="242">
        <f t="shared" si="615"/>
        <v>0.65924671947194091</v>
      </c>
      <c r="EJ95" s="242">
        <f t="shared" si="615"/>
        <v>0.49606466269922528</v>
      </c>
      <c r="EK95" s="242">
        <f t="shared" si="615"/>
        <v>0.49792653537380521</v>
      </c>
      <c r="EL95" s="242">
        <f t="shared" si="615"/>
        <v>0.4999036663118786</v>
      </c>
      <c r="EM95" s="242">
        <f t="shared" si="615"/>
        <v>0.50399639949726216</v>
      </c>
      <c r="EN95" s="242">
        <f t="shared" si="615"/>
        <v>0.25877491906628047</v>
      </c>
      <c r="EO95" s="242">
        <f t="shared" si="615"/>
        <v>0.31333781388846876</v>
      </c>
      <c r="EP95" s="242">
        <f t="shared" si="615"/>
        <v>0.31445369452127708</v>
      </c>
      <c r="EQ95" s="242">
        <f t="shared" si="615"/>
        <v>0.31566455135124183</v>
      </c>
      <c r="ER95" s="242">
        <f t="shared" si="615"/>
        <v>0.31680975605243511</v>
      </c>
      <c r="ES95" s="242">
        <f t="shared" si="615"/>
        <v>0.29842698341829937</v>
      </c>
      <c r="ET95" s="242">
        <f t="shared" si="615"/>
        <v>0.29844758284829659</v>
      </c>
      <c r="EU95" s="242">
        <f t="shared" si="615"/>
        <v>0.29852411140141816</v>
      </c>
    </row>
    <row r="97" spans="2:153" ht="12.75" customHeight="1" x14ac:dyDescent="0.2">
      <c r="B97" t="s">
        <v>357</v>
      </c>
      <c r="K97" s="247">
        <v>2697</v>
      </c>
      <c r="L97" s="247">
        <v>2957</v>
      </c>
      <c r="M97" s="247">
        <v>2936.4</v>
      </c>
      <c r="N97" s="247">
        <v>2639.4</v>
      </c>
      <c r="O97" s="247">
        <v>3163</v>
      </c>
      <c r="P97" s="247">
        <v>3383</v>
      </c>
      <c r="Q97" s="247">
        <v>3168</v>
      </c>
      <c r="R97" s="247">
        <v>2947</v>
      </c>
      <c r="S97" s="247">
        <v>3489</v>
      </c>
      <c r="T97" s="247">
        <v>3864.4</v>
      </c>
      <c r="U97" s="247">
        <v>3677.4</v>
      </c>
      <c r="V97" s="247">
        <v>3820</v>
      </c>
      <c r="W97" s="247">
        <v>4181</v>
      </c>
      <c r="X97" s="247">
        <v>4258</v>
      </c>
      <c r="Y97" s="247">
        <v>4277</v>
      </c>
      <c r="Z97" s="247">
        <v>4435</v>
      </c>
      <c r="AA97" s="243">
        <v>4666</v>
      </c>
      <c r="AB97" s="243">
        <v>4884</v>
      </c>
      <c r="AC97" s="243">
        <v>4835</v>
      </c>
      <c r="AD97" s="243">
        <v>5134</v>
      </c>
      <c r="AE97" s="243">
        <v>5376</v>
      </c>
      <c r="AF97" s="243">
        <f t="shared" ref="AF97:AL97" si="616">SUM(AF8:AF44)</f>
        <v>5296</v>
      </c>
      <c r="AG97" s="243">
        <f t="shared" si="616"/>
        <v>4940</v>
      </c>
      <c r="AH97" s="243">
        <f t="shared" si="616"/>
        <v>5242</v>
      </c>
      <c r="AI97" s="243">
        <f t="shared" si="616"/>
        <v>5178</v>
      </c>
      <c r="AJ97" s="243">
        <f t="shared" si="616"/>
        <v>4986</v>
      </c>
      <c r="AK97" s="243">
        <f t="shared" si="616"/>
        <v>4833</v>
      </c>
      <c r="AL97" s="243">
        <f t="shared" si="616"/>
        <v>4790</v>
      </c>
      <c r="AM97" s="243">
        <f>SUM(AM3:AM44)</f>
        <v>5626</v>
      </c>
      <c r="AN97" s="243">
        <f>SUM(AN3:AN44)</f>
        <v>5810</v>
      </c>
      <c r="AO97" s="243">
        <f>SUM(AO3:AO44)</f>
        <v>5881</v>
      </c>
      <c r="AP97" s="243">
        <f>SUM(AP3:AP44)</f>
        <v>5950</v>
      </c>
      <c r="AQ97" s="243">
        <f>SUM(AQ3:AQ44)-AQ8</f>
        <v>5093</v>
      </c>
      <c r="AR97" s="243">
        <f>SUM(AR3:AR44)-AR8</f>
        <v>5023</v>
      </c>
      <c r="AS97" s="243">
        <f>SUM(AS3:AS44)-AS8</f>
        <v>4974</v>
      </c>
      <c r="AT97" s="243">
        <f>SUM(AT3:AT44)-AT8</f>
        <v>5177</v>
      </c>
      <c r="AU97" s="243">
        <f>SUM(AU3:AU44)-AU11</f>
        <v>6363</v>
      </c>
      <c r="AV97" s="243">
        <f t="shared" ref="AV97:BV97" si="617">SUM(AV3:AV44)</f>
        <v>6340</v>
      </c>
      <c r="AW97" s="243">
        <f t="shared" si="617"/>
        <v>6113</v>
      </c>
      <c r="AX97" s="243">
        <f t="shared" si="617"/>
        <v>5685</v>
      </c>
      <c r="AY97" s="243">
        <f t="shared" si="617"/>
        <v>5780</v>
      </c>
      <c r="AZ97" s="243">
        <f t="shared" si="617"/>
        <v>5498</v>
      </c>
      <c r="BA97" s="243">
        <f t="shared" si="617"/>
        <v>5249</v>
      </c>
      <c r="BB97" s="243">
        <f t="shared" si="617"/>
        <v>5993</v>
      </c>
      <c r="BC97" s="243">
        <f t="shared" si="617"/>
        <v>5638</v>
      </c>
      <c r="BD97" s="243">
        <f t="shared" si="617"/>
        <v>5612</v>
      </c>
      <c r="BE97" s="243">
        <f t="shared" si="617"/>
        <v>5495</v>
      </c>
      <c r="BF97" s="243">
        <f t="shared" si="617"/>
        <v>5710</v>
      </c>
      <c r="BG97" s="243">
        <f t="shared" si="617"/>
        <v>6059</v>
      </c>
      <c r="BH97" s="243">
        <f t="shared" si="617"/>
        <v>6233</v>
      </c>
      <c r="BI97" s="243">
        <f t="shared" si="617"/>
        <v>5982</v>
      </c>
      <c r="BJ97" s="243">
        <f t="shared" si="617"/>
        <v>6094</v>
      </c>
      <c r="BK97" s="243">
        <f t="shared" si="617"/>
        <v>6133</v>
      </c>
      <c r="BL97" s="243">
        <f t="shared" si="617"/>
        <v>6442</v>
      </c>
      <c r="BM97" s="243">
        <f t="shared" si="617"/>
        <v>6541</v>
      </c>
      <c r="BN97" s="243">
        <f t="shared" si="617"/>
        <v>6758</v>
      </c>
      <c r="BO97" s="243">
        <f t="shared" si="617"/>
        <v>6811</v>
      </c>
      <c r="BP97" s="243">
        <f t="shared" si="617"/>
        <v>7081</v>
      </c>
      <c r="BQ97" s="243">
        <f t="shared" si="617"/>
        <v>7100</v>
      </c>
      <c r="BR97" s="243">
        <f t="shared" si="617"/>
        <v>7392</v>
      </c>
      <c r="BS97" s="243">
        <f t="shared" si="617"/>
        <v>7498</v>
      </c>
      <c r="BT97" s="243">
        <f t="shared" si="617"/>
        <v>8509</v>
      </c>
      <c r="BU97" s="243">
        <f t="shared" si="617"/>
        <v>8376.9700000000012</v>
      </c>
      <c r="BV97" s="243">
        <f t="shared" si="617"/>
        <v>8800.24</v>
      </c>
      <c r="BW97" s="243"/>
      <c r="BX97" s="243"/>
      <c r="BY97" s="243"/>
      <c r="BZ97" s="243"/>
      <c r="CA97" s="243"/>
      <c r="CB97" s="243"/>
      <c r="CC97" s="243"/>
      <c r="CD97" s="243"/>
      <c r="CE97" s="243"/>
      <c r="CF97" s="243"/>
      <c r="CG97" s="243"/>
      <c r="CH97" s="243"/>
      <c r="CI97" s="243"/>
      <c r="CJ97" s="243"/>
      <c r="CK97" s="243"/>
      <c r="CL97" s="243"/>
      <c r="CM97" s="243"/>
      <c r="CN97" s="243"/>
      <c r="CO97" s="243"/>
      <c r="CP97" s="243"/>
      <c r="CQ97" s="243"/>
      <c r="CR97" s="243"/>
      <c r="CS97" s="243"/>
      <c r="CT97" s="243"/>
      <c r="CU97" s="243"/>
      <c r="CV97" s="243"/>
      <c r="CW97" s="243"/>
      <c r="CX97" s="243"/>
      <c r="CY97" s="243"/>
      <c r="CZ97" s="243"/>
      <c r="DA97" s="243"/>
      <c r="DB97" s="243"/>
      <c r="DC97" s="243"/>
      <c r="DD97" s="243"/>
      <c r="DE97" s="243"/>
      <c r="DF97" s="243"/>
      <c r="DK97" s="243">
        <v>4340</v>
      </c>
      <c r="DL97" s="243">
        <v>4490</v>
      </c>
      <c r="DM97" s="243">
        <v>5158</v>
      </c>
      <c r="DN97" s="243">
        <v>6274</v>
      </c>
      <c r="DO97" s="243">
        <v>7188</v>
      </c>
      <c r="DP97" s="243">
        <v>7696</v>
      </c>
      <c r="DQ97" s="243">
        <v>8562</v>
      </c>
      <c r="DR97" s="243">
        <v>10694</v>
      </c>
      <c r="DS97" s="243">
        <v>11954</v>
      </c>
      <c r="DT97" s="243">
        <v>14851</v>
      </c>
      <c r="DU97" s="243">
        <v>17151</v>
      </c>
      <c r="DV97" s="243">
        <v>19517</v>
      </c>
      <c r="DW97" s="243">
        <v>22128</v>
      </c>
      <c r="DX97" s="243">
        <v>22322</v>
      </c>
      <c r="DY97" s="243">
        <f t="shared" ref="DY97:EI97" si="618">SUM(DY3:DY44)</f>
        <v>23267</v>
      </c>
      <c r="DZ97" s="243">
        <f t="shared" si="618"/>
        <v>24866</v>
      </c>
      <c r="EA97" s="243">
        <f t="shared" si="618"/>
        <v>24567</v>
      </c>
      <c r="EB97" s="243">
        <f t="shared" si="618"/>
        <v>22520</v>
      </c>
      <c r="EC97" s="243">
        <f t="shared" si="618"/>
        <v>22264</v>
      </c>
      <c r="ED97" s="243">
        <f t="shared" si="618"/>
        <v>24368</v>
      </c>
      <c r="EE97" s="243">
        <f t="shared" si="618"/>
        <v>25874</v>
      </c>
      <c r="EF97" s="243">
        <f t="shared" si="618"/>
        <v>28125</v>
      </c>
      <c r="EG97" s="243">
        <f t="shared" si="618"/>
        <v>32378.81</v>
      </c>
      <c r="EH97" s="243">
        <f t="shared" si="618"/>
        <v>32435.781500000001</v>
      </c>
      <c r="EI97" s="243">
        <f t="shared" si="618"/>
        <v>28087.057000000001</v>
      </c>
      <c r="EJ97" s="243"/>
      <c r="EK97" s="243"/>
      <c r="EL97" s="243"/>
      <c r="EM97" s="243"/>
    </row>
    <row r="98" spans="2:153" ht="12.75" customHeight="1" x14ac:dyDescent="0.2">
      <c r="B98" t="s">
        <v>358</v>
      </c>
      <c r="W98" s="243">
        <v>1664</v>
      </c>
      <c r="X98" s="243">
        <v>1577</v>
      </c>
      <c r="Y98" s="243">
        <v>1455</v>
      </c>
      <c r="Z98" s="243">
        <v>1091</v>
      </c>
      <c r="AA98" s="243">
        <v>1859</v>
      </c>
      <c r="AB98" s="243">
        <v>1091</v>
      </c>
      <c r="AC98" s="243">
        <v>1751</v>
      </c>
      <c r="AD98" s="243">
        <v>1195</v>
      </c>
      <c r="AE98" s="243">
        <v>2085</v>
      </c>
      <c r="AF98" s="243">
        <v>2108</v>
      </c>
      <c r="AG98" s="243">
        <v>1922</v>
      </c>
      <c r="AH98" s="243">
        <v>1493</v>
      </c>
      <c r="AI98" s="243">
        <v>2076</v>
      </c>
      <c r="AJ98" s="243">
        <v>1585</v>
      </c>
      <c r="AK98" s="243">
        <v>1795</v>
      </c>
      <c r="AL98" s="243">
        <v>1093</v>
      </c>
      <c r="AM98" s="243">
        <v>1927</v>
      </c>
      <c r="AN98" s="243">
        <v>1743</v>
      </c>
      <c r="AO98" s="243"/>
      <c r="AP98" s="243"/>
      <c r="AQ98" s="243"/>
      <c r="AR98" s="243"/>
      <c r="AS98" s="243"/>
      <c r="AT98" s="243"/>
      <c r="AU98" s="243"/>
      <c r="AV98" s="243"/>
      <c r="AW98" s="243"/>
      <c r="AX98" s="243"/>
      <c r="BC98" s="243">
        <v>1970</v>
      </c>
      <c r="DK98" s="243">
        <v>1364</v>
      </c>
      <c r="DL98" s="243">
        <v>1406</v>
      </c>
      <c r="DM98" s="243">
        <v>1669</v>
      </c>
      <c r="DN98" s="243">
        <v>2073</v>
      </c>
      <c r="DO98" s="243">
        <v>2477</v>
      </c>
      <c r="DP98" s="243">
        <v>2669</v>
      </c>
      <c r="DQ98" s="243">
        <v>3081</v>
      </c>
      <c r="DR98" s="243">
        <v>3595</v>
      </c>
      <c r="DS98" s="243">
        <v>4175</v>
      </c>
      <c r="DT98" s="243">
        <v>4928</v>
      </c>
      <c r="DU98" s="243">
        <v>5787</v>
      </c>
      <c r="DV98" s="243">
        <v>5896</v>
      </c>
      <c r="DW98" s="243">
        <v>7608</v>
      </c>
      <c r="DX98" s="243">
        <f>6610+302</f>
        <v>6912</v>
      </c>
      <c r="DY98" s="243"/>
      <c r="DZ98" s="243"/>
      <c r="EA98" s="243"/>
      <c r="EB98" s="243"/>
      <c r="EC98" s="243"/>
      <c r="ED98" s="243"/>
      <c r="EE98" s="243"/>
      <c r="EF98" s="243"/>
      <c r="EG98" s="243"/>
      <c r="EH98" s="243"/>
      <c r="EI98" s="243"/>
      <c r="EJ98" s="243"/>
      <c r="EK98" s="243"/>
      <c r="EL98" s="243"/>
      <c r="EM98" s="243"/>
    </row>
    <row r="99" spans="2:153" ht="12.75" customHeight="1" x14ac:dyDescent="0.2">
      <c r="B99" t="s">
        <v>359</v>
      </c>
      <c r="W99" s="294">
        <f t="shared" ref="W99:AN99" si="619">W98/W97</f>
        <v>0.39799091126524755</v>
      </c>
      <c r="X99" s="294">
        <f t="shared" si="619"/>
        <v>0.37036167214654769</v>
      </c>
      <c r="Y99" s="294">
        <f t="shared" si="619"/>
        <v>0.34019172317044655</v>
      </c>
      <c r="Z99" s="294">
        <f t="shared" si="619"/>
        <v>0.24599774520856821</v>
      </c>
      <c r="AA99" s="294">
        <f t="shared" si="619"/>
        <v>0.39841405915130734</v>
      </c>
      <c r="AB99" s="294">
        <f t="shared" si="619"/>
        <v>0.22338247338247338</v>
      </c>
      <c r="AC99" s="294">
        <f t="shared" si="619"/>
        <v>0.36215098241985522</v>
      </c>
      <c r="AD99" s="294">
        <f t="shared" si="619"/>
        <v>0.23276197896377093</v>
      </c>
      <c r="AE99" s="294">
        <f t="shared" si="619"/>
        <v>0.38783482142857145</v>
      </c>
      <c r="AF99" s="294">
        <f t="shared" si="619"/>
        <v>0.39803625377643503</v>
      </c>
      <c r="AG99" s="294">
        <f t="shared" si="619"/>
        <v>0.38906882591093117</v>
      </c>
      <c r="AH99" s="294">
        <f t="shared" si="619"/>
        <v>0.28481495612361696</v>
      </c>
      <c r="AI99" s="294">
        <f t="shared" si="619"/>
        <v>0.40092699884125144</v>
      </c>
      <c r="AJ99" s="294">
        <f t="shared" si="619"/>
        <v>0.31789009225832332</v>
      </c>
      <c r="AK99" s="294">
        <f t="shared" si="619"/>
        <v>0.37140492447755019</v>
      </c>
      <c r="AL99" s="294">
        <f t="shared" si="619"/>
        <v>0.22818371607515658</v>
      </c>
      <c r="AM99" s="294">
        <f t="shared" si="619"/>
        <v>0.34251688588695345</v>
      </c>
      <c r="AN99" s="294">
        <f t="shared" si="619"/>
        <v>0.3</v>
      </c>
      <c r="AO99" s="243"/>
      <c r="AP99" s="243"/>
      <c r="AQ99" s="243"/>
      <c r="AR99" s="243"/>
      <c r="AS99" s="243"/>
      <c r="AT99" s="243"/>
      <c r="AU99" s="243"/>
      <c r="AV99" s="243"/>
      <c r="AW99" s="243"/>
      <c r="AX99" s="243"/>
      <c r="BC99" s="294">
        <f>+BC98/BC97</f>
        <v>0.34941468605888615</v>
      </c>
      <c r="DK99" s="294">
        <f t="shared" ref="DK99:DX99" si="620">DK98/DK97</f>
        <v>0.31428571428571428</v>
      </c>
      <c r="DL99" s="294">
        <f t="shared" si="620"/>
        <v>0.31314031180400892</v>
      </c>
      <c r="DM99" s="294">
        <f t="shared" si="620"/>
        <v>0.32357502908103919</v>
      </c>
      <c r="DN99" s="294">
        <f t="shared" si="620"/>
        <v>0.33041122091169906</v>
      </c>
      <c r="DO99" s="294">
        <f t="shared" si="620"/>
        <v>0.34460211463550361</v>
      </c>
      <c r="DP99" s="294">
        <f t="shared" si="620"/>
        <v>0.34680353430353428</v>
      </c>
      <c r="DQ99" s="294">
        <f t="shared" si="620"/>
        <v>0.3598458304134548</v>
      </c>
      <c r="DR99" s="294">
        <f t="shared" si="620"/>
        <v>0.3361698148494483</v>
      </c>
      <c r="DS99" s="294">
        <f t="shared" si="620"/>
        <v>0.34925547933746026</v>
      </c>
      <c r="DT99" s="294">
        <f t="shared" si="620"/>
        <v>0.33182950643054338</v>
      </c>
      <c r="DU99" s="294">
        <f t="shared" si="620"/>
        <v>0.33741472800419803</v>
      </c>
      <c r="DV99" s="294">
        <f t="shared" si="620"/>
        <v>0.3020956089562945</v>
      </c>
      <c r="DW99" s="294">
        <f t="shared" si="620"/>
        <v>0.3438177874186551</v>
      </c>
      <c r="DX99" s="294">
        <f t="shared" si="620"/>
        <v>0.30964967296837204</v>
      </c>
      <c r="DY99" s="243"/>
      <c r="DZ99" s="243"/>
      <c r="EA99" s="243"/>
      <c r="EB99" s="243"/>
      <c r="EC99" s="243"/>
      <c r="ED99" s="243"/>
      <c r="EE99" s="243"/>
      <c r="EF99" s="243"/>
      <c r="EG99" s="243"/>
      <c r="EH99" s="243"/>
      <c r="EI99" s="243"/>
      <c r="EJ99" s="243"/>
      <c r="EK99" s="243"/>
      <c r="EL99" s="243"/>
      <c r="EM99" s="243"/>
    </row>
    <row r="100" spans="2:153" ht="12.75" customHeight="1" x14ac:dyDescent="0.2">
      <c r="B100" t="s">
        <v>360</v>
      </c>
      <c r="K100" s="294">
        <f t="shared" ref="K100:AP100" si="621">K97/K56</f>
        <v>0.40629707743296173</v>
      </c>
      <c r="L100" s="294">
        <f t="shared" si="621"/>
        <v>0.43142690399766559</v>
      </c>
      <c r="M100" s="294">
        <f t="shared" si="621"/>
        <v>0.43508667950807528</v>
      </c>
      <c r="N100" s="294">
        <f t="shared" si="621"/>
        <v>0.38380107605060348</v>
      </c>
      <c r="O100" s="294">
        <f t="shared" si="621"/>
        <v>0.43216286377920482</v>
      </c>
      <c r="P100" s="294">
        <f t="shared" si="621"/>
        <v>0.45058604155567394</v>
      </c>
      <c r="Q100" s="294">
        <f t="shared" si="621"/>
        <v>0.43975569128262076</v>
      </c>
      <c r="R100" s="294">
        <f t="shared" si="621"/>
        <v>0.41460326392796848</v>
      </c>
      <c r="S100" s="294">
        <f t="shared" si="621"/>
        <v>0.4478244127839815</v>
      </c>
      <c r="T100" s="294">
        <f t="shared" si="621"/>
        <v>0.46324622392711579</v>
      </c>
      <c r="U100" s="294">
        <f t="shared" si="621"/>
        <v>0.44639475600874001</v>
      </c>
      <c r="V100" s="294">
        <f t="shared" si="621"/>
        <v>0.45459954778055456</v>
      </c>
      <c r="W100" s="294">
        <f t="shared" si="621"/>
        <v>0.47821114034084411</v>
      </c>
      <c r="X100" s="294">
        <f t="shared" si="621"/>
        <v>0.46930452992395016</v>
      </c>
      <c r="Y100" s="294">
        <f t="shared" si="621"/>
        <v>0.47108712413261372</v>
      </c>
      <c r="Z100" s="294">
        <f t="shared" si="621"/>
        <v>0.47165798149526744</v>
      </c>
      <c r="AA100" s="294">
        <f t="shared" si="621"/>
        <v>0.47505599674200771</v>
      </c>
      <c r="AB100" s="294">
        <f t="shared" si="621"/>
        <v>0.4727061556329849</v>
      </c>
      <c r="AC100" s="294">
        <f t="shared" si="621"/>
        <v>0.46250239142911803</v>
      </c>
      <c r="AD100" s="294">
        <f t="shared" si="621"/>
        <v>0.45078584599174643</v>
      </c>
      <c r="AE100" s="294">
        <f t="shared" si="621"/>
        <v>0.44859813084112149</v>
      </c>
      <c r="AF100" s="294">
        <f t="shared" si="621"/>
        <v>0.44534140598721828</v>
      </c>
      <c r="AG100" s="294">
        <f t="shared" si="621"/>
        <v>0.42759456418246344</v>
      </c>
      <c r="AH100" s="294">
        <f t="shared" si="621"/>
        <v>0.41107277289836891</v>
      </c>
      <c r="AI100" s="294">
        <f t="shared" si="621"/>
        <v>0.40352244389027431</v>
      </c>
      <c r="AJ100" s="294">
        <f t="shared" si="621"/>
        <v>0.39069111424541608</v>
      </c>
      <c r="AK100" s="294">
        <f t="shared" si="621"/>
        <v>0.39260763606823723</v>
      </c>
      <c r="AL100" s="294">
        <f t="shared" si="621"/>
        <v>0.37985725614591592</v>
      </c>
      <c r="AM100" s="294">
        <f t="shared" si="621"/>
        <v>0.4330357142857143</v>
      </c>
      <c r="AN100" s="294">
        <f t="shared" si="621"/>
        <v>0.43478260869565216</v>
      </c>
      <c r="AO100" s="294">
        <f t="shared" si="621"/>
        <v>0.44261308045457964</v>
      </c>
      <c r="AP100" s="294">
        <f t="shared" si="621"/>
        <v>0.43487794182137113</v>
      </c>
      <c r="AQ100" s="294">
        <f t="shared" ref="AQ100:BV100" si="622">AQ97/AQ56</f>
        <v>0.33757539603632264</v>
      </c>
      <c r="AR100" s="294">
        <f t="shared" si="622"/>
        <v>0.33172632413155462</v>
      </c>
      <c r="AS100" s="294">
        <f t="shared" si="622"/>
        <v>0.3314453255147598</v>
      </c>
      <c r="AT100" s="294">
        <f t="shared" si="622"/>
        <v>0.32443441749702323</v>
      </c>
      <c r="AU100" s="294">
        <f t="shared" si="622"/>
        <v>0.39292330492775102</v>
      </c>
      <c r="AV100" s="294">
        <f t="shared" si="622"/>
        <v>0.38541033434650457</v>
      </c>
      <c r="AW100" s="294">
        <f t="shared" si="622"/>
        <v>0.38395829407700521</v>
      </c>
      <c r="AX100" s="294">
        <f t="shared" si="622"/>
        <v>0.37445659333421155</v>
      </c>
      <c r="AY100" s="294">
        <f t="shared" si="622"/>
        <v>0.38466657793158526</v>
      </c>
      <c r="AZ100" s="294">
        <f t="shared" si="622"/>
        <v>0.36078482840081372</v>
      </c>
      <c r="BA100" s="294">
        <f t="shared" si="622"/>
        <v>0.34805384258338307</v>
      </c>
      <c r="BB100" s="294">
        <f t="shared" si="622"/>
        <v>0.36209292489879763</v>
      </c>
      <c r="BC100" s="294">
        <f t="shared" si="622"/>
        <v>0.3606934936984198</v>
      </c>
      <c r="BD100" s="294">
        <f t="shared" si="622"/>
        <v>0.36467606732081359</v>
      </c>
      <c r="BE100" s="294">
        <f t="shared" si="622"/>
        <v>0.36677346148711787</v>
      </c>
      <c r="BF100" s="294">
        <f t="shared" si="622"/>
        <v>0.36499616466376883</v>
      </c>
      <c r="BG100" s="294">
        <f t="shared" si="622"/>
        <v>0.35712601673936106</v>
      </c>
      <c r="BH100" s="294">
        <f t="shared" si="622"/>
        <v>0.3755497981562933</v>
      </c>
      <c r="BI100" s="294">
        <f t="shared" si="622"/>
        <v>0.37375820056232428</v>
      </c>
      <c r="BJ100" s="294">
        <f t="shared" si="622"/>
        <v>0.32378725891291643</v>
      </c>
      <c r="BK100" s="294">
        <f t="shared" si="622"/>
        <v>0.38001115310737965</v>
      </c>
      <c r="BL100" s="294">
        <f t="shared" si="622"/>
        <v>0.38746541561409842</v>
      </c>
      <c r="BM100" s="294">
        <f t="shared" si="622"/>
        <v>0.38048979116979814</v>
      </c>
      <c r="BN100" s="294">
        <f t="shared" si="622"/>
        <v>0.37985498285650049</v>
      </c>
      <c r="BO100" s="294">
        <f t="shared" si="622"/>
        <v>0.38813540004558922</v>
      </c>
      <c r="BP100" s="294">
        <f t="shared" si="622"/>
        <v>0.39485864049517649</v>
      </c>
      <c r="BQ100" s="294">
        <f t="shared" si="622"/>
        <v>0.40251714949827089</v>
      </c>
      <c r="BR100" s="294">
        <f t="shared" si="622"/>
        <v>0.40062869221180425</v>
      </c>
      <c r="BS100" s="294">
        <f t="shared" si="622"/>
        <v>0.41391112337841568</v>
      </c>
      <c r="BT100" s="294">
        <f t="shared" si="622"/>
        <v>0.43647088997178762</v>
      </c>
      <c r="BU100" s="294">
        <f t="shared" si="622"/>
        <v>0.45149472939862656</v>
      </c>
      <c r="BV100" s="294">
        <f t="shared" si="622"/>
        <v>0.45129968199624909</v>
      </c>
      <c r="BW100" s="294"/>
      <c r="BX100" s="294"/>
      <c r="BY100" s="294"/>
      <c r="BZ100" s="294"/>
      <c r="CA100" s="294"/>
      <c r="CB100" s="294"/>
      <c r="CC100" s="294"/>
      <c r="CD100" s="294"/>
      <c r="CE100" s="294"/>
      <c r="CF100" s="294"/>
      <c r="CG100" s="294"/>
      <c r="CH100" s="294"/>
      <c r="CI100" s="294"/>
      <c r="CJ100" s="294"/>
      <c r="CK100" s="294"/>
      <c r="CL100" s="294"/>
      <c r="CM100" s="294"/>
      <c r="CN100" s="294"/>
      <c r="CO100" s="294"/>
      <c r="CP100" s="294"/>
      <c r="CQ100" s="294"/>
      <c r="CR100" s="294"/>
      <c r="CS100" s="294"/>
      <c r="CT100" s="294"/>
      <c r="CU100" s="294"/>
      <c r="CV100" s="294"/>
      <c r="CW100" s="294"/>
      <c r="CX100" s="294"/>
      <c r="CY100" s="294"/>
      <c r="CZ100" s="294"/>
      <c r="DA100" s="294"/>
      <c r="DB100" s="294"/>
      <c r="DC100" s="294"/>
      <c r="DD100" s="294"/>
      <c r="DE100" s="294"/>
      <c r="DF100" s="294"/>
      <c r="DK100" s="287">
        <f t="shared" ref="DK100:EI100" si="623">DK97/DK56</f>
        <v>0.31556751254271798</v>
      </c>
      <c r="DL100" s="287">
        <f t="shared" si="623"/>
        <v>0.31758381666430896</v>
      </c>
      <c r="DM100" s="287">
        <f t="shared" si="623"/>
        <v>0.32782509215711197</v>
      </c>
      <c r="DN100" s="287">
        <f t="shared" si="623"/>
        <v>0.33297951385203267</v>
      </c>
      <c r="DO100" s="287">
        <f t="shared" si="623"/>
        <v>0.3324699352451434</v>
      </c>
      <c r="DP100" s="287">
        <f t="shared" si="623"/>
        <v>0.34009456891599277</v>
      </c>
      <c r="DQ100" s="287">
        <f t="shared" si="623"/>
        <v>0.36192247537726679</v>
      </c>
      <c r="DR100" s="287">
        <f t="shared" si="623"/>
        <v>0.38928324414837467</v>
      </c>
      <c r="DS100" s="287">
        <f t="shared" si="623"/>
        <v>0.41024057105597311</v>
      </c>
      <c r="DT100" s="287">
        <f t="shared" si="623"/>
        <v>0.44997576051387711</v>
      </c>
      <c r="DU100" s="294">
        <f t="shared" si="623"/>
        <v>0.46464690248944107</v>
      </c>
      <c r="DV100" s="294">
        <f t="shared" si="623"/>
        <v>0.46068253810892851</v>
      </c>
      <c r="DW100" s="294">
        <f t="shared" si="623"/>
        <v>0.45987904482823116</v>
      </c>
      <c r="DX100" s="294">
        <f t="shared" si="623"/>
        <v>0.45096771586730777</v>
      </c>
      <c r="DY100" s="294">
        <f t="shared" si="623"/>
        <v>0.4363326082064361</v>
      </c>
      <c r="DZ100" s="294">
        <f t="shared" si="623"/>
        <v>0.40700548326376956</v>
      </c>
      <c r="EA100" s="294">
        <f t="shared" si="623"/>
        <v>0.38538284154548447</v>
      </c>
      <c r="EB100" s="294">
        <f t="shared" si="623"/>
        <v>0.36383023409858312</v>
      </c>
      <c r="EC100" s="294">
        <f t="shared" si="623"/>
        <v>0.36228134407289886</v>
      </c>
      <c r="ED100" s="294">
        <f t="shared" si="623"/>
        <v>0.37471936029524833</v>
      </c>
      <c r="EE100" s="294">
        <f t="shared" si="623"/>
        <v>0.38192097067028796</v>
      </c>
      <c r="EF100" s="294">
        <f t="shared" si="623"/>
        <v>0.39439365043751401</v>
      </c>
      <c r="EG100" s="294">
        <f t="shared" si="623"/>
        <v>0.42464773303810621</v>
      </c>
      <c r="EH100" s="294">
        <f t="shared" si="623"/>
        <v>0.42121735824025519</v>
      </c>
      <c r="EI100" s="294">
        <f t="shared" si="623"/>
        <v>0.38280242887063443</v>
      </c>
      <c r="EJ100" s="294"/>
      <c r="EK100" s="294"/>
      <c r="EL100" s="294"/>
      <c r="EM100" s="294"/>
    </row>
    <row r="101" spans="2:153" ht="12.75" customHeight="1" x14ac:dyDescent="0.2">
      <c r="B101" t="s">
        <v>361</v>
      </c>
      <c r="AE101" s="243"/>
      <c r="AF101" s="243"/>
      <c r="AG101" s="243"/>
      <c r="AH101" s="243"/>
      <c r="AI101" s="294"/>
      <c r="AJ101" s="294"/>
      <c r="AK101" s="294"/>
      <c r="AL101" s="294"/>
      <c r="AM101" s="294"/>
      <c r="AN101" s="294"/>
      <c r="AO101" s="288">
        <f t="shared" ref="AO101:BD101" si="624">AO97/AK97-1</f>
        <v>0.2168425408648873</v>
      </c>
      <c r="AP101" s="288">
        <f t="shared" si="624"/>
        <v>0.24217118997912324</v>
      </c>
      <c r="AQ101" s="288">
        <f t="shared" si="624"/>
        <v>-9.4738713117668016E-2</v>
      </c>
      <c r="AR101" s="288">
        <f t="shared" si="624"/>
        <v>-0.13545611015490533</v>
      </c>
      <c r="AS101" s="288">
        <f t="shared" si="624"/>
        <v>-0.15422547185852742</v>
      </c>
      <c r="AT101" s="288">
        <f t="shared" si="624"/>
        <v>-0.12991596638655467</v>
      </c>
      <c r="AU101" s="288">
        <f t="shared" si="624"/>
        <v>0.24936186923227965</v>
      </c>
      <c r="AV101" s="288">
        <f t="shared" si="624"/>
        <v>0.26219390802309372</v>
      </c>
      <c r="AW101" s="288">
        <f t="shared" si="624"/>
        <v>0.22899075190993168</v>
      </c>
      <c r="AX101" s="288">
        <f t="shared" si="624"/>
        <v>9.812632798918286E-2</v>
      </c>
      <c r="AY101" s="288">
        <f t="shared" si="624"/>
        <v>-9.1623448059091617E-2</v>
      </c>
      <c r="AZ101" s="288">
        <f t="shared" si="624"/>
        <v>-0.13280757097791795</v>
      </c>
      <c r="BA101" s="288">
        <f t="shared" si="624"/>
        <v>-0.14133813185015542</v>
      </c>
      <c r="BB101" s="288">
        <f t="shared" si="624"/>
        <v>5.4177660510114301E-2</v>
      </c>
      <c r="BC101" s="288">
        <f t="shared" si="624"/>
        <v>-2.456747404844295E-2</v>
      </c>
      <c r="BD101" s="288">
        <f t="shared" si="624"/>
        <v>2.0734812659148671E-2</v>
      </c>
      <c r="BE101" s="288">
        <f t="shared" ref="BE101" si="625">BE97/BA97-1</f>
        <v>4.6866069727567128E-2</v>
      </c>
      <c r="BF101" s="288">
        <f t="shared" ref="BF101" si="626">BF97/BB97-1</f>
        <v>-4.7221758718504869E-2</v>
      </c>
      <c r="BG101" s="288">
        <f t="shared" ref="BG101" si="627">BG97/BC97-1</f>
        <v>7.4671869457254347E-2</v>
      </c>
      <c r="BH101" s="288">
        <f t="shared" ref="BH101" si="628">BH97/BD97-1</f>
        <v>0.11065573770491799</v>
      </c>
      <c r="BI101" s="288">
        <f t="shared" ref="BI101" si="629">BI97/BE97-1</f>
        <v>8.8626023657870867E-2</v>
      </c>
      <c r="BJ101" s="288">
        <f t="shared" ref="BJ101" si="630">BJ97/BF97-1</f>
        <v>6.7250437828371368E-2</v>
      </c>
      <c r="BK101" s="288"/>
      <c r="BL101" s="288"/>
      <c r="BM101" s="288"/>
      <c r="BN101" s="288"/>
      <c r="BO101" s="288"/>
      <c r="BP101" s="288"/>
      <c r="BQ101" s="288"/>
      <c r="BR101" s="288"/>
      <c r="BS101" s="288"/>
      <c r="BT101" s="288"/>
      <c r="BU101" s="288"/>
      <c r="BV101" s="288"/>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c r="CR101" s="288"/>
      <c r="CS101" s="288"/>
      <c r="CT101" s="288"/>
      <c r="CU101" s="288"/>
      <c r="CV101" s="288"/>
      <c r="CW101" s="288"/>
      <c r="CX101" s="288"/>
      <c r="CY101" s="288"/>
      <c r="CZ101" s="288"/>
      <c r="DA101" s="288"/>
      <c r="DB101" s="288"/>
      <c r="DC101" s="288"/>
      <c r="DD101" s="288"/>
      <c r="DE101" s="288"/>
      <c r="DF101" s="288"/>
      <c r="DL101" s="294">
        <f t="shared" ref="DL101:EH101" si="631">DL97/DK97-1</f>
        <v>3.4562211981566726E-2</v>
      </c>
      <c r="DM101" s="294">
        <f t="shared" si="631"/>
        <v>0.14877505567928728</v>
      </c>
      <c r="DN101" s="294">
        <f t="shared" si="631"/>
        <v>0.21636293136874762</v>
      </c>
      <c r="DO101" s="294">
        <f t="shared" si="631"/>
        <v>0.14568058654765692</v>
      </c>
      <c r="DP101" s="294">
        <f t="shared" si="631"/>
        <v>7.0673344462993892E-2</v>
      </c>
      <c r="DQ101" s="294">
        <f t="shared" si="631"/>
        <v>0.11252598752598764</v>
      </c>
      <c r="DR101" s="294">
        <f t="shared" si="631"/>
        <v>0.24900724129876206</v>
      </c>
      <c r="DS101" s="294">
        <f t="shared" si="631"/>
        <v>0.11782307836169825</v>
      </c>
      <c r="DT101" s="294">
        <f t="shared" si="631"/>
        <v>0.24234565835703537</v>
      </c>
      <c r="DU101" s="294">
        <f t="shared" si="631"/>
        <v>0.15487172580970987</v>
      </c>
      <c r="DV101" s="294">
        <f t="shared" si="631"/>
        <v>0.137951139875226</v>
      </c>
      <c r="DW101" s="294">
        <f t="shared" si="631"/>
        <v>0.13378080647640522</v>
      </c>
      <c r="DX101" s="294">
        <f t="shared" si="631"/>
        <v>8.7671728127258763E-3</v>
      </c>
      <c r="DY101" s="294">
        <f t="shared" si="631"/>
        <v>4.2334916226144603E-2</v>
      </c>
      <c r="DZ101" s="294">
        <f t="shared" si="631"/>
        <v>6.8723943783040253E-2</v>
      </c>
      <c r="EA101" s="294">
        <f>EA97/DZ97-1</f>
        <v>-1.2024451057669139E-2</v>
      </c>
      <c r="EB101" s="288">
        <f t="shared" si="631"/>
        <v>-8.3323157080636645E-2</v>
      </c>
      <c r="EC101" s="294">
        <f t="shared" si="631"/>
        <v>-1.1367673179396132E-2</v>
      </c>
      <c r="ED101" s="294">
        <f t="shared" si="631"/>
        <v>9.4502335609055077E-2</v>
      </c>
      <c r="EE101" s="294">
        <f t="shared" si="631"/>
        <v>6.1802363755745215E-2</v>
      </c>
      <c r="EF101" s="294">
        <f t="shared" si="631"/>
        <v>8.6998531344206542E-2</v>
      </c>
      <c r="EG101" s="294">
        <f t="shared" si="631"/>
        <v>0.15124657777777784</v>
      </c>
      <c r="EH101" s="294">
        <f t="shared" si="631"/>
        <v>1.7595303842234955E-3</v>
      </c>
      <c r="EI101" s="294">
        <f t="shared" ref="EI101" si="632">EI97/EH97-1</f>
        <v>-0.13407182743538948</v>
      </c>
      <c r="EJ101" s="294"/>
      <c r="EK101" s="294"/>
      <c r="EL101" s="294"/>
      <c r="EM101" s="294"/>
    </row>
    <row r="102" spans="2:153" ht="12.75" customHeight="1" x14ac:dyDescent="0.2">
      <c r="B102" t="s">
        <v>362</v>
      </c>
      <c r="AE102" s="243"/>
      <c r="AF102" s="243"/>
      <c r="AG102" s="243"/>
      <c r="AH102" s="243"/>
      <c r="AI102" s="294"/>
      <c r="AJ102" s="294"/>
      <c r="AK102" s="294"/>
      <c r="AL102" s="294"/>
      <c r="AM102" s="294"/>
      <c r="AN102" s="294"/>
      <c r="AO102" s="288">
        <v>6.7000000000000004E-2</v>
      </c>
      <c r="AP102" s="288"/>
      <c r="AQ102" s="294"/>
      <c r="AR102" s="294"/>
      <c r="AS102" s="294"/>
      <c r="AT102" s="294"/>
      <c r="AU102" s="294"/>
      <c r="AV102" s="288">
        <v>-1.2999999999999999E-2</v>
      </c>
      <c r="AW102" s="294"/>
      <c r="AX102" s="294"/>
      <c r="AY102" s="288">
        <v>-5.0999999999999997E-2</v>
      </c>
      <c r="AZ102" s="288">
        <v>-8.5000000000000006E-2</v>
      </c>
      <c r="BD102" s="288">
        <v>0.01</v>
      </c>
      <c r="BI102" s="288">
        <v>4.9000000000000002E-2</v>
      </c>
      <c r="DL102" s="294"/>
      <c r="DX102" s="294"/>
      <c r="DY102" s="294"/>
      <c r="DZ102" s="294"/>
      <c r="EA102" s="294"/>
      <c r="EB102" s="288">
        <v>-6.0999999999999999E-2</v>
      </c>
      <c r="EC102" s="294"/>
      <c r="ED102" s="294"/>
      <c r="EE102" s="294"/>
      <c r="EF102" s="294"/>
      <c r="EG102" s="294"/>
      <c r="EH102" s="294"/>
      <c r="EI102" s="294"/>
      <c r="EJ102" s="294"/>
      <c r="EK102" s="294"/>
      <c r="EL102" s="294"/>
      <c r="EM102" s="294"/>
      <c r="EN102" s="3"/>
      <c r="EO102" s="3"/>
      <c r="EP102" s="3"/>
      <c r="EQ102" s="3"/>
      <c r="ER102" s="3"/>
      <c r="ES102" s="3"/>
      <c r="ET102" s="3"/>
      <c r="EU102" s="3"/>
      <c r="EV102" s="3"/>
      <c r="EW102" s="3"/>
    </row>
    <row r="103" spans="2:153" ht="12.75" customHeight="1" x14ac:dyDescent="0.2">
      <c r="B103" t="s">
        <v>1197</v>
      </c>
      <c r="AE103" s="243"/>
      <c r="AF103" s="243"/>
      <c r="AG103" s="243"/>
      <c r="AH103" s="243"/>
      <c r="AI103" s="294"/>
      <c r="AJ103" s="294"/>
      <c r="AK103" s="294"/>
      <c r="AL103" s="294"/>
      <c r="AM103" s="294"/>
      <c r="AN103" s="294"/>
      <c r="AO103" s="288"/>
      <c r="AP103" s="288"/>
      <c r="AQ103" s="294"/>
      <c r="AR103" s="294"/>
      <c r="AS103" s="294"/>
      <c r="AT103" s="294"/>
      <c r="AU103" s="294"/>
      <c r="AV103" s="288"/>
      <c r="AW103" s="294"/>
      <c r="AX103" s="294"/>
      <c r="AY103" s="288"/>
      <c r="AZ103" s="288">
        <f>AZ101-AZ102</f>
        <v>-4.7807570977917949E-2</v>
      </c>
      <c r="BD103" s="288">
        <f>BD101-BD102</f>
        <v>1.0734812659148671E-2</v>
      </c>
      <c r="BI103" s="288">
        <v>0.04</v>
      </c>
      <c r="DL103" s="294"/>
      <c r="DX103" s="294"/>
      <c r="DY103" s="294"/>
      <c r="DZ103" s="294"/>
      <c r="EA103" s="294"/>
      <c r="EB103" s="288">
        <f>EB101-EB102</f>
        <v>-2.2323157080636646E-2</v>
      </c>
      <c r="EC103" s="294"/>
      <c r="ED103" s="294"/>
      <c r="EE103" s="294"/>
      <c r="EF103" s="294"/>
      <c r="EG103" s="294"/>
      <c r="EH103" s="294"/>
      <c r="EI103" s="294"/>
      <c r="EJ103" s="294"/>
      <c r="EK103" s="294"/>
      <c r="EL103" s="294"/>
      <c r="EM103" s="294"/>
      <c r="EN103" s="3"/>
      <c r="EO103" s="3"/>
      <c r="EP103" s="3"/>
      <c r="EQ103" s="3"/>
      <c r="ER103" s="3"/>
      <c r="ES103" s="3"/>
      <c r="ET103" s="3"/>
      <c r="EU103" s="3"/>
      <c r="EV103" s="3"/>
      <c r="EW103" s="3"/>
    </row>
    <row r="104" spans="2:153" ht="12.75" customHeight="1" x14ac:dyDescent="0.2">
      <c r="B104" t="s">
        <v>363</v>
      </c>
      <c r="K104" s="247">
        <v>2434</v>
      </c>
      <c r="L104" s="247">
        <v>2455</v>
      </c>
      <c r="M104" s="247">
        <v>2445</v>
      </c>
      <c r="N104" s="247">
        <v>2581</v>
      </c>
      <c r="O104" s="247">
        <v>2525</v>
      </c>
      <c r="P104" s="247">
        <v>2580</v>
      </c>
      <c r="Q104" s="247">
        <v>2548</v>
      </c>
      <c r="R104" s="247">
        <v>2628</v>
      </c>
      <c r="S104" s="247">
        <v>2735.2</v>
      </c>
      <c r="T104" s="247">
        <v>2785</v>
      </c>
      <c r="U104" s="247">
        <v>2771</v>
      </c>
      <c r="V104" s="247">
        <v>2855</v>
      </c>
      <c r="W104" s="247">
        <v>2958</v>
      </c>
      <c r="X104" s="247">
        <v>3166</v>
      </c>
      <c r="Y104" s="247">
        <v>3141</v>
      </c>
      <c r="Z104" s="247">
        <v>3318</v>
      </c>
      <c r="AA104" s="247">
        <v>3364</v>
      </c>
      <c r="AB104" s="247">
        <v>3629</v>
      </c>
      <c r="AC104" s="247">
        <v>3779</v>
      </c>
      <c r="AD104" s="247">
        <v>4141</v>
      </c>
      <c r="AE104" s="243">
        <v>4136</v>
      </c>
      <c r="AF104" s="243">
        <f t="shared" ref="AF104:BJ104" si="633">SUM(AF45:AF54)</f>
        <v>4057</v>
      </c>
      <c r="AG104" s="243">
        <f t="shared" si="633"/>
        <v>4044</v>
      </c>
      <c r="AH104" s="243">
        <f t="shared" si="633"/>
        <v>4650</v>
      </c>
      <c r="AI104" s="243">
        <f t="shared" si="633"/>
        <v>4797</v>
      </c>
      <c r="AJ104" s="243">
        <f t="shared" si="633"/>
        <v>4856</v>
      </c>
      <c r="AK104" s="243">
        <f t="shared" si="633"/>
        <v>4622</v>
      </c>
      <c r="AL104" s="243">
        <f t="shared" si="633"/>
        <v>4821</v>
      </c>
      <c r="AM104" s="243">
        <f t="shared" si="633"/>
        <v>5011</v>
      </c>
      <c r="AN104" s="243">
        <f t="shared" si="633"/>
        <v>5155</v>
      </c>
      <c r="AO104" s="243">
        <f t="shared" si="633"/>
        <v>4950</v>
      </c>
      <c r="AP104" s="243">
        <f t="shared" si="633"/>
        <v>5167</v>
      </c>
      <c r="AQ104" s="243">
        <f t="shared" si="633"/>
        <v>5320</v>
      </c>
      <c r="AR104" s="243">
        <f t="shared" si="633"/>
        <v>5418</v>
      </c>
      <c r="AS104" s="243">
        <f t="shared" si="633"/>
        <v>5248</v>
      </c>
      <c r="AT104" s="243">
        <f t="shared" si="633"/>
        <v>5750</v>
      </c>
      <c r="AU104" s="243">
        <f t="shared" si="633"/>
        <v>5701</v>
      </c>
      <c r="AV104" s="243">
        <f t="shared" si="633"/>
        <v>6074</v>
      </c>
      <c r="AW104" s="243">
        <f t="shared" si="633"/>
        <v>5709</v>
      </c>
      <c r="AX104" s="243">
        <f t="shared" si="633"/>
        <v>5642</v>
      </c>
      <c r="AY104" s="243">
        <f t="shared" si="633"/>
        <v>5535</v>
      </c>
      <c r="AZ104" s="243">
        <f t="shared" si="633"/>
        <v>5887</v>
      </c>
      <c r="BA104" s="243">
        <f t="shared" si="633"/>
        <v>5843</v>
      </c>
      <c r="BB104" s="243">
        <f t="shared" si="633"/>
        <v>6309</v>
      </c>
      <c r="BC104" s="243">
        <f t="shared" si="633"/>
        <v>6227</v>
      </c>
      <c r="BD104" s="243">
        <f t="shared" si="633"/>
        <v>6130</v>
      </c>
      <c r="BE104" s="243">
        <f t="shared" si="633"/>
        <v>5920</v>
      </c>
      <c r="BF104" s="243">
        <f t="shared" si="633"/>
        <v>6324</v>
      </c>
      <c r="BG104" s="243">
        <f t="shared" si="633"/>
        <v>7225</v>
      </c>
      <c r="BH104" s="243">
        <f t="shared" si="633"/>
        <v>6571</v>
      </c>
      <c r="BI104" s="243">
        <f t="shared" si="633"/>
        <v>8701</v>
      </c>
      <c r="BJ104" s="243">
        <f t="shared" si="633"/>
        <v>9059</v>
      </c>
      <c r="BK104" s="243"/>
      <c r="BL104" s="243"/>
      <c r="BM104" s="243"/>
      <c r="BN104" s="243"/>
      <c r="BO104" s="243"/>
      <c r="BP104" s="243"/>
      <c r="BQ104" s="243"/>
      <c r="BR104" s="243"/>
      <c r="BS104" s="243"/>
      <c r="BT104" s="243"/>
      <c r="BU104" s="243"/>
      <c r="BV104" s="243"/>
      <c r="BW104" s="243"/>
      <c r="BX104" s="243"/>
      <c r="BY104" s="243"/>
      <c r="BZ104" s="243"/>
      <c r="CA104" s="243"/>
      <c r="CB104" s="243"/>
      <c r="CC104" s="243"/>
      <c r="CD104" s="243"/>
      <c r="CE104" s="243"/>
      <c r="CF104" s="243"/>
      <c r="CG104" s="243"/>
      <c r="CH104" s="243"/>
      <c r="CI104" s="243"/>
      <c r="CJ104" s="243"/>
      <c r="CK104" s="243"/>
      <c r="CL104" s="243"/>
      <c r="CM104" s="243"/>
      <c r="CN104" s="243"/>
      <c r="CO104" s="243"/>
      <c r="CP104" s="243"/>
      <c r="CQ104" s="243"/>
      <c r="CR104" s="243"/>
      <c r="CS104" s="243"/>
      <c r="CT104" s="243"/>
      <c r="CU104" s="243"/>
      <c r="CV104" s="243"/>
      <c r="CW104" s="243"/>
      <c r="CX104" s="243"/>
      <c r="CY104" s="243"/>
      <c r="CZ104" s="243"/>
      <c r="DA104" s="243"/>
      <c r="DB104" s="243"/>
      <c r="DC104" s="243"/>
      <c r="DD104" s="243"/>
      <c r="DE104" s="243"/>
      <c r="DF104" s="243"/>
      <c r="DK104" s="243">
        <v>4633</v>
      </c>
      <c r="DL104" s="243">
        <v>4824</v>
      </c>
      <c r="DM104" s="243">
        <v>5325</v>
      </c>
      <c r="DN104" s="243">
        <v>6737</v>
      </c>
      <c r="DO104" s="243">
        <v>8068</v>
      </c>
      <c r="DP104" s="243">
        <v>8435</v>
      </c>
      <c r="DQ104" s="243">
        <v>8569</v>
      </c>
      <c r="DR104" s="243">
        <v>9913</v>
      </c>
      <c r="DS104" s="243">
        <v>10281</v>
      </c>
      <c r="DT104" s="243">
        <v>11191</v>
      </c>
      <c r="DU104" s="243">
        <f>SUM(DU45:DU54)</f>
        <v>12585</v>
      </c>
      <c r="DV104" s="243">
        <v>14914</v>
      </c>
      <c r="DW104" s="243">
        <f t="shared" ref="DW104:EI104" si="634">SUM(DW45:DW54)</f>
        <v>16887</v>
      </c>
      <c r="DX104" s="243">
        <f t="shared" si="634"/>
        <v>19096</v>
      </c>
      <c r="DY104" s="243">
        <f t="shared" si="634"/>
        <v>20283</v>
      </c>
      <c r="DZ104" s="243">
        <f t="shared" si="634"/>
        <v>21736</v>
      </c>
      <c r="EA104" s="243">
        <f t="shared" si="634"/>
        <v>23126</v>
      </c>
      <c r="EB104" s="243">
        <f t="shared" si="634"/>
        <v>23574</v>
      </c>
      <c r="EC104" s="243">
        <f t="shared" si="634"/>
        <v>24601</v>
      </c>
      <c r="ED104" s="243">
        <f t="shared" si="634"/>
        <v>25779</v>
      </c>
      <c r="EE104" s="243">
        <f t="shared" si="634"/>
        <v>27426</v>
      </c>
      <c r="EF104" s="243">
        <f t="shared" si="634"/>
        <v>28490</v>
      </c>
      <c r="EG104" s="243">
        <f t="shared" si="634"/>
        <v>28878.885000000002</v>
      </c>
      <c r="EH104" s="243">
        <f t="shared" si="634"/>
        <v>29278.314474999999</v>
      </c>
      <c r="EI104" s="243">
        <f t="shared" si="634"/>
        <v>29688.570665625008</v>
      </c>
      <c r="EJ104" s="243"/>
      <c r="EK104" s="243"/>
      <c r="EL104" s="243"/>
      <c r="EM104" s="243"/>
    </row>
    <row r="105" spans="2:153" ht="12.75" customHeight="1" x14ac:dyDescent="0.2">
      <c r="B105" t="s">
        <v>358</v>
      </c>
      <c r="W105" s="243">
        <v>662</v>
      </c>
      <c r="X105" s="243">
        <v>564</v>
      </c>
      <c r="Y105" s="243">
        <v>677</v>
      </c>
      <c r="Z105" s="243">
        <v>586</v>
      </c>
      <c r="AA105" s="243">
        <v>731</v>
      </c>
      <c r="AB105" s="243">
        <v>671</v>
      </c>
      <c r="AC105" s="243">
        <v>931</v>
      </c>
      <c r="AD105" s="243">
        <v>1037</v>
      </c>
      <c r="AE105" s="243">
        <v>1067</v>
      </c>
      <c r="AF105" s="243">
        <v>1055</v>
      </c>
      <c r="AG105" s="243">
        <v>1052</v>
      </c>
      <c r="AH105" s="243">
        <v>917</v>
      </c>
      <c r="AI105" s="243">
        <v>1488</v>
      </c>
      <c r="AJ105" s="243">
        <v>1409</v>
      </c>
      <c r="AK105" s="243">
        <v>1363</v>
      </c>
      <c r="AL105" s="243">
        <v>1153</v>
      </c>
      <c r="AM105" s="243">
        <f>2160-622</f>
        <v>1538</v>
      </c>
      <c r="AN105" s="243">
        <v>1340</v>
      </c>
      <c r="AO105" s="243"/>
      <c r="AP105" s="243"/>
      <c r="AQ105" s="243"/>
      <c r="AR105" s="243"/>
      <c r="AS105" s="243"/>
      <c r="AT105" s="243"/>
      <c r="AU105" s="243"/>
      <c r="AV105" s="243"/>
      <c r="AW105" s="243"/>
      <c r="AX105" s="243"/>
      <c r="BC105" s="243">
        <v>3702</v>
      </c>
      <c r="DK105" s="243">
        <v>598</v>
      </c>
      <c r="DL105" s="243">
        <v>655</v>
      </c>
      <c r="DM105" s="243">
        <v>843</v>
      </c>
      <c r="DN105" s="243">
        <v>1203</v>
      </c>
      <c r="DO105" s="243">
        <v>1416</v>
      </c>
      <c r="DP105" s="243">
        <v>1550</v>
      </c>
      <c r="DQ105" s="243">
        <v>1409</v>
      </c>
      <c r="DR105" s="243">
        <v>1632</v>
      </c>
      <c r="DS105" s="243">
        <v>1696</v>
      </c>
      <c r="DT105" s="243">
        <v>2001</v>
      </c>
      <c r="DU105" s="243">
        <v>2489</v>
      </c>
      <c r="DV105" s="243">
        <v>3370</v>
      </c>
      <c r="DW105" s="243">
        <v>4091</v>
      </c>
      <c r="DX105" s="243">
        <v>5418</v>
      </c>
      <c r="DY105" s="243"/>
      <c r="DZ105" s="243"/>
      <c r="EA105" s="243"/>
      <c r="EB105" s="243"/>
      <c r="EC105" s="243"/>
      <c r="ED105" s="243"/>
      <c r="EE105" s="243"/>
      <c r="EF105" s="243"/>
      <c r="EG105" s="243"/>
      <c r="EH105" s="243"/>
      <c r="EI105" s="243"/>
      <c r="EJ105" s="243"/>
      <c r="EK105" s="243"/>
      <c r="EL105" s="243"/>
      <c r="EM105" s="243"/>
    </row>
    <row r="106" spans="2:153" ht="12.75" customHeight="1" x14ac:dyDescent="0.2">
      <c r="B106" t="s">
        <v>359</v>
      </c>
      <c r="W106" s="294">
        <f t="shared" ref="W106:AN106" si="635">W105/W104</f>
        <v>0.22379986477349562</v>
      </c>
      <c r="X106" s="294">
        <f t="shared" si="635"/>
        <v>0.17814276689829439</v>
      </c>
      <c r="Y106" s="294">
        <f t="shared" si="635"/>
        <v>0.21553645335880292</v>
      </c>
      <c r="Z106" s="294">
        <f t="shared" si="635"/>
        <v>0.17661241711874623</v>
      </c>
      <c r="AA106" s="294">
        <f t="shared" si="635"/>
        <v>0.21730083234244946</v>
      </c>
      <c r="AB106" s="294">
        <f t="shared" si="635"/>
        <v>0.18489942132818959</v>
      </c>
      <c r="AC106" s="294">
        <f t="shared" si="635"/>
        <v>0.2463614712887007</v>
      </c>
      <c r="AD106" s="294">
        <f t="shared" si="635"/>
        <v>0.25042260323593335</v>
      </c>
      <c r="AE106" s="294">
        <f t="shared" si="635"/>
        <v>0.25797872340425532</v>
      </c>
      <c r="AF106" s="294">
        <f t="shared" si="635"/>
        <v>0.26004436775942813</v>
      </c>
      <c r="AG106" s="294">
        <f t="shared" si="635"/>
        <v>0.26013847675568746</v>
      </c>
      <c r="AH106" s="294">
        <f t="shared" si="635"/>
        <v>0.19720430107526882</v>
      </c>
      <c r="AI106" s="294">
        <f t="shared" si="635"/>
        <v>0.31019387116948094</v>
      </c>
      <c r="AJ106" s="294">
        <f t="shared" si="635"/>
        <v>0.29015650741350907</v>
      </c>
      <c r="AK106" s="294">
        <f t="shared" si="635"/>
        <v>0.29489398528775423</v>
      </c>
      <c r="AL106" s="294">
        <f t="shared" si="635"/>
        <v>0.2391619995851483</v>
      </c>
      <c r="AM106" s="294">
        <f t="shared" si="635"/>
        <v>0.30692476551586512</v>
      </c>
      <c r="AN106" s="294">
        <f t="shared" si="635"/>
        <v>0.25994180407371487</v>
      </c>
      <c r="AO106" s="243"/>
      <c r="AP106" s="243"/>
      <c r="AQ106" s="243"/>
      <c r="AR106" s="243"/>
      <c r="AS106" s="243"/>
      <c r="AT106" s="243"/>
      <c r="AU106" s="243"/>
      <c r="AV106" s="243"/>
      <c r="AW106" s="243"/>
      <c r="AX106" s="243"/>
      <c r="BC106" s="294">
        <f>+BC105/BC104</f>
        <v>0.59450778866227716</v>
      </c>
      <c r="DK106" s="294">
        <f t="shared" ref="DK106:DX106" si="636">DK105/DK104</f>
        <v>0.12907403410317289</v>
      </c>
      <c r="DL106" s="294">
        <f t="shared" si="636"/>
        <v>0.13577943615257049</v>
      </c>
      <c r="DM106" s="294">
        <f t="shared" si="636"/>
        <v>0.15830985915492957</v>
      </c>
      <c r="DN106" s="294">
        <f t="shared" si="636"/>
        <v>0.17856612735639008</v>
      </c>
      <c r="DO106" s="294">
        <f t="shared" si="636"/>
        <v>0.17550818046603867</v>
      </c>
      <c r="DP106" s="294">
        <f t="shared" si="636"/>
        <v>0.18375815056312983</v>
      </c>
      <c r="DQ106" s="294">
        <f t="shared" si="636"/>
        <v>0.16442992181117982</v>
      </c>
      <c r="DR106" s="294">
        <f t="shared" si="636"/>
        <v>0.16463230101886411</v>
      </c>
      <c r="DS106" s="294">
        <f t="shared" si="636"/>
        <v>0.16496449761696333</v>
      </c>
      <c r="DT106" s="294">
        <f t="shared" si="636"/>
        <v>0.17880439638995621</v>
      </c>
      <c r="DU106" s="294">
        <f t="shared" si="636"/>
        <v>0.19777512912197059</v>
      </c>
      <c r="DV106" s="294">
        <f t="shared" si="636"/>
        <v>0.22596218318358588</v>
      </c>
      <c r="DW106" s="294">
        <f t="shared" si="636"/>
        <v>0.24225735773079884</v>
      </c>
      <c r="DX106" s="294">
        <f t="shared" si="636"/>
        <v>0.2837243401759531</v>
      </c>
      <c r="DY106" s="243"/>
      <c r="DZ106" s="243"/>
      <c r="EA106" s="243"/>
      <c r="EB106" s="243"/>
      <c r="EC106" s="243"/>
      <c r="ED106" s="243"/>
      <c r="EE106" s="243"/>
      <c r="EF106" s="243"/>
      <c r="EG106" s="243"/>
      <c r="EH106" s="243"/>
      <c r="EI106" s="243"/>
      <c r="EJ106" s="243"/>
      <c r="EK106" s="243"/>
      <c r="EL106" s="243"/>
      <c r="EM106" s="243"/>
    </row>
    <row r="107" spans="2:153" ht="12.75" customHeight="1" x14ac:dyDescent="0.2">
      <c r="B107" t="s">
        <v>360</v>
      </c>
      <c r="Z107" s="294">
        <f t="shared" ref="Z107:BJ107" si="637">Z104/Z56</f>
        <v>0.35286610656173562</v>
      </c>
      <c r="AA107" s="294">
        <f t="shared" si="637"/>
        <v>0.34249643657096313</v>
      </c>
      <c r="AB107" s="294">
        <f t="shared" si="637"/>
        <v>0.35123886953155248</v>
      </c>
      <c r="AC107" s="294">
        <f t="shared" si="637"/>
        <v>0.3614884254830687</v>
      </c>
      <c r="AD107" s="294">
        <f t="shared" si="637"/>
        <v>0.36359645271753449</v>
      </c>
      <c r="AE107" s="294">
        <f t="shared" si="637"/>
        <v>0.34512683578104136</v>
      </c>
      <c r="AF107" s="294">
        <f t="shared" si="637"/>
        <v>0.34115371678439288</v>
      </c>
      <c r="AG107" s="294">
        <f t="shared" si="637"/>
        <v>0.35003895092183851</v>
      </c>
      <c r="AH107" s="294">
        <f t="shared" si="637"/>
        <v>0.36464868255959848</v>
      </c>
      <c r="AI107" s="294">
        <f t="shared" si="637"/>
        <v>0.37383104738154616</v>
      </c>
      <c r="AJ107" s="294">
        <f t="shared" si="637"/>
        <v>0.38050462309982763</v>
      </c>
      <c r="AK107" s="294">
        <f t="shared" si="637"/>
        <v>0.37546709991876526</v>
      </c>
      <c r="AL107" s="294">
        <f t="shared" si="637"/>
        <v>0.38231562252180806</v>
      </c>
      <c r="AM107" s="294">
        <f t="shared" si="637"/>
        <v>0.38569889162561577</v>
      </c>
      <c r="AN107" s="294">
        <f t="shared" si="637"/>
        <v>0.38576666916111652</v>
      </c>
      <c r="AO107" s="294">
        <f t="shared" si="637"/>
        <v>0.37254459245879429</v>
      </c>
      <c r="AP107" s="294">
        <f t="shared" si="637"/>
        <v>0.37764946645227304</v>
      </c>
      <c r="AQ107" s="294">
        <f t="shared" si="637"/>
        <v>0.35262146218598794</v>
      </c>
      <c r="AR107" s="294">
        <f t="shared" si="637"/>
        <v>0.35781270637960638</v>
      </c>
      <c r="AS107" s="294">
        <f t="shared" si="637"/>
        <v>0.34970347171320049</v>
      </c>
      <c r="AT107" s="294">
        <f t="shared" si="637"/>
        <v>0.36034342294917593</v>
      </c>
      <c r="AU107" s="294">
        <f t="shared" si="637"/>
        <v>0.3520439669013215</v>
      </c>
      <c r="AV107" s="294">
        <f t="shared" si="637"/>
        <v>0.36924012158054709</v>
      </c>
      <c r="AW107" s="294">
        <f t="shared" si="637"/>
        <v>0.35858300358017714</v>
      </c>
      <c r="AX107" s="294">
        <f t="shared" si="637"/>
        <v>0.37162429192464763</v>
      </c>
      <c r="AY107" s="294">
        <f t="shared" si="637"/>
        <v>0.36836150672168244</v>
      </c>
      <c r="AZ107" s="294">
        <f t="shared" si="637"/>
        <v>0.38631143775838311</v>
      </c>
      <c r="BA107" s="294">
        <f t="shared" si="637"/>
        <v>0.38744115111729993</v>
      </c>
      <c r="BB107" s="294">
        <f t="shared" si="637"/>
        <v>0.38118542686242524</v>
      </c>
      <c r="BC107" s="294">
        <f t="shared" si="637"/>
        <v>0.39837502399078756</v>
      </c>
      <c r="BD107" s="294">
        <f t="shared" si="637"/>
        <v>0.3983364741048801</v>
      </c>
      <c r="BE107" s="294">
        <f t="shared" si="637"/>
        <v>0.39514083566947</v>
      </c>
      <c r="BF107" s="294">
        <f t="shared" si="637"/>
        <v>0.40424443876246485</v>
      </c>
      <c r="BG107" s="294">
        <f t="shared" si="637"/>
        <v>0.42585170340681361</v>
      </c>
      <c r="BH107" s="294">
        <f t="shared" si="637"/>
        <v>0.39591492438392478</v>
      </c>
      <c r="BI107" s="294">
        <f t="shared" si="637"/>
        <v>0.54364261168384875</v>
      </c>
      <c r="BJ107" s="294">
        <f t="shared" si="637"/>
        <v>0.48132405291961106</v>
      </c>
      <c r="BK107" s="294"/>
      <c r="BL107" s="294"/>
      <c r="BM107" s="294"/>
      <c r="BN107" s="294"/>
      <c r="BO107" s="294"/>
      <c r="BP107" s="294"/>
      <c r="BQ107" s="294"/>
      <c r="BR107" s="294"/>
      <c r="BS107" s="294"/>
      <c r="BT107" s="294"/>
      <c r="BU107" s="294"/>
      <c r="BV107" s="294"/>
      <c r="BW107" s="294"/>
      <c r="BX107" s="294"/>
      <c r="BY107" s="294"/>
      <c r="BZ107" s="294"/>
      <c r="CA107" s="294"/>
      <c r="CB107" s="294"/>
      <c r="CC107" s="294"/>
      <c r="CD107" s="294"/>
      <c r="CE107" s="294"/>
      <c r="CF107" s="294"/>
      <c r="CG107" s="294"/>
      <c r="CH107" s="294"/>
      <c r="CI107" s="294"/>
      <c r="CJ107" s="294"/>
      <c r="CK107" s="294"/>
      <c r="CL107" s="294"/>
      <c r="CM107" s="294"/>
      <c r="CN107" s="294"/>
      <c r="CO107" s="294"/>
      <c r="CP107" s="294"/>
      <c r="CQ107" s="294"/>
      <c r="CR107" s="294"/>
      <c r="CS107" s="294"/>
      <c r="CT107" s="294"/>
      <c r="CU107" s="294"/>
      <c r="CV107" s="294"/>
      <c r="CW107" s="294"/>
      <c r="CX107" s="294"/>
      <c r="CY107" s="294"/>
      <c r="CZ107" s="294"/>
      <c r="DA107" s="294"/>
      <c r="DB107" s="294"/>
      <c r="DC107" s="294"/>
      <c r="DD107" s="294"/>
      <c r="DE107" s="294"/>
      <c r="DF107" s="294"/>
      <c r="DK107" s="294">
        <f t="shared" ref="DK107:EH107" si="638">DK104/DK56</f>
        <v>0.33687195520977242</v>
      </c>
      <c r="DL107" s="294">
        <f t="shared" si="638"/>
        <v>0.34120809166784555</v>
      </c>
      <c r="DM107" s="294">
        <f t="shared" si="638"/>
        <v>0.3384390491928308</v>
      </c>
      <c r="DN107" s="294">
        <f t="shared" si="638"/>
        <v>0.35755227682836216</v>
      </c>
      <c r="DO107" s="294">
        <f t="shared" si="638"/>
        <v>0.37317298797409804</v>
      </c>
      <c r="DP107" s="294">
        <f t="shared" si="638"/>
        <v>0.37275177869106013</v>
      </c>
      <c r="DQ107" s="294">
        <f t="shared" si="638"/>
        <v>0.36221837088388215</v>
      </c>
      <c r="DR107" s="294">
        <f t="shared" si="638"/>
        <v>0.36085326344144736</v>
      </c>
      <c r="DS107" s="294">
        <f t="shared" si="638"/>
        <v>0.35282610933800063</v>
      </c>
      <c r="DT107" s="294">
        <f t="shared" si="638"/>
        <v>0.33908011150163614</v>
      </c>
      <c r="DU107" s="294">
        <f t="shared" si="638"/>
        <v>0.34094695748525544</v>
      </c>
      <c r="DV107" s="294">
        <f t="shared" si="638"/>
        <v>0.35203255486788748</v>
      </c>
      <c r="DW107" s="294">
        <f t="shared" si="638"/>
        <v>0.35095704220961405</v>
      </c>
      <c r="DX107" s="294">
        <f t="shared" si="638"/>
        <v>0.38579336538850056</v>
      </c>
      <c r="DY107" s="294">
        <f t="shared" si="638"/>
        <v>0.38037281524266747</v>
      </c>
      <c r="DZ107" s="294">
        <f t="shared" si="638"/>
        <v>0.35577379490956706</v>
      </c>
      <c r="EA107" s="294">
        <f t="shared" si="638"/>
        <v>0.36277785621284137</v>
      </c>
      <c r="EB107" s="294">
        <f t="shared" si="638"/>
        <v>0.38085852303019535</v>
      </c>
      <c r="EC107" s="294">
        <f t="shared" si="638"/>
        <v>0.4003091693108779</v>
      </c>
      <c r="ED107" s="294">
        <f t="shared" si="638"/>
        <v>0.39641703829002001</v>
      </c>
      <c r="EE107" s="294">
        <f t="shared" si="638"/>
        <v>0.40482973415797008</v>
      </c>
      <c r="EF107" s="294">
        <f t="shared" si="638"/>
        <v>0.39951200358985867</v>
      </c>
      <c r="EG107" s="294">
        <f t="shared" si="638"/>
        <v>0.37874625558870667</v>
      </c>
      <c r="EH107" s="294">
        <f t="shared" si="638"/>
        <v>0.38021387820999236</v>
      </c>
      <c r="EI107" s="294"/>
      <c r="EJ107" s="294"/>
      <c r="EK107" s="294"/>
      <c r="EL107" s="294"/>
      <c r="EM107" s="294"/>
    </row>
    <row r="108" spans="2:153" ht="12.75" customHeight="1" x14ac:dyDescent="0.2">
      <c r="B108" t="s">
        <v>361</v>
      </c>
      <c r="AE108" s="243"/>
      <c r="AF108" s="243"/>
      <c r="AG108" s="243"/>
      <c r="AH108" s="288"/>
      <c r="AI108" s="288"/>
      <c r="AJ108" s="288">
        <f t="shared" ref="AJ108:BD108" si="639">AJ104/AF104-1</f>
        <v>0.19694355435050537</v>
      </c>
      <c r="AK108" s="288">
        <f t="shared" si="639"/>
        <v>0.14292779426310576</v>
      </c>
      <c r="AL108" s="288">
        <f t="shared" si="639"/>
        <v>3.677419354838718E-2</v>
      </c>
      <c r="AM108" s="288">
        <f t="shared" si="639"/>
        <v>4.4611215342922561E-2</v>
      </c>
      <c r="AN108" s="288">
        <f t="shared" si="639"/>
        <v>6.1573311367380645E-2</v>
      </c>
      <c r="AO108" s="288">
        <f t="shared" si="639"/>
        <v>7.0964950237992319E-2</v>
      </c>
      <c r="AP108" s="288">
        <f t="shared" si="639"/>
        <v>7.1769342460070495E-2</v>
      </c>
      <c r="AQ108" s="288">
        <f t="shared" si="639"/>
        <v>6.1664338455398093E-2</v>
      </c>
      <c r="AR108" s="288">
        <f t="shared" si="639"/>
        <v>5.1018428709990404E-2</v>
      </c>
      <c r="AS108" s="288">
        <f t="shared" si="639"/>
        <v>6.0202020202020146E-2</v>
      </c>
      <c r="AT108" s="288">
        <f t="shared" si="639"/>
        <v>0.11283143023030773</v>
      </c>
      <c r="AU108" s="288">
        <f t="shared" si="639"/>
        <v>7.1616541353383356E-2</v>
      </c>
      <c r="AV108" s="288">
        <f t="shared" si="639"/>
        <v>0.12107788851974899</v>
      </c>
      <c r="AW108" s="288">
        <f t="shared" si="639"/>
        <v>8.7842987804878092E-2</v>
      </c>
      <c r="AX108" s="288">
        <f t="shared" si="639"/>
        <v>-1.8782608695652181E-2</v>
      </c>
      <c r="AY108" s="288">
        <f t="shared" si="639"/>
        <v>-2.9117698649359758E-2</v>
      </c>
      <c r="AZ108" s="288">
        <f t="shared" si="639"/>
        <v>-3.0786960816595377E-2</v>
      </c>
      <c r="BA108" s="288">
        <f t="shared" si="639"/>
        <v>2.3471711332982981E-2</v>
      </c>
      <c r="BB108" s="288">
        <f t="shared" si="639"/>
        <v>0.11822048918823103</v>
      </c>
      <c r="BC108" s="288">
        <f t="shared" si="639"/>
        <v>0.12502258355916895</v>
      </c>
      <c r="BD108" s="288">
        <f t="shared" si="639"/>
        <v>4.1277390861219621E-2</v>
      </c>
      <c r="BE108" s="288">
        <f t="shared" ref="BE108" si="640">BE104/BA104-1</f>
        <v>1.3178161903131924E-2</v>
      </c>
      <c r="BF108" s="288">
        <f t="shared" ref="BF108" si="641">BF104/BB104-1</f>
        <v>2.377555872562942E-3</v>
      </c>
      <c r="BG108" s="288">
        <f t="shared" ref="BG108" si="642">BG104/BC104-1</f>
        <v>0.16026979283764242</v>
      </c>
      <c r="BH108" s="288">
        <f t="shared" ref="BH108" si="643">BH104/BD104-1</f>
        <v>7.1941272430668946E-2</v>
      </c>
      <c r="BI108" s="288">
        <f t="shared" ref="BI108" si="644">BI104/BE104-1</f>
        <v>0.46976351351351342</v>
      </c>
      <c r="BJ108" s="288">
        <f t="shared" ref="BJ108" si="645">BJ104/BF104-1</f>
        <v>0.43247944339025923</v>
      </c>
      <c r="BK108" s="288"/>
      <c r="BL108" s="288"/>
      <c r="BM108" s="288"/>
      <c r="BN108" s="288"/>
      <c r="BO108" s="288"/>
      <c r="BP108" s="288"/>
      <c r="BQ108" s="288"/>
      <c r="BR108" s="288"/>
      <c r="BS108" s="288"/>
      <c r="BT108" s="288"/>
      <c r="BU108" s="288"/>
      <c r="BV108" s="288"/>
      <c r="BW108" s="288"/>
      <c r="BX108" s="288"/>
      <c r="BY108" s="288"/>
      <c r="BZ108" s="288"/>
      <c r="CA108" s="288"/>
      <c r="CB108" s="288"/>
      <c r="CC108" s="288"/>
      <c r="CD108" s="288"/>
      <c r="CE108" s="288"/>
      <c r="CF108" s="288"/>
      <c r="CG108" s="288"/>
      <c r="CH108" s="288"/>
      <c r="CI108" s="288"/>
      <c r="CJ108" s="288"/>
      <c r="CK108" s="288"/>
      <c r="CL108" s="288"/>
      <c r="CM108" s="288"/>
      <c r="CN108" s="288"/>
      <c r="CO108" s="288"/>
      <c r="CP108" s="288"/>
      <c r="CQ108" s="288"/>
      <c r="CR108" s="288"/>
      <c r="CS108" s="288"/>
      <c r="CT108" s="288"/>
      <c r="CU108" s="288"/>
      <c r="CV108" s="288"/>
      <c r="CW108" s="288"/>
      <c r="CX108" s="288"/>
      <c r="CY108" s="288"/>
      <c r="CZ108" s="288"/>
      <c r="DA108" s="288"/>
      <c r="DB108" s="288"/>
      <c r="DC108" s="288"/>
      <c r="DD108" s="288"/>
      <c r="DE108" s="288"/>
      <c r="DF108" s="288"/>
      <c r="DY108" s="288">
        <f>DY104/DX104-1</f>
        <v>6.2159614578969347E-2</v>
      </c>
      <c r="DZ108" s="288">
        <f t="shared" ref="DZ108:EA108" si="646">DZ104/DY104-1</f>
        <v>7.1636345708228522E-2</v>
      </c>
      <c r="EA108" s="288">
        <f t="shared" si="646"/>
        <v>6.3949208686050696E-2</v>
      </c>
      <c r="EB108" s="288">
        <f>EB104/EA104-1</f>
        <v>1.9372135259015932E-2</v>
      </c>
      <c r="EC108" s="243"/>
      <c r="ED108" s="243"/>
      <c r="EE108" s="243"/>
      <c r="EF108" s="243"/>
      <c r="EG108" s="243"/>
      <c r="EH108" s="243"/>
      <c r="EI108" s="243"/>
      <c r="EJ108" s="243"/>
      <c r="EK108" s="243"/>
      <c r="EL108" s="243"/>
      <c r="EM108" s="243"/>
    </row>
    <row r="109" spans="2:153" ht="12.75" customHeight="1" x14ac:dyDescent="0.2">
      <c r="B109" t="s">
        <v>362</v>
      </c>
      <c r="AE109" s="243"/>
      <c r="AF109" s="243"/>
      <c r="AG109" s="243"/>
      <c r="AH109" s="243"/>
      <c r="AI109" s="294"/>
      <c r="AJ109" s="243"/>
      <c r="AK109" s="243"/>
      <c r="AL109" s="243"/>
      <c r="AM109" s="294"/>
      <c r="AN109" s="243"/>
      <c r="AO109" s="288">
        <v>6.0999999999999999E-2</v>
      </c>
      <c r="AP109" s="243"/>
      <c r="AQ109" s="243"/>
      <c r="AR109" s="243"/>
      <c r="AS109" s="243"/>
      <c r="AT109" s="243"/>
      <c r="AU109" s="243"/>
      <c r="AV109" s="288">
        <v>5.7000000000000002E-2</v>
      </c>
      <c r="AW109" s="243"/>
      <c r="AX109" s="243"/>
      <c r="AY109" s="288">
        <v>3.1E-2</v>
      </c>
      <c r="AZ109" s="288">
        <v>2.9000000000000001E-2</v>
      </c>
      <c r="BD109" s="288">
        <v>3.5000000000000003E-2</v>
      </c>
      <c r="BG109" s="288">
        <v>1.2999999999999999E-2</v>
      </c>
      <c r="BI109" s="288">
        <v>1.7000000000000001E-2</v>
      </c>
      <c r="DY109" s="288">
        <v>6.4000000000000001E-2</v>
      </c>
      <c r="DZ109" s="243"/>
      <c r="EA109" s="243"/>
      <c r="EB109" s="288">
        <v>4.2000000000000003E-2</v>
      </c>
      <c r="EC109" s="243"/>
      <c r="ED109" s="243"/>
      <c r="EE109" s="243"/>
      <c r="EF109" s="243"/>
      <c r="EG109" s="243"/>
      <c r="EH109" s="243"/>
      <c r="EI109" s="243"/>
      <c r="EJ109" s="243"/>
      <c r="EK109" s="243"/>
      <c r="EL109" s="243"/>
      <c r="EM109" s="243"/>
    </row>
    <row r="110" spans="2:153" ht="12.75" customHeight="1" x14ac:dyDescent="0.2">
      <c r="B110" t="s">
        <v>1197</v>
      </c>
      <c r="AE110" s="243"/>
      <c r="AF110" s="243"/>
      <c r="AG110" s="243"/>
      <c r="AH110" s="243"/>
      <c r="AI110" s="294"/>
      <c r="AJ110" s="243"/>
      <c r="AK110" s="243"/>
      <c r="AL110" s="243"/>
      <c r="AM110" s="294"/>
      <c r="AN110" s="243"/>
      <c r="AO110" s="288"/>
      <c r="AP110" s="243"/>
      <c r="AQ110" s="243"/>
      <c r="AR110" s="243"/>
      <c r="AS110" s="243"/>
      <c r="AT110" s="243"/>
      <c r="AU110" s="243"/>
      <c r="AV110" s="288"/>
      <c r="AW110" s="243"/>
      <c r="AX110" s="243"/>
      <c r="AY110" s="288"/>
      <c r="AZ110" s="288">
        <f>AZ108-AZ109</f>
        <v>-5.9786960816595375E-2</v>
      </c>
      <c r="BD110" s="288">
        <f>BD108-BD109</f>
        <v>6.2773908612196172E-3</v>
      </c>
      <c r="BG110" s="288">
        <v>0.02</v>
      </c>
      <c r="BI110" s="288">
        <v>4.3999999999999997E-2</v>
      </c>
      <c r="DY110" s="288"/>
      <c r="DZ110" s="243"/>
      <c r="EA110" s="243"/>
      <c r="EB110" s="288">
        <f>EB108-EB109</f>
        <v>-2.262786474098407E-2</v>
      </c>
      <c r="EC110" s="243"/>
      <c r="ED110" s="243"/>
      <c r="EE110" s="243"/>
      <c r="EF110" s="243"/>
      <c r="EG110" s="243"/>
      <c r="EH110" s="243"/>
      <c r="EI110" s="243"/>
      <c r="EJ110" s="243"/>
      <c r="EK110" s="243"/>
      <c r="EL110" s="243"/>
      <c r="EM110" s="243"/>
    </row>
    <row r="111" spans="2:153" ht="12.75" customHeight="1" x14ac:dyDescent="0.2">
      <c r="B111" t="s">
        <v>233</v>
      </c>
      <c r="K111" s="247">
        <v>1728</v>
      </c>
      <c r="L111" s="247">
        <v>1687</v>
      </c>
      <c r="M111" s="247">
        <v>1704</v>
      </c>
      <c r="N111" s="247">
        <v>1744</v>
      </c>
      <c r="O111" s="247">
        <v>1752</v>
      </c>
      <c r="P111" s="247">
        <v>1707</v>
      </c>
      <c r="Q111" s="247">
        <v>1722</v>
      </c>
      <c r="R111" s="247">
        <v>1723</v>
      </c>
      <c r="S111" s="243">
        <f t="shared" ref="S111:AN111" si="647">S233</f>
        <v>1631</v>
      </c>
      <c r="T111" s="243">
        <f t="shared" si="647"/>
        <v>1530</v>
      </c>
      <c r="U111" s="243">
        <f t="shared" si="647"/>
        <v>1609</v>
      </c>
      <c r="V111" s="243">
        <f t="shared" si="647"/>
        <v>1550</v>
      </c>
      <c r="W111" s="243">
        <f t="shared" si="647"/>
        <v>1604</v>
      </c>
      <c r="X111" s="243">
        <f t="shared" si="647"/>
        <v>1649</v>
      </c>
      <c r="Y111" s="243">
        <f t="shared" si="647"/>
        <v>1661</v>
      </c>
      <c r="Z111" s="243">
        <f t="shared" si="647"/>
        <v>1650</v>
      </c>
      <c r="AA111" s="243">
        <f t="shared" si="647"/>
        <v>1791</v>
      </c>
      <c r="AB111" s="243">
        <f t="shared" si="647"/>
        <v>1819</v>
      </c>
      <c r="AC111" s="243">
        <f t="shared" si="647"/>
        <v>1841</v>
      </c>
      <c r="AD111" s="243">
        <f t="shared" si="647"/>
        <v>1979</v>
      </c>
      <c r="AE111" s="243">
        <f t="shared" si="647"/>
        <v>2047</v>
      </c>
      <c r="AF111" s="243">
        <f t="shared" si="647"/>
        <v>2000</v>
      </c>
      <c r="AG111" s="243">
        <f t="shared" si="647"/>
        <v>2024</v>
      </c>
      <c r="AH111" s="243">
        <f t="shared" si="647"/>
        <v>2262</v>
      </c>
      <c r="AI111" s="243">
        <f t="shared" si="647"/>
        <v>2280</v>
      </c>
      <c r="AJ111" s="243">
        <f t="shared" si="647"/>
        <v>2278</v>
      </c>
      <c r="AK111" s="243">
        <f t="shared" si="647"/>
        <v>2231</v>
      </c>
      <c r="AL111" s="243">
        <f t="shared" si="647"/>
        <v>2307</v>
      </c>
      <c r="AM111" s="243">
        <f t="shared" si="647"/>
        <v>2355</v>
      </c>
      <c r="AN111" s="243">
        <f t="shared" si="647"/>
        <v>2398</v>
      </c>
      <c r="AO111" s="243">
        <f t="shared" ref="AO111:BJ111" si="648">AO55</f>
        <v>2456</v>
      </c>
      <c r="AP111" s="243">
        <f t="shared" si="648"/>
        <v>2565</v>
      </c>
      <c r="AQ111" s="243">
        <f t="shared" si="648"/>
        <v>3496</v>
      </c>
      <c r="AR111" s="243">
        <f t="shared" si="648"/>
        <v>3564</v>
      </c>
      <c r="AS111" s="243">
        <f t="shared" si="648"/>
        <v>3623</v>
      </c>
      <c r="AT111" s="243">
        <f t="shared" si="648"/>
        <v>3810</v>
      </c>
      <c r="AU111" s="243">
        <f t="shared" si="648"/>
        <v>4064</v>
      </c>
      <c r="AV111" s="243">
        <f t="shared" si="648"/>
        <v>4036</v>
      </c>
      <c r="AW111" s="243">
        <f t="shared" si="648"/>
        <v>4099</v>
      </c>
      <c r="AX111" s="243">
        <f t="shared" si="648"/>
        <v>3855</v>
      </c>
      <c r="AY111" s="243">
        <f t="shared" si="648"/>
        <v>3711</v>
      </c>
      <c r="AZ111" s="243">
        <f t="shared" si="648"/>
        <v>3854</v>
      </c>
      <c r="BA111" s="243">
        <f t="shared" si="648"/>
        <v>3989</v>
      </c>
      <c r="BB111" s="243">
        <f t="shared" si="648"/>
        <v>4249</v>
      </c>
      <c r="BC111" s="243">
        <f t="shared" si="648"/>
        <v>3766</v>
      </c>
      <c r="BD111" s="243">
        <f t="shared" si="648"/>
        <v>3647</v>
      </c>
      <c r="BE111" s="243">
        <f t="shared" si="648"/>
        <v>3567</v>
      </c>
      <c r="BF111" s="243">
        <f t="shared" si="648"/>
        <v>3610</v>
      </c>
      <c r="BG111" s="243">
        <f t="shared" si="648"/>
        <v>3682</v>
      </c>
      <c r="BH111" s="243">
        <f t="shared" si="648"/>
        <v>3793</v>
      </c>
      <c r="BI111" s="243">
        <f t="shared" si="648"/>
        <v>3740</v>
      </c>
      <c r="BJ111" s="243">
        <f t="shared" si="648"/>
        <v>3668</v>
      </c>
      <c r="BK111" s="243"/>
      <c r="BL111" s="243"/>
      <c r="BM111" s="243"/>
      <c r="BN111" s="243"/>
      <c r="BO111" s="243"/>
      <c r="BP111" s="243"/>
      <c r="BQ111" s="243"/>
      <c r="BR111" s="243"/>
      <c r="BS111" s="243"/>
      <c r="BT111" s="243"/>
      <c r="BU111" s="243"/>
      <c r="BV111" s="243"/>
      <c r="BW111" s="243"/>
      <c r="BX111" s="243"/>
      <c r="BY111" s="243"/>
      <c r="BZ111" s="243"/>
      <c r="CA111" s="243"/>
      <c r="CB111" s="243"/>
      <c r="CC111" s="243"/>
      <c r="CD111" s="243"/>
      <c r="CE111" s="243"/>
      <c r="CF111" s="243"/>
      <c r="CG111" s="243"/>
      <c r="CH111" s="243"/>
      <c r="CI111" s="243"/>
      <c r="CJ111" s="243"/>
      <c r="CK111" s="243"/>
      <c r="CL111" s="243"/>
      <c r="CM111" s="243"/>
      <c r="CN111" s="243"/>
      <c r="CO111" s="243"/>
      <c r="CP111" s="243"/>
      <c r="CQ111" s="243"/>
      <c r="CR111" s="243"/>
      <c r="CS111" s="243"/>
      <c r="CT111" s="243"/>
      <c r="CU111" s="243"/>
      <c r="CV111" s="243"/>
      <c r="CW111" s="243"/>
      <c r="CX111" s="243"/>
      <c r="CY111" s="243"/>
      <c r="CZ111" s="243"/>
      <c r="DA111" s="243"/>
      <c r="DB111" s="243"/>
      <c r="DC111" s="243"/>
      <c r="DD111" s="243"/>
      <c r="DE111" s="243"/>
      <c r="DF111" s="243"/>
      <c r="DK111" s="243">
        <v>4780</v>
      </c>
      <c r="DL111" s="243">
        <v>4824</v>
      </c>
      <c r="DM111" s="243">
        <v>5251</v>
      </c>
      <c r="DN111" s="243">
        <v>5831</v>
      </c>
      <c r="DO111" s="243">
        <v>6364</v>
      </c>
      <c r="DP111" s="243">
        <v>6498</v>
      </c>
      <c r="DQ111" s="243">
        <v>6526</v>
      </c>
      <c r="DR111" s="243">
        <v>6864</v>
      </c>
      <c r="DS111" s="243">
        <v>6904</v>
      </c>
      <c r="DT111" s="243">
        <v>6962</v>
      </c>
      <c r="DU111" s="243">
        <v>6564</v>
      </c>
      <c r="DV111" s="243">
        <v>7431</v>
      </c>
      <c r="DW111" s="243">
        <v>8333</v>
      </c>
      <c r="DX111" s="243">
        <f t="shared" ref="DX111:EI111" si="649">DX55</f>
        <v>9096</v>
      </c>
      <c r="DY111" s="243">
        <f t="shared" si="649"/>
        <v>9774</v>
      </c>
      <c r="DZ111" s="243">
        <f t="shared" si="649"/>
        <v>14493</v>
      </c>
      <c r="EA111" s="243">
        <f t="shared" si="649"/>
        <v>16054</v>
      </c>
      <c r="EB111" s="243">
        <f t="shared" si="649"/>
        <v>15803</v>
      </c>
      <c r="EC111" s="243">
        <f t="shared" si="649"/>
        <v>14590</v>
      </c>
      <c r="ED111" s="243">
        <f t="shared" si="649"/>
        <v>14883</v>
      </c>
      <c r="EE111" s="243">
        <f t="shared" si="649"/>
        <v>14447</v>
      </c>
      <c r="EF111" s="243">
        <f t="shared" si="649"/>
        <v>14697</v>
      </c>
      <c r="EG111" s="243">
        <f t="shared" si="649"/>
        <v>14990.94</v>
      </c>
      <c r="EH111" s="243">
        <f t="shared" si="649"/>
        <v>15290.758800000001</v>
      </c>
      <c r="EI111" s="243">
        <f t="shared" si="649"/>
        <v>15596.573976000001</v>
      </c>
      <c r="EJ111" s="243"/>
      <c r="EK111" s="243"/>
      <c r="EL111" s="243"/>
      <c r="EM111" s="243"/>
    </row>
    <row r="112" spans="2:153" ht="12.75" customHeight="1" x14ac:dyDescent="0.2">
      <c r="B112" t="s">
        <v>358</v>
      </c>
      <c r="W112" s="243">
        <v>315</v>
      </c>
      <c r="X112" s="243">
        <v>339</v>
      </c>
      <c r="Y112" s="243">
        <v>337</v>
      </c>
      <c r="Z112" s="243">
        <v>238</v>
      </c>
      <c r="AA112" s="243">
        <v>413</v>
      </c>
      <c r="AB112" s="243">
        <v>372</v>
      </c>
      <c r="AC112" s="243">
        <v>364</v>
      </c>
      <c r="AD112" s="243">
        <v>244</v>
      </c>
      <c r="AE112" s="243">
        <v>440</v>
      </c>
      <c r="AF112" s="243">
        <v>382</v>
      </c>
      <c r="AG112" s="243">
        <v>358</v>
      </c>
      <c r="AH112" s="243">
        <v>334</v>
      </c>
      <c r="AI112" s="243">
        <v>438</v>
      </c>
      <c r="AJ112" s="243">
        <v>418</v>
      </c>
      <c r="AK112" s="243">
        <v>426</v>
      </c>
      <c r="AL112" s="243">
        <v>366</v>
      </c>
      <c r="AM112" s="243">
        <v>465</v>
      </c>
      <c r="AN112" s="243">
        <v>473</v>
      </c>
      <c r="AO112" s="243"/>
      <c r="AP112" s="243"/>
      <c r="AQ112" s="243"/>
      <c r="AR112" s="243"/>
      <c r="AS112" s="243"/>
      <c r="AT112" s="243"/>
      <c r="AU112" s="243"/>
      <c r="AV112" s="243"/>
      <c r="AW112" s="243"/>
      <c r="AX112" s="243"/>
      <c r="BC112" s="76">
        <v>785</v>
      </c>
      <c r="DK112" s="243">
        <v>501</v>
      </c>
      <c r="DL112" s="243">
        <v>521</v>
      </c>
      <c r="DM112" s="243">
        <v>443</v>
      </c>
      <c r="DN112" s="243">
        <v>298</v>
      </c>
      <c r="DO112" s="243">
        <v>361</v>
      </c>
      <c r="DP112" s="243">
        <v>558</v>
      </c>
      <c r="DQ112" s="243">
        <v>658</v>
      </c>
      <c r="DR112" s="243">
        <v>683</v>
      </c>
      <c r="DS112" s="243">
        <v>867</v>
      </c>
      <c r="DT112" s="243">
        <v>1004</v>
      </c>
      <c r="DU112" s="243">
        <v>1229</v>
      </c>
      <c r="DV112" s="243">
        <v>1393</v>
      </c>
      <c r="DW112" s="243">
        <v>1514</v>
      </c>
      <c r="DX112" s="243">
        <v>1667</v>
      </c>
      <c r="DY112" s="243"/>
      <c r="DZ112" s="243"/>
      <c r="EA112" s="243"/>
      <c r="EB112" s="243"/>
      <c r="EC112" s="243"/>
      <c r="ED112" s="243"/>
      <c r="EE112" s="243"/>
      <c r="EF112" s="243"/>
      <c r="EG112" s="243"/>
      <c r="EH112" s="243"/>
      <c r="EI112" s="243"/>
      <c r="EJ112" s="243"/>
      <c r="EK112" s="243"/>
      <c r="EL112" s="243"/>
      <c r="EM112" s="243"/>
    </row>
    <row r="113" spans="2:143" ht="12.75" customHeight="1" x14ac:dyDescent="0.2">
      <c r="B113" t="s">
        <v>359</v>
      </c>
      <c r="W113" s="294">
        <f t="shared" ref="W113:AN113" si="650">W112/W111</f>
        <v>0.19638403990024939</v>
      </c>
      <c r="X113" s="294">
        <f t="shared" si="650"/>
        <v>0.20557913887204365</v>
      </c>
      <c r="Y113" s="294">
        <f t="shared" si="650"/>
        <v>0.2028898254063817</v>
      </c>
      <c r="Z113" s="294">
        <f t="shared" si="650"/>
        <v>0.14424242424242426</v>
      </c>
      <c r="AA113" s="294">
        <f t="shared" si="650"/>
        <v>0.23059743160245672</v>
      </c>
      <c r="AB113" s="294">
        <f t="shared" si="650"/>
        <v>0.2045079714128642</v>
      </c>
      <c r="AC113" s="294">
        <f t="shared" si="650"/>
        <v>0.19771863117870722</v>
      </c>
      <c r="AD113" s="294">
        <f t="shared" si="650"/>
        <v>0.12329459322890349</v>
      </c>
      <c r="AE113" s="294">
        <f t="shared" si="650"/>
        <v>0.21494870542256961</v>
      </c>
      <c r="AF113" s="294">
        <f t="shared" si="650"/>
        <v>0.191</v>
      </c>
      <c r="AG113" s="294">
        <f t="shared" si="650"/>
        <v>0.17687747035573123</v>
      </c>
      <c r="AH113" s="294">
        <f t="shared" si="650"/>
        <v>0.14765694076038904</v>
      </c>
      <c r="AI113" s="294">
        <f t="shared" si="650"/>
        <v>0.19210526315789472</v>
      </c>
      <c r="AJ113" s="294">
        <f t="shared" si="650"/>
        <v>0.18349429323968394</v>
      </c>
      <c r="AK113" s="294">
        <f t="shared" si="650"/>
        <v>0.19094576423128642</v>
      </c>
      <c r="AL113" s="294">
        <f t="shared" si="650"/>
        <v>0.15864759427828348</v>
      </c>
      <c r="AM113" s="294">
        <f t="shared" si="650"/>
        <v>0.19745222929936307</v>
      </c>
      <c r="AN113" s="294">
        <f t="shared" si="650"/>
        <v>0.19724770642201836</v>
      </c>
      <c r="BC113" s="294">
        <f>+BC112/BC111</f>
        <v>0.20844397238449283</v>
      </c>
      <c r="DK113" s="294">
        <f t="shared" ref="DK113:EA113" si="651">DK112/DK111</f>
        <v>0.10481171548117155</v>
      </c>
      <c r="DL113" s="294">
        <f t="shared" si="651"/>
        <v>0.1080016583747927</v>
      </c>
      <c r="DM113" s="294">
        <f t="shared" si="651"/>
        <v>8.4364882879451528E-2</v>
      </c>
      <c r="DN113" s="294">
        <f t="shared" si="651"/>
        <v>5.110615674841365E-2</v>
      </c>
      <c r="DO113" s="294">
        <f t="shared" si="651"/>
        <v>5.6725329981143935E-2</v>
      </c>
      <c r="DP113" s="294">
        <f t="shared" si="651"/>
        <v>8.5872576177285317E-2</v>
      </c>
      <c r="DQ113" s="294">
        <f t="shared" si="651"/>
        <v>0.10082745939319644</v>
      </c>
      <c r="DR113" s="294">
        <f t="shared" si="651"/>
        <v>9.9504662004662001E-2</v>
      </c>
      <c r="DS113" s="294">
        <f t="shared" si="651"/>
        <v>0.12557937427578217</v>
      </c>
      <c r="DT113" s="294">
        <f t="shared" si="651"/>
        <v>0.14421143349612181</v>
      </c>
      <c r="DU113" s="294">
        <f t="shared" si="651"/>
        <v>0.18723339427178551</v>
      </c>
      <c r="DV113" s="294">
        <f t="shared" si="651"/>
        <v>0.18745794644058672</v>
      </c>
      <c r="DW113" s="294">
        <f t="shared" si="651"/>
        <v>0.18168726749069963</v>
      </c>
      <c r="DX113" s="294">
        <f t="shared" si="651"/>
        <v>0.18326737027264731</v>
      </c>
      <c r="DY113" s="294">
        <f t="shared" si="651"/>
        <v>0</v>
      </c>
      <c r="DZ113" s="294">
        <f t="shared" si="651"/>
        <v>0</v>
      </c>
      <c r="EA113" s="294">
        <f t="shared" si="651"/>
        <v>0</v>
      </c>
    </row>
    <row r="114" spans="2:143" ht="12.75" customHeight="1" x14ac:dyDescent="0.2">
      <c r="B114" t="s">
        <v>360</v>
      </c>
      <c r="Z114" s="294">
        <f t="shared" ref="Z114:BJ114" si="652">Z111/Z56</f>
        <v>0.17547591194299691</v>
      </c>
      <c r="AA114" s="294">
        <f t="shared" si="652"/>
        <v>0.18234575442883322</v>
      </c>
      <c r="AB114" s="294">
        <f t="shared" si="652"/>
        <v>0.17605497483546265</v>
      </c>
      <c r="AC114" s="294">
        <f t="shared" si="652"/>
        <v>0.17610484025253492</v>
      </c>
      <c r="AD114" s="294">
        <f t="shared" si="652"/>
        <v>0.17376415839845466</v>
      </c>
      <c r="AE114" s="294">
        <f t="shared" si="652"/>
        <v>0.17081108144192256</v>
      </c>
      <c r="AF114" s="294">
        <f t="shared" si="652"/>
        <v>0.16818028927009754</v>
      </c>
      <c r="AG114" s="294">
        <f t="shared" si="652"/>
        <v>0.17519259066909029</v>
      </c>
      <c r="AH114" s="294">
        <f t="shared" si="652"/>
        <v>0.17738393977415307</v>
      </c>
      <c r="AI114" s="294">
        <f t="shared" si="652"/>
        <v>0.17768079800498754</v>
      </c>
      <c r="AJ114" s="294">
        <f t="shared" si="652"/>
        <v>0.17849866792038865</v>
      </c>
      <c r="AK114" s="294">
        <f t="shared" si="652"/>
        <v>0.18123476848090983</v>
      </c>
      <c r="AL114" s="294">
        <f t="shared" si="652"/>
        <v>0.18295003965107057</v>
      </c>
      <c r="AM114" s="294">
        <f t="shared" si="652"/>
        <v>0.18126539408866996</v>
      </c>
      <c r="AN114" s="294">
        <f t="shared" si="652"/>
        <v>0.17945072214323132</v>
      </c>
      <c r="AO114" s="294">
        <f t="shared" si="652"/>
        <v>0.18484232708662601</v>
      </c>
      <c r="AP114" s="294">
        <f t="shared" si="652"/>
        <v>0.1874725917263558</v>
      </c>
      <c r="AQ114" s="294">
        <f t="shared" si="652"/>
        <v>0.23172267515079206</v>
      </c>
      <c r="AR114" s="294">
        <f t="shared" si="652"/>
        <v>0.23537181349887729</v>
      </c>
      <c r="AS114" s="294">
        <f t="shared" si="652"/>
        <v>0.24142067035383488</v>
      </c>
      <c r="AT114" s="294">
        <f t="shared" si="652"/>
        <v>0.23876668546719307</v>
      </c>
      <c r="AU114" s="294">
        <f t="shared" si="652"/>
        <v>0.25095714462146473</v>
      </c>
      <c r="AV114" s="294">
        <f t="shared" si="652"/>
        <v>0.24534954407294832</v>
      </c>
      <c r="AW114" s="294">
        <f t="shared" si="652"/>
        <v>0.25745870234281765</v>
      </c>
      <c r="AX114" s="294">
        <f t="shared" si="652"/>
        <v>0.25391911474114082</v>
      </c>
      <c r="AY114" s="294">
        <f t="shared" si="652"/>
        <v>0.24697191534673232</v>
      </c>
      <c r="AZ114" s="294">
        <f t="shared" si="652"/>
        <v>0.25290373384080322</v>
      </c>
      <c r="BA114" s="294">
        <f t="shared" si="652"/>
        <v>0.264505006299317</v>
      </c>
      <c r="BB114" s="294">
        <f t="shared" si="652"/>
        <v>0.25672164823877713</v>
      </c>
      <c r="BC114" s="294">
        <f t="shared" si="652"/>
        <v>0.24093148231079264</v>
      </c>
      <c r="BD114" s="294">
        <f t="shared" si="652"/>
        <v>0.23698745857430631</v>
      </c>
      <c r="BE114" s="294">
        <f t="shared" si="652"/>
        <v>0.2380857028434121</v>
      </c>
      <c r="BF114" s="294">
        <f t="shared" si="652"/>
        <v>0.23075939657376629</v>
      </c>
      <c r="BG114" s="294">
        <f t="shared" si="652"/>
        <v>0.2170222798538253</v>
      </c>
      <c r="BH114" s="294">
        <f t="shared" si="652"/>
        <v>0.22853527745978189</v>
      </c>
      <c r="BI114" s="294">
        <f t="shared" si="652"/>
        <v>0.23367697594501718</v>
      </c>
      <c r="BJ114" s="294">
        <f t="shared" si="652"/>
        <v>0.19488868816747251</v>
      </c>
      <c r="BK114" s="294"/>
      <c r="BL114" s="294"/>
      <c r="BM114" s="294"/>
      <c r="BN114" s="294"/>
      <c r="BO114" s="294"/>
      <c r="BP114" s="294"/>
      <c r="BQ114" s="294"/>
      <c r="BR114" s="294"/>
      <c r="BS114" s="294"/>
      <c r="BT114" s="294"/>
      <c r="BU114" s="294"/>
      <c r="BV114" s="294"/>
      <c r="BW114" s="294"/>
      <c r="BX114" s="294"/>
      <c r="BY114" s="294"/>
      <c r="BZ114" s="294"/>
      <c r="CA114" s="294"/>
      <c r="CB114" s="294"/>
      <c r="CC114" s="294"/>
      <c r="CD114" s="294"/>
      <c r="CE114" s="294"/>
      <c r="CF114" s="294"/>
      <c r="CG114" s="294"/>
      <c r="CH114" s="294"/>
      <c r="CI114" s="294"/>
      <c r="CJ114" s="294"/>
      <c r="CK114" s="294"/>
      <c r="CL114" s="294"/>
      <c r="CM114" s="294"/>
      <c r="CN114" s="294"/>
      <c r="CO114" s="294"/>
      <c r="CP114" s="294"/>
      <c r="CQ114" s="294"/>
      <c r="CR114" s="294"/>
      <c r="CS114" s="294"/>
      <c r="CT114" s="294"/>
      <c r="CU114" s="294"/>
      <c r="CV114" s="294"/>
      <c r="CW114" s="294"/>
      <c r="CX114" s="294"/>
      <c r="CY114" s="294"/>
      <c r="CZ114" s="294"/>
      <c r="DA114" s="294"/>
      <c r="DB114" s="294"/>
      <c r="DC114" s="294"/>
      <c r="DD114" s="294"/>
      <c r="DE114" s="294"/>
      <c r="DF114" s="294"/>
      <c r="DK114" s="294">
        <f t="shared" ref="DK114:EH114" si="653">DK111/DK56</f>
        <v>0.34756053224750966</v>
      </c>
      <c r="DL114" s="294">
        <f t="shared" si="653"/>
        <v>0.34120809166784555</v>
      </c>
      <c r="DM114" s="294">
        <f t="shared" si="653"/>
        <v>0.33373585865005723</v>
      </c>
      <c r="DN114" s="294">
        <f t="shared" si="653"/>
        <v>0.30946820931960511</v>
      </c>
      <c r="DO114" s="294">
        <f t="shared" si="653"/>
        <v>0.29435707678075856</v>
      </c>
      <c r="DP114" s="294">
        <f t="shared" si="653"/>
        <v>0.2871536523929471</v>
      </c>
      <c r="DQ114" s="294">
        <f t="shared" si="653"/>
        <v>0.27585915373885106</v>
      </c>
      <c r="DR114" s="294">
        <f t="shared" si="653"/>
        <v>0.249863492410178</v>
      </c>
      <c r="DS114" s="294">
        <f t="shared" si="653"/>
        <v>0.23693331960602629</v>
      </c>
      <c r="DT114" s="294">
        <f t="shared" si="653"/>
        <v>0.21094412798448672</v>
      </c>
      <c r="DU114" s="294">
        <f t="shared" si="653"/>
        <v>0.17782883026882929</v>
      </c>
      <c r="DV114" s="294">
        <f t="shared" si="653"/>
        <v>0.17540256907759633</v>
      </c>
      <c r="DW114" s="294">
        <f t="shared" si="653"/>
        <v>0.17318203545524452</v>
      </c>
      <c r="DX114" s="294">
        <f t="shared" si="653"/>
        <v>0.18376500060608508</v>
      </c>
      <c r="DY114" s="294">
        <f t="shared" si="653"/>
        <v>0.1832945765508964</v>
      </c>
      <c r="DZ114" s="294">
        <f t="shared" si="653"/>
        <v>0.2372207218266634</v>
      </c>
      <c r="EA114" s="294">
        <f t="shared" si="653"/>
        <v>0.25183930224167411</v>
      </c>
      <c r="EB114" s="294">
        <f t="shared" si="653"/>
        <v>0.25531124287122153</v>
      </c>
      <c r="EC114" s="294">
        <f t="shared" si="653"/>
        <v>0.23740948661622324</v>
      </c>
      <c r="ED114" s="294">
        <f t="shared" si="653"/>
        <v>0.22886360141473167</v>
      </c>
      <c r="EE114" s="294">
        <f t="shared" si="653"/>
        <v>0.21324929517174193</v>
      </c>
      <c r="EF114" s="294">
        <f t="shared" si="653"/>
        <v>0.20609434597262732</v>
      </c>
      <c r="EG114" s="294">
        <f t="shared" si="653"/>
        <v>0.19660601137318723</v>
      </c>
      <c r="EH114" s="294">
        <f t="shared" si="653"/>
        <v>0.19856876354975245</v>
      </c>
      <c r="EI114" s="294"/>
      <c r="EJ114" s="294"/>
      <c r="EK114" s="294"/>
      <c r="EL114" s="294"/>
      <c r="EM114" s="294"/>
    </row>
    <row r="115" spans="2:143" ht="12.75" customHeight="1" x14ac:dyDescent="0.2">
      <c r="B115" t="s">
        <v>361</v>
      </c>
      <c r="AI115" s="294"/>
      <c r="AM115" s="294"/>
      <c r="AO115" s="288">
        <f t="shared" ref="AO115:BB115" si="654">AO111/AK111-1</f>
        <v>0.10085163603765124</v>
      </c>
      <c r="AP115" s="288">
        <f t="shared" si="654"/>
        <v>0.1118335500650196</v>
      </c>
      <c r="AQ115" s="288">
        <f t="shared" si="654"/>
        <v>0.48450106157112516</v>
      </c>
      <c r="AR115" s="288">
        <f t="shared" si="654"/>
        <v>0.48623853211009171</v>
      </c>
      <c r="AS115" s="288">
        <f t="shared" si="654"/>
        <v>0.47516286644951133</v>
      </c>
      <c r="AT115" s="288">
        <f t="shared" si="654"/>
        <v>0.48538011695906436</v>
      </c>
      <c r="AU115" s="288">
        <f t="shared" si="654"/>
        <v>0.1624713958810069</v>
      </c>
      <c r="AV115" s="288">
        <f t="shared" si="654"/>
        <v>0.13243546576879917</v>
      </c>
      <c r="AW115" s="288">
        <f t="shared" si="654"/>
        <v>0.13138283190725919</v>
      </c>
      <c r="AX115" s="288">
        <f t="shared" si="654"/>
        <v>1.1811023622047223E-2</v>
      </c>
      <c r="AY115" s="288">
        <f t="shared" si="654"/>
        <v>-8.6860236220472453E-2</v>
      </c>
      <c r="AZ115" s="288">
        <f>AZ111/AV111-1</f>
        <v>-4.5094152626362738E-2</v>
      </c>
      <c r="BA115" s="288">
        <f t="shared" si="654"/>
        <v>-2.6835813613076409E-2</v>
      </c>
      <c r="BB115" s="288">
        <f t="shared" si="654"/>
        <v>0.10220492866407271</v>
      </c>
      <c r="BC115" s="288">
        <f>BC111/AY111-1</f>
        <v>1.4820803018054329E-2</v>
      </c>
      <c r="BD115" s="288">
        <f>BD111/AZ111-1</f>
        <v>-5.3710430721328528E-2</v>
      </c>
      <c r="BE115" s="288">
        <f>BE111/BA111-1</f>
        <v>-0.10579092504387066</v>
      </c>
      <c r="BF115" s="288">
        <f>BF111/BB111-1</f>
        <v>-0.15038832666509772</v>
      </c>
      <c r="BG115" s="288">
        <f>BG111/BC111-1</f>
        <v>-2.2304832713754608E-2</v>
      </c>
      <c r="BH115" s="288">
        <f t="shared" ref="BH115:BI115" si="655">BH111/BD111-1</f>
        <v>4.0032903756512139E-2</v>
      </c>
      <c r="BI115" s="288">
        <f t="shared" si="655"/>
        <v>4.8500140173815431E-2</v>
      </c>
      <c r="BJ115" s="288">
        <f t="shared" ref="BJ115" si="656">BJ111/BF111-1</f>
        <v>1.6066481994459814E-2</v>
      </c>
      <c r="BK115" s="288"/>
      <c r="BL115" s="288"/>
      <c r="BM115" s="288"/>
      <c r="BN115" s="288"/>
      <c r="BO115" s="288"/>
      <c r="BP115" s="288"/>
      <c r="BQ115" s="288"/>
      <c r="BR115" s="288"/>
      <c r="BS115" s="288"/>
      <c r="BT115" s="288"/>
      <c r="BU115" s="288"/>
      <c r="BV115" s="288"/>
      <c r="BW115" s="288"/>
      <c r="BX115" s="288"/>
      <c r="BY115" s="288"/>
      <c r="BZ115" s="288"/>
      <c r="CA115" s="288"/>
      <c r="CB115" s="288"/>
      <c r="CC115" s="288"/>
      <c r="CD115" s="288"/>
      <c r="CE115" s="288"/>
      <c r="CF115" s="288"/>
      <c r="CG115" s="288"/>
      <c r="CH115" s="288"/>
      <c r="CI115" s="288"/>
      <c r="CJ115" s="288"/>
      <c r="CK115" s="288"/>
      <c r="CL115" s="288"/>
      <c r="CM115" s="288"/>
      <c r="CN115" s="288"/>
      <c r="CO115" s="288"/>
      <c r="CP115" s="288"/>
      <c r="CQ115" s="288"/>
      <c r="CR115" s="288"/>
      <c r="CS115" s="288"/>
      <c r="CT115" s="288"/>
      <c r="CU115" s="288"/>
      <c r="CV115" s="288"/>
      <c r="CW115" s="288"/>
      <c r="CX115" s="288"/>
      <c r="CY115" s="288"/>
      <c r="CZ115" s="288"/>
      <c r="DA115" s="288"/>
      <c r="DB115" s="288"/>
      <c r="DC115" s="288"/>
      <c r="DD115" s="288"/>
      <c r="DE115" s="288"/>
      <c r="DF115" s="288"/>
      <c r="DY115" s="288">
        <f>DY111/DX111-1</f>
        <v>7.4538258575197913E-2</v>
      </c>
      <c r="DZ115" s="288">
        <f>DZ111/DY111-1</f>
        <v>0.48281154082259059</v>
      </c>
      <c r="EA115" s="288">
        <f>EA111/DZ111-1</f>
        <v>0.10770716897812727</v>
      </c>
      <c r="EB115" s="288">
        <f>EB111/EA111-1</f>
        <v>-1.5634732776877991E-2</v>
      </c>
    </row>
    <row r="116" spans="2:143" ht="12.75" customHeight="1" x14ac:dyDescent="0.2">
      <c r="B116" t="s">
        <v>362</v>
      </c>
      <c r="AI116" s="294"/>
      <c r="AM116" s="294"/>
      <c r="AO116" s="288">
        <v>8.1000000000000003E-2</v>
      </c>
      <c r="AY116" s="288">
        <v>-0.01</v>
      </c>
      <c r="AZ116" s="288">
        <f>AZ115-AZ117</f>
        <v>3.090584737363726E-2</v>
      </c>
      <c r="BA116" s="288">
        <f>BA115-BA117</f>
        <v>1.116418638692359E-2</v>
      </c>
      <c r="BB116" s="288"/>
      <c r="BC116" s="288"/>
      <c r="BD116" s="288">
        <f>BD115-BD117</f>
        <v>-6.4710430721328524E-2</v>
      </c>
      <c r="BE116" s="288"/>
      <c r="BF116" s="288"/>
      <c r="BG116" s="288">
        <v>-4.1000000000000002E-2</v>
      </c>
      <c r="BH116" s="288"/>
      <c r="BI116" s="288">
        <v>5.0000000000000001E-3</v>
      </c>
      <c r="BJ116" s="288"/>
      <c r="BK116" s="288"/>
      <c r="BL116" s="288"/>
      <c r="BM116" s="288"/>
      <c r="BN116" s="288"/>
      <c r="BO116" s="288"/>
      <c r="BP116" s="288"/>
      <c r="BQ116" s="288"/>
      <c r="BR116" s="288"/>
      <c r="BS116" s="288"/>
      <c r="BT116" s="288"/>
      <c r="BU116" s="288"/>
      <c r="BV116" s="288"/>
      <c r="BW116" s="288"/>
      <c r="BX116" s="288"/>
      <c r="BY116" s="288"/>
      <c r="BZ116" s="288"/>
      <c r="CA116" s="288"/>
      <c r="CB116" s="288"/>
      <c r="CC116" s="288"/>
      <c r="CD116" s="288"/>
      <c r="CE116" s="288"/>
      <c r="CF116" s="288"/>
      <c r="CG116" s="288"/>
      <c r="CH116" s="288"/>
      <c r="CI116" s="288"/>
      <c r="CJ116" s="288"/>
      <c r="CK116" s="288"/>
      <c r="CL116" s="288"/>
      <c r="CM116" s="288"/>
      <c r="CN116" s="288"/>
      <c r="CO116" s="288"/>
      <c r="CP116" s="288"/>
      <c r="CQ116" s="288"/>
      <c r="CR116" s="288"/>
      <c r="CS116" s="288"/>
      <c r="CT116" s="288"/>
      <c r="CU116" s="288"/>
      <c r="CV116" s="288"/>
      <c r="CW116" s="288"/>
      <c r="CX116" s="288"/>
      <c r="CY116" s="288"/>
      <c r="CZ116" s="288"/>
      <c r="DA116" s="288"/>
      <c r="DB116" s="288"/>
      <c r="DC116" s="288"/>
      <c r="DD116" s="288"/>
      <c r="DE116" s="288"/>
      <c r="DF116" s="288"/>
      <c r="DY116" s="288">
        <v>6.4000000000000001E-2</v>
      </c>
      <c r="EB116" s="288">
        <v>0.02</v>
      </c>
    </row>
    <row r="117" spans="2:143" ht="12.75" customHeight="1" x14ac:dyDescent="0.2">
      <c r="B117" t="s">
        <v>1197</v>
      </c>
      <c r="AI117" s="294"/>
      <c r="AM117" s="294"/>
      <c r="AO117" s="288"/>
      <c r="AY117" s="288"/>
      <c r="AZ117" s="288">
        <v>-7.5999999999999998E-2</v>
      </c>
      <c r="BA117" s="288">
        <v>-3.7999999999999999E-2</v>
      </c>
      <c r="BB117" s="288"/>
      <c r="BC117" s="288"/>
      <c r="BD117" s="288">
        <v>1.0999999999999999E-2</v>
      </c>
      <c r="BE117" s="288"/>
      <c r="BF117" s="288"/>
      <c r="BG117" s="288">
        <v>1.9E-2</v>
      </c>
      <c r="BH117" s="288"/>
      <c r="BI117" s="288">
        <v>4.3999999999999997E-2</v>
      </c>
      <c r="BJ117" s="288"/>
      <c r="BK117" s="288"/>
      <c r="BL117" s="288"/>
      <c r="BM117" s="288"/>
      <c r="BN117" s="288"/>
      <c r="BO117" s="288"/>
      <c r="BP117" s="288"/>
      <c r="BQ117" s="288"/>
      <c r="BR117" s="288"/>
      <c r="BS117" s="288"/>
      <c r="BT117" s="288"/>
      <c r="BU117" s="288"/>
      <c r="BV117" s="288"/>
      <c r="BW117" s="288"/>
      <c r="BX117" s="288"/>
      <c r="BY117" s="288"/>
      <c r="BZ117" s="288"/>
      <c r="CA117" s="288"/>
      <c r="CB117" s="288"/>
      <c r="CC117" s="288"/>
      <c r="CD117" s="288"/>
      <c r="CE117" s="288"/>
      <c r="CF117" s="288"/>
      <c r="CG117" s="288"/>
      <c r="CH117" s="288"/>
      <c r="CI117" s="288"/>
      <c r="CJ117" s="288"/>
      <c r="CK117" s="288"/>
      <c r="CL117" s="288"/>
      <c r="CM117" s="288"/>
      <c r="CN117" s="288"/>
      <c r="CO117" s="288"/>
      <c r="CP117" s="288"/>
      <c r="CQ117" s="288"/>
      <c r="CR117" s="288"/>
      <c r="CS117" s="288"/>
      <c r="CT117" s="288"/>
      <c r="CU117" s="288"/>
      <c r="CV117" s="288"/>
      <c r="CW117" s="288"/>
      <c r="CX117" s="288"/>
      <c r="CY117" s="288"/>
      <c r="CZ117" s="288"/>
      <c r="DA117" s="288"/>
      <c r="DB117" s="288"/>
      <c r="DC117" s="288"/>
      <c r="DD117" s="288"/>
      <c r="DE117" s="288"/>
      <c r="DF117" s="288"/>
      <c r="DY117" s="288">
        <f>DY115-DY116</f>
        <v>1.0538258575197912E-2</v>
      </c>
      <c r="EB117" s="288">
        <f>EB115-EB116</f>
        <v>-3.5634732776877995E-2</v>
      </c>
    </row>
    <row r="118" spans="2:143" ht="12.75" customHeight="1" x14ac:dyDescent="0.2">
      <c r="AI118" s="294"/>
      <c r="AM118" s="294"/>
      <c r="AO118" s="288"/>
      <c r="AY118" s="288"/>
      <c r="AZ118" s="288"/>
      <c r="BA118" s="288"/>
      <c r="BB118" s="288"/>
      <c r="BC118" s="288"/>
      <c r="BD118" s="288"/>
      <c r="BE118" s="288"/>
      <c r="BF118" s="288"/>
      <c r="BG118" s="288"/>
      <c r="BH118" s="288"/>
      <c r="BI118" s="288"/>
      <c r="BJ118" s="288"/>
      <c r="BK118" s="288"/>
      <c r="BL118" s="288"/>
      <c r="BM118" s="288"/>
      <c r="BN118" s="288"/>
      <c r="BO118" s="288"/>
      <c r="BP118" s="288"/>
      <c r="BQ118" s="288"/>
      <c r="BR118" s="288"/>
      <c r="BS118" s="288"/>
      <c r="BT118" s="288"/>
      <c r="BU118" s="288"/>
      <c r="BV118" s="288"/>
      <c r="BW118" s="288"/>
      <c r="BX118" s="288"/>
      <c r="BY118" s="288"/>
      <c r="BZ118" s="288"/>
      <c r="CA118" s="288"/>
      <c r="CB118" s="288"/>
      <c r="CC118" s="288"/>
      <c r="CD118" s="288"/>
      <c r="CE118" s="288"/>
      <c r="CF118" s="288"/>
      <c r="CG118" s="288"/>
      <c r="CH118" s="288"/>
      <c r="CI118" s="288"/>
      <c r="CJ118" s="288"/>
      <c r="CK118" s="288"/>
      <c r="CL118" s="288"/>
      <c r="CM118" s="288"/>
      <c r="CN118" s="288"/>
      <c r="CO118" s="288"/>
      <c r="CP118" s="288"/>
      <c r="CQ118" s="288"/>
      <c r="CR118" s="288"/>
      <c r="CS118" s="288"/>
      <c r="CT118" s="288"/>
      <c r="CU118" s="288"/>
      <c r="CV118" s="288"/>
      <c r="CW118" s="288"/>
      <c r="CX118" s="288"/>
      <c r="CY118" s="288"/>
      <c r="CZ118" s="288"/>
      <c r="DA118" s="288"/>
      <c r="DB118" s="288"/>
      <c r="DC118" s="288"/>
      <c r="DD118" s="288"/>
      <c r="DE118" s="288"/>
      <c r="DF118" s="288"/>
      <c r="DY118" s="288"/>
      <c r="EB118" s="288"/>
    </row>
    <row r="119" spans="2:143" s="1" customFormat="1" ht="12.75" customHeight="1" x14ac:dyDescent="0.2">
      <c r="B119" s="1" t="s">
        <v>637</v>
      </c>
      <c r="C119" s="166"/>
      <c r="D119" s="166"/>
      <c r="E119" s="166"/>
      <c r="F119" s="166"/>
      <c r="G119" s="166"/>
      <c r="H119" s="166"/>
      <c r="I119" s="16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289">
        <v>0.108</v>
      </c>
      <c r="AS119" s="289">
        <v>9.7000000000000003E-2</v>
      </c>
      <c r="AT119" s="289">
        <v>0.11899999999999999</v>
      </c>
      <c r="AU119" s="289">
        <v>2.5999999999999999E-2</v>
      </c>
      <c r="AV119" s="289">
        <f>AV72-AV121</f>
        <v>3.038224805177641E-2</v>
      </c>
      <c r="AW119" s="289">
        <f>AW72-AW121</f>
        <v>2.9904911041513854E-2</v>
      </c>
      <c r="AX119" s="289">
        <v>-0.01</v>
      </c>
      <c r="AY119" s="289">
        <v>-1.2E-2</v>
      </c>
      <c r="AZ119" s="289">
        <f>AZ122-AZ121</f>
        <v>-1.3617021276595753E-2</v>
      </c>
      <c r="BA119" s="289">
        <f>BA122-BA121</f>
        <v>-2.7760504993404898E-2</v>
      </c>
      <c r="BB119" s="289">
        <f>BB122-BB121</f>
        <v>4.5172572783559392E-2</v>
      </c>
      <c r="BC119" s="289">
        <v>-1E-3</v>
      </c>
      <c r="BD119" s="289">
        <v>1E-3</v>
      </c>
      <c r="BE119" s="289">
        <v>1E-3</v>
      </c>
      <c r="BF119" s="166"/>
      <c r="BG119" s="289">
        <v>1.7999999999999999E-2</v>
      </c>
      <c r="BH119" s="166"/>
      <c r="BI119" s="289">
        <v>2.5999999999999999E-2</v>
      </c>
      <c r="BJ119" s="289">
        <v>0.04</v>
      </c>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c r="CS119" s="166"/>
      <c r="CT119" s="166"/>
      <c r="CU119" s="166"/>
      <c r="CV119" s="166"/>
      <c r="CW119" s="166"/>
      <c r="CX119" s="166"/>
      <c r="CY119" s="166"/>
      <c r="CZ119" s="166"/>
      <c r="DA119" s="166"/>
      <c r="DB119" s="166"/>
      <c r="DC119" s="166"/>
      <c r="DD119" s="166"/>
      <c r="DE119" s="166"/>
      <c r="DF119" s="166"/>
      <c r="DH119" s="166"/>
      <c r="DI119" s="166"/>
      <c r="DJ119" s="166"/>
      <c r="DK119" s="166"/>
      <c r="DL119" s="166"/>
      <c r="DM119" s="166"/>
      <c r="DN119" s="166"/>
      <c r="DO119" s="166"/>
      <c r="DP119" s="166"/>
      <c r="DQ119" s="166"/>
      <c r="DR119" s="166"/>
      <c r="DS119" s="166"/>
      <c r="DT119" s="289">
        <v>0.122</v>
      </c>
      <c r="DU119" s="289">
        <v>0.104</v>
      </c>
      <c r="DV119" s="289">
        <v>9.4E-2</v>
      </c>
      <c r="DW119" s="289">
        <v>8.6999999999999994E-2</v>
      </c>
      <c r="DX119" s="289">
        <v>5.3999999999999999E-2</v>
      </c>
      <c r="DY119" s="166"/>
      <c r="DZ119" s="223">
        <v>0.10100000000000001</v>
      </c>
      <c r="EA119" s="223">
        <v>1.0999999999999999E-2</v>
      </c>
      <c r="EB119" s="223">
        <v>-2E-3</v>
      </c>
      <c r="EC119" s="166"/>
      <c r="ED119" s="289">
        <v>2.8000000000000001E-2</v>
      </c>
      <c r="EE119" s="166"/>
      <c r="EF119" s="166"/>
      <c r="EG119" s="166"/>
      <c r="EH119" s="166"/>
      <c r="EI119" s="166"/>
      <c r="EJ119" s="166"/>
      <c r="EK119" s="166"/>
      <c r="EL119" s="166"/>
      <c r="EM119" s="166"/>
    </row>
    <row r="120" spans="2:143" ht="12.75" customHeight="1" x14ac:dyDescent="0.2">
      <c r="B120" t="s">
        <v>157</v>
      </c>
      <c r="AE120" s="288"/>
      <c r="DT120" s="288">
        <v>1.2E-2</v>
      </c>
      <c r="DU120" s="288">
        <v>1.7000000000000001E-2</v>
      </c>
      <c r="DV120" s="288">
        <v>1.2999999999999999E-2</v>
      </c>
      <c r="DW120" s="288">
        <v>0.01</v>
      </c>
      <c r="DX120" s="288">
        <v>6.0000000000000001E-3</v>
      </c>
      <c r="DZ120" s="81">
        <v>1.4E-2</v>
      </c>
      <c r="EA120" s="81">
        <v>8.0000000000000002E-3</v>
      </c>
      <c r="EB120" s="81">
        <v>-1E-3</v>
      </c>
      <c r="ED120" s="288">
        <v>0</v>
      </c>
    </row>
    <row r="121" spans="2:143" ht="12.75" customHeight="1" x14ac:dyDescent="0.2">
      <c r="B121" t="s">
        <v>364</v>
      </c>
      <c r="AE121" s="288">
        <v>5.3999999999999999E-2</v>
      </c>
      <c r="AF121" s="288">
        <v>2.5999999999999999E-2</v>
      </c>
      <c r="AG121" s="288">
        <v>2.8000000000000001E-2</v>
      </c>
      <c r="AH121" s="288">
        <v>2.9000000000000001E-2</v>
      </c>
      <c r="AI121" s="288">
        <v>2.1999999999999999E-2</v>
      </c>
      <c r="AJ121" s="288">
        <v>0.02</v>
      </c>
      <c r="AK121" s="288">
        <v>8.0000000000000002E-3</v>
      </c>
      <c r="AL121" s="288">
        <v>-1.7999999999999999E-2</v>
      </c>
      <c r="AM121" s="288">
        <v>-2.3E-2</v>
      </c>
      <c r="AO121" s="288">
        <v>1.2E-2</v>
      </c>
      <c r="AR121" s="288">
        <v>2.4E-2</v>
      </c>
      <c r="AS121" s="288">
        <v>0.03</v>
      </c>
      <c r="AT121" s="288">
        <v>4.7E-2</v>
      </c>
      <c r="AU121" s="288">
        <v>5.0999999999999997E-2</v>
      </c>
      <c r="AV121" s="288">
        <v>5.6000000000000001E-2</v>
      </c>
      <c r="AW121" s="288">
        <v>3.1E-2</v>
      </c>
      <c r="AX121" s="288">
        <v>-3.9E-2</v>
      </c>
      <c r="AY121" s="288">
        <v>-0.06</v>
      </c>
      <c r="AZ121" s="288">
        <v>-0.06</v>
      </c>
      <c r="BA121" s="288">
        <v>-2.5000000000000001E-2</v>
      </c>
      <c r="BB121" s="288">
        <v>4.4999999999999998E-2</v>
      </c>
      <c r="BC121" s="288">
        <v>4.1000000000000002E-2</v>
      </c>
      <c r="BD121" s="288">
        <v>5.0000000000000001E-3</v>
      </c>
      <c r="BE121" s="288">
        <v>-8.0000000000000002E-3</v>
      </c>
      <c r="BG121" s="288">
        <v>1.7000000000000001E-2</v>
      </c>
      <c r="BI121" s="288">
        <v>4.2000000000000003E-2</v>
      </c>
      <c r="BJ121" s="288">
        <v>-1E-3</v>
      </c>
      <c r="DP121" s="288">
        <v>-0.04</v>
      </c>
      <c r="DQ121" s="288">
        <v>-2.7558829638206016E-2</v>
      </c>
      <c r="DR121" s="288">
        <v>-1.8336618644173741E-2</v>
      </c>
      <c r="DT121" s="288">
        <v>-2.5999999999999999E-2</v>
      </c>
      <c r="DU121" s="288">
        <v>2E-3</v>
      </c>
      <c r="DV121" s="288">
        <v>4.5999999999999999E-2</v>
      </c>
      <c r="DW121" s="288">
        <v>3.4000000000000002E-2</v>
      </c>
      <c r="DX121" s="288">
        <v>7.0000000000000001E-3</v>
      </c>
      <c r="DZ121" s="288">
        <v>3.1E-2</v>
      </c>
      <c r="EA121" s="288">
        <v>2.4E-2</v>
      </c>
      <c r="EB121" s="288">
        <v>-2.5999999999999999E-2</v>
      </c>
      <c r="ED121" s="288">
        <v>2.8000000000000001E-2</v>
      </c>
    </row>
    <row r="122" spans="2:143" ht="12.75" customHeight="1" x14ac:dyDescent="0.2">
      <c r="B122" t="s">
        <v>365</v>
      </c>
      <c r="AE122" s="288">
        <f t="shared" ref="AE122:AO122" si="657">AE72</f>
        <v>0.22011810221950734</v>
      </c>
      <c r="AF122" s="288">
        <f t="shared" si="657"/>
        <v>0.15098722415795596</v>
      </c>
      <c r="AG122" s="288">
        <f t="shared" si="657"/>
        <v>0.1051272240290797</v>
      </c>
      <c r="AH122" s="288">
        <f t="shared" si="657"/>
        <v>0.11967688120115905</v>
      </c>
      <c r="AI122" s="288">
        <f t="shared" si="657"/>
        <v>7.0761014686248291E-2</v>
      </c>
      <c r="AJ122" s="288">
        <f t="shared" si="657"/>
        <v>7.3158425832492435E-2</v>
      </c>
      <c r="AK122" s="288">
        <f t="shared" si="657"/>
        <v>6.552410629273786E-2</v>
      </c>
      <c r="AL122" s="288">
        <f t="shared" si="657"/>
        <v>-1.1135508155583396E-2</v>
      </c>
      <c r="AM122" s="288">
        <f t="shared" si="657"/>
        <v>1.2468827930174564E-2</v>
      </c>
      <c r="AN122" s="288">
        <f t="shared" si="657"/>
        <v>4.7092932142297483E-2</v>
      </c>
      <c r="AO122" s="288">
        <f t="shared" si="657"/>
        <v>7.9366368805848797E-2</v>
      </c>
      <c r="AR122" s="288">
        <f t="shared" ref="AR122:BE122" si="658">AR72</f>
        <v>0.13312878844570819</v>
      </c>
      <c r="AS122" s="288">
        <f t="shared" si="658"/>
        <v>0.12944983818770228</v>
      </c>
      <c r="AT122" s="288">
        <f t="shared" si="658"/>
        <v>0.16627686010817122</v>
      </c>
      <c r="AU122" s="288">
        <f t="shared" si="658"/>
        <v>7.3374428315768458E-2</v>
      </c>
      <c r="AV122" s="288">
        <f t="shared" si="658"/>
        <v>8.6382248051776411E-2</v>
      </c>
      <c r="AW122" s="288">
        <f t="shared" si="658"/>
        <v>6.0904911041513854E-2</v>
      </c>
      <c r="AX122" s="288">
        <f t="shared" si="658"/>
        <v>-4.8568026571410683E-2</v>
      </c>
      <c r="AY122" s="288">
        <f t="shared" si="658"/>
        <v>-7.2125478572310775E-2</v>
      </c>
      <c r="AZ122" s="288">
        <f t="shared" si="658"/>
        <v>-7.3617021276595751E-2</v>
      </c>
      <c r="BA122" s="288">
        <f t="shared" si="658"/>
        <v>-5.27605049934049E-2</v>
      </c>
      <c r="BB122" s="288">
        <f t="shared" si="658"/>
        <v>9.017257278355939E-2</v>
      </c>
      <c r="BC122" s="288">
        <f t="shared" si="658"/>
        <v>4.026354319180081E-2</v>
      </c>
      <c r="BD122" s="288">
        <f t="shared" si="658"/>
        <v>9.8431655620447867E-3</v>
      </c>
      <c r="BE122" s="288">
        <f t="shared" si="658"/>
        <v>-6.5645514223194867E-3</v>
      </c>
      <c r="BG122" s="288">
        <f>BG72</f>
        <v>8.5407203633804718E-2</v>
      </c>
      <c r="BI122" s="288">
        <f>BI72</f>
        <v>6.8281938325991165E-2</v>
      </c>
      <c r="BJ122" s="288">
        <f>BJ72</f>
        <v>0.20308105343901817</v>
      </c>
      <c r="DS122" s="288"/>
      <c r="DT122" s="288">
        <f>DT121+DT120+DT119</f>
        <v>0.108</v>
      </c>
      <c r="DU122" s="288">
        <f>DU121+DU120+DU119</f>
        <v>0.123</v>
      </c>
      <c r="DV122" s="288">
        <f>DV121+DV120+DV119</f>
        <v>0.153</v>
      </c>
      <c r="DW122" s="288">
        <f>DW121+DW120+DW119</f>
        <v>0.13100000000000001</v>
      </c>
      <c r="DX122" s="288">
        <f>DX121+DX120+DX119</f>
        <v>6.7000000000000004E-2</v>
      </c>
      <c r="DZ122" s="288">
        <f>DZ121+DZ120+DZ119</f>
        <v>0.14600000000000002</v>
      </c>
      <c r="EA122" s="288">
        <f>EA121+EA120+EA119</f>
        <v>4.2999999999999997E-2</v>
      </c>
      <c r="EB122" s="288">
        <f>EB121+EB120+EB119</f>
        <v>-2.8999999999999998E-2</v>
      </c>
      <c r="ED122" s="288">
        <f>ED121+ED120+ED119</f>
        <v>5.6000000000000001E-2</v>
      </c>
    </row>
    <row r="124" spans="2:143" ht="12.75" customHeight="1" x14ac:dyDescent="0.2">
      <c r="B124" t="s">
        <v>366</v>
      </c>
      <c r="K124" s="247">
        <v>3863</v>
      </c>
      <c r="L124" s="247">
        <v>4035</v>
      </c>
      <c r="M124" s="247">
        <v>4137.3999999999996</v>
      </c>
      <c r="N124" s="247">
        <v>3884.4</v>
      </c>
      <c r="O124" s="247">
        <v>4324</v>
      </c>
      <c r="P124" s="247">
        <v>4545</v>
      </c>
      <c r="Q124" s="247">
        <v>4463</v>
      </c>
      <c r="R124" s="247">
        <v>4378.5</v>
      </c>
      <c r="S124" s="247"/>
      <c r="T124" s="247"/>
      <c r="U124" s="247"/>
      <c r="V124" s="247"/>
      <c r="W124" s="247">
        <v>5521</v>
      </c>
      <c r="X124" s="247">
        <v>5599</v>
      </c>
      <c r="Y124" s="247">
        <v>5589</v>
      </c>
      <c r="Z124" s="247">
        <v>5746</v>
      </c>
      <c r="AA124" s="247">
        <v>6010.6</v>
      </c>
      <c r="AB124" s="247">
        <v>6112</v>
      </c>
      <c r="AC124" s="247">
        <v>6414.399082150001</v>
      </c>
      <c r="AD124" s="247">
        <v>6735.9594690499998</v>
      </c>
      <c r="AE124" s="247">
        <v>6918</v>
      </c>
      <c r="AF124" s="247">
        <v>6667.8836656399999</v>
      </c>
      <c r="AG124" s="247">
        <v>6790</v>
      </c>
      <c r="AH124" s="247">
        <v>7394</v>
      </c>
      <c r="AI124" s="247">
        <v>7258</v>
      </c>
      <c r="AJ124" s="247">
        <v>7064.5647360624998</v>
      </c>
      <c r="AK124" s="247">
        <v>6967</v>
      </c>
      <c r="AL124" s="247">
        <v>7087.0275146566255</v>
      </c>
      <c r="AM124" s="243">
        <v>7371</v>
      </c>
      <c r="AN124" s="243">
        <v>7375</v>
      </c>
      <c r="AO124" s="243">
        <v>7488</v>
      </c>
      <c r="AV124" s="243">
        <v>8210</v>
      </c>
      <c r="AY124" s="243">
        <v>8052</v>
      </c>
      <c r="AZ124" s="243">
        <v>7656</v>
      </c>
      <c r="BD124" s="243">
        <v>7438</v>
      </c>
      <c r="DR124" s="247">
        <v>15919.8</v>
      </c>
      <c r="DS124" s="247">
        <v>17710.5</v>
      </c>
      <c r="DT124" s="247">
        <v>19825</v>
      </c>
      <c r="DU124" s="247">
        <v>22455</v>
      </c>
      <c r="DV124" s="247">
        <v>25273</v>
      </c>
      <c r="DW124" s="247">
        <v>27770</v>
      </c>
      <c r="DX124" s="247">
        <v>28376</v>
      </c>
    </row>
    <row r="125" spans="2:143" ht="12.75" customHeight="1" x14ac:dyDescent="0.2">
      <c r="B125" t="s">
        <v>1220</v>
      </c>
      <c r="K125" s="247"/>
      <c r="L125" s="247"/>
      <c r="M125" s="247"/>
      <c r="N125" s="247"/>
      <c r="O125" s="247"/>
      <c r="P125" s="247"/>
      <c r="Q125" s="247"/>
      <c r="R125" s="247"/>
      <c r="S125" s="247"/>
      <c r="T125" s="247"/>
      <c r="U125" s="247"/>
      <c r="V125" s="247"/>
      <c r="W125" s="247"/>
      <c r="X125" s="247"/>
      <c r="Y125" s="247"/>
      <c r="Z125" s="247"/>
      <c r="AA125" s="247"/>
      <c r="AB125" s="247"/>
      <c r="AC125" s="247"/>
      <c r="AD125" s="247"/>
      <c r="AE125" s="247"/>
      <c r="AF125" s="247"/>
      <c r="AG125" s="247"/>
      <c r="AH125" s="247"/>
      <c r="AI125" s="247"/>
      <c r="AJ125" s="247"/>
      <c r="AK125" s="247"/>
      <c r="AL125" s="247"/>
      <c r="AM125" s="243"/>
      <c r="AN125" s="243"/>
      <c r="AO125" s="243"/>
      <c r="AV125" s="243">
        <v>4547</v>
      </c>
      <c r="AY125" s="243"/>
      <c r="AZ125" s="243">
        <v>3972</v>
      </c>
      <c r="BD125" s="243">
        <v>3832</v>
      </c>
      <c r="DR125" s="247"/>
      <c r="DS125" s="247"/>
      <c r="DT125" s="247"/>
      <c r="DU125" s="247"/>
      <c r="DV125" s="247"/>
      <c r="DW125" s="247"/>
      <c r="DX125" s="247"/>
    </row>
    <row r="126" spans="2:143" ht="12.75" customHeight="1" x14ac:dyDescent="0.2">
      <c r="B126" t="s">
        <v>1221</v>
      </c>
      <c r="K126" s="247"/>
      <c r="L126" s="247"/>
      <c r="M126" s="247"/>
      <c r="N126" s="247"/>
      <c r="O126" s="247"/>
      <c r="P126" s="247"/>
      <c r="Q126" s="247"/>
      <c r="R126" s="247"/>
      <c r="S126" s="247"/>
      <c r="T126" s="247"/>
      <c r="U126" s="247"/>
      <c r="V126" s="247"/>
      <c r="W126" s="247"/>
      <c r="X126" s="247"/>
      <c r="Y126" s="247"/>
      <c r="Z126" s="247"/>
      <c r="AA126" s="247"/>
      <c r="AB126" s="247"/>
      <c r="AC126" s="247"/>
      <c r="AD126" s="247"/>
      <c r="AE126" s="247"/>
      <c r="AF126" s="247"/>
      <c r="AG126" s="247"/>
      <c r="AH126" s="247"/>
      <c r="AI126" s="247"/>
      <c r="AJ126" s="247"/>
      <c r="AK126" s="247"/>
      <c r="AL126" s="247"/>
      <c r="AM126" s="243"/>
      <c r="AN126" s="243"/>
      <c r="AO126" s="243"/>
      <c r="AV126" s="243">
        <v>1280</v>
      </c>
      <c r="AY126" s="243"/>
      <c r="AZ126" s="243">
        <v>1215</v>
      </c>
      <c r="BD126" s="243">
        <v>1375</v>
      </c>
      <c r="DR126" s="247"/>
      <c r="DS126" s="247"/>
      <c r="DT126" s="247"/>
      <c r="DU126" s="247"/>
      <c r="DV126" s="247"/>
      <c r="DW126" s="247"/>
      <c r="DX126" s="247"/>
    </row>
    <row r="127" spans="2:143" ht="12.75" customHeight="1" x14ac:dyDescent="0.2">
      <c r="B127" t="s">
        <v>1222</v>
      </c>
      <c r="K127" s="247"/>
      <c r="L127" s="247"/>
      <c r="M127" s="247"/>
      <c r="N127" s="247"/>
      <c r="O127" s="247"/>
      <c r="P127" s="247"/>
      <c r="Q127" s="247"/>
      <c r="R127" s="247"/>
      <c r="S127" s="247"/>
      <c r="T127" s="247"/>
      <c r="U127" s="247"/>
      <c r="V127" s="247"/>
      <c r="W127" s="247"/>
      <c r="X127" s="247"/>
      <c r="Y127" s="247"/>
      <c r="Z127" s="247"/>
      <c r="AA127" s="247"/>
      <c r="AB127" s="247"/>
      <c r="AC127" s="247"/>
      <c r="AD127" s="247"/>
      <c r="AE127" s="247"/>
      <c r="AF127" s="247"/>
      <c r="AG127" s="247"/>
      <c r="AH127" s="247"/>
      <c r="AI127" s="247"/>
      <c r="AJ127" s="247"/>
      <c r="AK127" s="247"/>
      <c r="AL127" s="247"/>
      <c r="AM127" s="243"/>
      <c r="AN127" s="243"/>
      <c r="AO127" s="243"/>
      <c r="AV127" s="243">
        <v>2413</v>
      </c>
      <c r="AY127" s="243"/>
      <c r="AZ127" s="243">
        <v>2396</v>
      </c>
      <c r="BD127" s="243">
        <v>2685</v>
      </c>
      <c r="DR127" s="247"/>
      <c r="DS127" s="247"/>
      <c r="DT127" s="247"/>
      <c r="DU127" s="247"/>
      <c r="DV127" s="247"/>
      <c r="DW127" s="247"/>
      <c r="DX127" s="247"/>
    </row>
    <row r="128" spans="2:143" ht="12.75" customHeight="1" x14ac:dyDescent="0.2">
      <c r="B128" t="s">
        <v>367</v>
      </c>
      <c r="K128" s="247">
        <v>2996</v>
      </c>
      <c r="L128" s="247">
        <v>3064</v>
      </c>
      <c r="M128" s="247">
        <v>2948</v>
      </c>
      <c r="N128" s="247">
        <v>3080</v>
      </c>
      <c r="O128" s="247">
        <v>3116</v>
      </c>
      <c r="P128" s="247">
        <v>3125</v>
      </c>
      <c r="Q128" s="247">
        <v>2975</v>
      </c>
      <c r="R128" s="247">
        <v>2919.5</v>
      </c>
      <c r="S128" s="247"/>
      <c r="T128" s="247"/>
      <c r="U128" s="247"/>
      <c r="V128" s="247"/>
      <c r="W128" s="247">
        <v>3222</v>
      </c>
      <c r="X128" s="247">
        <v>3474</v>
      </c>
      <c r="Y128" s="247">
        <v>3490</v>
      </c>
      <c r="Z128" s="247">
        <v>3657</v>
      </c>
      <c r="AA128" s="247">
        <v>3809.6</v>
      </c>
      <c r="AB128" s="247">
        <v>4220</v>
      </c>
      <c r="AC128" s="247">
        <v>4039.55</v>
      </c>
      <c r="AD128" s="247">
        <v>4516.3999999999996</v>
      </c>
      <c r="AE128" s="247">
        <v>4641</v>
      </c>
      <c r="AF128" s="247">
        <v>4816.3999999999996</v>
      </c>
      <c r="AG128" s="247">
        <v>4763</v>
      </c>
      <c r="AH128" s="247">
        <v>5358</v>
      </c>
      <c r="AI128" s="247">
        <v>5574</v>
      </c>
      <c r="AJ128" s="247">
        <v>5697</v>
      </c>
      <c r="AK128" s="247">
        <v>5343</v>
      </c>
      <c r="AL128" s="247">
        <v>5523</v>
      </c>
      <c r="AM128" s="243">
        <v>5621</v>
      </c>
      <c r="AN128" s="243">
        <v>5988</v>
      </c>
      <c r="AO128" s="243">
        <v>5799</v>
      </c>
      <c r="AV128" s="243">
        <v>8240</v>
      </c>
      <c r="AY128" s="243">
        <v>6974</v>
      </c>
      <c r="AZ128" s="243">
        <v>7583</v>
      </c>
      <c r="BD128" s="243">
        <v>7892</v>
      </c>
      <c r="DR128" s="247">
        <v>12088</v>
      </c>
      <c r="DS128" s="247">
        <v>12135.5</v>
      </c>
      <c r="DT128" s="247">
        <v>12492</v>
      </c>
      <c r="DU128" s="247">
        <v>13843</v>
      </c>
      <c r="DV128" s="247">
        <v>16586</v>
      </c>
      <c r="DW128" s="247">
        <v>19578</v>
      </c>
      <c r="DX128" s="247">
        <v>22137</v>
      </c>
    </row>
    <row r="129" spans="2:153" ht="12.75" customHeight="1" x14ac:dyDescent="0.2">
      <c r="B129" t="s">
        <v>368</v>
      </c>
      <c r="AK129" s="288"/>
      <c r="AM129" s="288">
        <v>6.0999999999999999E-2</v>
      </c>
      <c r="AO129" s="288">
        <v>6.7000000000000004E-2</v>
      </c>
      <c r="AV129" s="288">
        <v>3.9E-2</v>
      </c>
      <c r="AY129" s="288">
        <v>0.03</v>
      </c>
      <c r="AZ129" s="288">
        <v>3.9E-2</v>
      </c>
      <c r="BB129" s="288">
        <v>6.4000000000000001E-2</v>
      </c>
      <c r="BD129" s="288">
        <v>0.03</v>
      </c>
      <c r="BH129" s="288"/>
      <c r="BI129" s="288">
        <v>8.3000000000000004E-2</v>
      </c>
      <c r="EB129" s="288">
        <v>3.9E-2</v>
      </c>
    </row>
    <row r="130" spans="2:153" ht="12.75" customHeight="1" x14ac:dyDescent="0.2">
      <c r="B130" t="s">
        <v>369</v>
      </c>
      <c r="AK130" s="288"/>
      <c r="AM130" s="288">
        <v>-5.2999999999999999E-2</v>
      </c>
      <c r="AO130" s="288">
        <v>1.2E-2</v>
      </c>
      <c r="AV130" s="288">
        <v>-0.11899999999999999</v>
      </c>
      <c r="AY130" s="288">
        <v>-0.126</v>
      </c>
      <c r="AZ130" s="288">
        <v>-0.11899999999999999</v>
      </c>
      <c r="BB130" s="288">
        <v>9.1999999999999998E-2</v>
      </c>
      <c r="BD130" s="288">
        <v>1.0999999999999999E-2</v>
      </c>
      <c r="BH130" s="288"/>
      <c r="BI130" s="288">
        <v>8.1000000000000003E-2</v>
      </c>
      <c r="EB130" s="288">
        <v>-5.2999999999999999E-2</v>
      </c>
    </row>
    <row r="132" spans="2:153" ht="12.75" customHeight="1" x14ac:dyDescent="0.2">
      <c r="B132" t="s">
        <v>370</v>
      </c>
      <c r="AM132" s="76">
        <v>116000</v>
      </c>
      <c r="AO132" s="76">
        <v>115700</v>
      </c>
      <c r="AZ132" s="243">
        <v>117000</v>
      </c>
      <c r="DX132" s="76">
        <v>115600</v>
      </c>
    </row>
    <row r="133" spans="2:153" ht="12.75" customHeight="1" x14ac:dyDescent="0.2">
      <c r="B133" t="s">
        <v>371</v>
      </c>
      <c r="DY133" s="243">
        <v>14200</v>
      </c>
      <c r="DZ133" s="243">
        <v>15022</v>
      </c>
      <c r="EA133" s="243">
        <v>14972</v>
      </c>
      <c r="EB133" s="243">
        <v>16571</v>
      </c>
    </row>
    <row r="134" spans="2:153" ht="12.75" customHeight="1" x14ac:dyDescent="0.2">
      <c r="B134" t="s">
        <v>372</v>
      </c>
      <c r="DY134" s="243">
        <v>11600</v>
      </c>
      <c r="DZ134" s="243">
        <f>+DZ133-2942</f>
        <v>12080</v>
      </c>
      <c r="EA134" s="243">
        <f>+EA133-3066</f>
        <v>11906</v>
      </c>
      <c r="EB134" s="243">
        <f>+EB133-2365</f>
        <v>14206</v>
      </c>
    </row>
    <row r="135" spans="2:153" ht="12.75" customHeight="1" x14ac:dyDescent="0.2">
      <c r="B135" t="s">
        <v>1242</v>
      </c>
      <c r="AP135" s="243">
        <f t="shared" ref="AP135:AY135" si="659">+AP139-AP151-AP158</f>
        <v>-2493</v>
      </c>
      <c r="AQ135" s="243">
        <f t="shared" si="659"/>
        <v>-1489</v>
      </c>
      <c r="AR135" s="243">
        <f t="shared" si="659"/>
        <v>-495</v>
      </c>
      <c r="AS135" s="243">
        <f t="shared" si="659"/>
        <v>431</v>
      </c>
      <c r="AT135" s="243">
        <f t="shared" si="659"/>
        <v>-220</v>
      </c>
      <c r="AU135" s="243">
        <f t="shared" si="659"/>
        <v>-269</v>
      </c>
      <c r="AV135" s="243">
        <f t="shared" si="659"/>
        <v>-865</v>
      </c>
      <c r="AW135" s="243">
        <f t="shared" si="659"/>
        <v>161</v>
      </c>
      <c r="AX135" s="243">
        <f t="shared" si="659"/>
        <v>961</v>
      </c>
      <c r="AY135" s="243">
        <f t="shared" si="659"/>
        <v>-124</v>
      </c>
      <c r="AZ135" s="243">
        <f t="shared" ref="AZ135:BF135" si="660">+AZ139-AZ151-AZ158</f>
        <v>1120</v>
      </c>
      <c r="BA135" s="243">
        <f t="shared" si="660"/>
        <v>2756</v>
      </c>
      <c r="BB135" s="243">
        <f t="shared" si="660"/>
        <v>4884</v>
      </c>
      <c r="BC135" s="243">
        <f t="shared" si="660"/>
        <v>5907</v>
      </c>
      <c r="BD135" s="243">
        <f t="shared" si="660"/>
        <v>7249</v>
      </c>
      <c r="BE135" s="243">
        <f t="shared" si="660"/>
        <v>10101</v>
      </c>
      <c r="BF135" s="243">
        <f t="shared" si="660"/>
        <v>10885</v>
      </c>
      <c r="BG135" s="243">
        <f t="shared" ref="BG135:BH135" si="661">+BG139-BG151-BG158</f>
        <v>9037</v>
      </c>
      <c r="BH135" s="243">
        <f t="shared" si="661"/>
        <v>10956</v>
      </c>
      <c r="BI135" s="243">
        <f t="shared" ref="BI135:BP135" si="662">+BI139-BI151-BI158</f>
        <v>12570</v>
      </c>
      <c r="BJ135" s="243">
        <f t="shared" si="662"/>
        <v>12634</v>
      </c>
      <c r="BK135" s="243">
        <f t="shared" si="662"/>
        <v>14398</v>
      </c>
      <c r="BL135" s="243">
        <f>+BL139-BL151-BL158</f>
        <v>-650</v>
      </c>
      <c r="BM135" s="243">
        <f t="shared" si="662"/>
        <v>2920</v>
      </c>
      <c r="BN135" s="243">
        <f t="shared" si="662"/>
        <v>4924</v>
      </c>
      <c r="BO135" s="243">
        <f t="shared" si="662"/>
        <v>5776</v>
      </c>
      <c r="BP135" s="243">
        <f t="shared" si="662"/>
        <v>10147</v>
      </c>
      <c r="BQ135" s="243">
        <f t="shared" ref="BQ135:BR135" si="663">+BQ139-BQ151-BQ158</f>
        <v>10121</v>
      </c>
      <c r="BR135" s="243">
        <f t="shared" si="663"/>
        <v>11026</v>
      </c>
      <c r="EB135" s="243">
        <f>EB139-EB151-EB158</f>
        <v>4884</v>
      </c>
    </row>
    <row r="136" spans="2:153" ht="12.75" customHeight="1" x14ac:dyDescent="0.2">
      <c r="B136" t="s">
        <v>385</v>
      </c>
      <c r="AM136" s="243"/>
      <c r="AN136" s="243"/>
      <c r="AO136" s="243"/>
      <c r="AP136" s="243">
        <f t="shared" ref="AP136:BR136" si="664">(AP140/AP56)*91.25</f>
        <v>58.103347463821081</v>
      </c>
      <c r="AQ136" s="243">
        <f t="shared" si="664"/>
        <v>56.206419433949755</v>
      </c>
      <c r="AR136" s="243">
        <f t="shared" si="664"/>
        <v>57.068914278166687</v>
      </c>
      <c r="AS136" s="243">
        <f t="shared" si="664"/>
        <v>57.059372292929972</v>
      </c>
      <c r="AT136" s="243">
        <f t="shared" si="664"/>
        <v>54.005452152660276</v>
      </c>
      <c r="AU136" s="243">
        <f t="shared" si="664"/>
        <v>58.511794491787086</v>
      </c>
      <c r="AV136" s="243">
        <f t="shared" si="664"/>
        <v>58.461018237082065</v>
      </c>
      <c r="AW136" s="243">
        <f t="shared" si="664"/>
        <v>58.208341184598957</v>
      </c>
      <c r="AX136" s="243">
        <f t="shared" si="664"/>
        <v>58.415146225793706</v>
      </c>
      <c r="AY136" s="243">
        <f t="shared" si="664"/>
        <v>59.701766937308669</v>
      </c>
      <c r="AZ136" s="243">
        <f t="shared" si="664"/>
        <v>60.675651289454684</v>
      </c>
      <c r="BA136" s="243">
        <f t="shared" si="664"/>
        <v>62.194731781712086</v>
      </c>
      <c r="BB136" s="243">
        <f t="shared" si="664"/>
        <v>53.180925623829374</v>
      </c>
      <c r="BC136" s="243">
        <f t="shared" si="664"/>
        <v>58.482662657539507</v>
      </c>
      <c r="BD136" s="243">
        <f t="shared" si="664"/>
        <v>57.09573396581974</v>
      </c>
      <c r="BE136" s="243">
        <f t="shared" si="664"/>
        <v>62.672707248698437</v>
      </c>
      <c r="BF136" s="243">
        <f t="shared" si="664"/>
        <v>57.010834824852978</v>
      </c>
      <c r="BG136" s="243">
        <f t="shared" si="664"/>
        <v>58.414844394671704</v>
      </c>
      <c r="BH136" s="243">
        <f t="shared" si="664"/>
        <v>60.378833524130869</v>
      </c>
      <c r="BI136" s="243">
        <f t="shared" si="664"/>
        <v>60.160574820368637</v>
      </c>
      <c r="BJ136" s="243">
        <f t="shared" si="664"/>
        <v>51.29994421125339</v>
      </c>
      <c r="BK136" s="243">
        <f t="shared" si="664"/>
        <v>62.092291963566517</v>
      </c>
      <c r="BL136" s="243">
        <f t="shared" si="664"/>
        <v>60.328401299169975</v>
      </c>
      <c r="BM136" s="243">
        <f t="shared" si="664"/>
        <v>59.317011808504446</v>
      </c>
      <c r="BN136" s="243">
        <f t="shared" si="664"/>
        <v>58.003836209319317</v>
      </c>
      <c r="BO136" s="243">
        <f t="shared" si="664"/>
        <v>59.878262480054708</v>
      </c>
      <c r="BP136" s="243">
        <f t="shared" si="664"/>
        <v>59.096498076172416</v>
      </c>
      <c r="BQ136" s="243">
        <f t="shared" si="664"/>
        <v>62.218025398265212</v>
      </c>
      <c r="BR136" s="243">
        <f t="shared" si="664"/>
        <v>57.927009376185573</v>
      </c>
      <c r="DX136" s="243"/>
      <c r="DY136" s="243"/>
      <c r="EB136" s="243">
        <f>EB140/EB56*365</f>
        <v>56.881432056480932</v>
      </c>
    </row>
    <row r="137" spans="2:153" ht="12.75" customHeight="1" x14ac:dyDescent="0.2">
      <c r="AM137" s="243"/>
      <c r="AN137" s="243"/>
      <c r="AO137" s="243"/>
      <c r="AP137" s="243"/>
      <c r="AQ137" s="243"/>
      <c r="AR137" s="243"/>
      <c r="AS137" s="243"/>
      <c r="AT137" s="243"/>
      <c r="AU137" s="243"/>
      <c r="AV137" s="243"/>
      <c r="AW137" s="243"/>
      <c r="AX137" s="243"/>
      <c r="AY137" s="243"/>
      <c r="AZ137" s="243"/>
      <c r="BA137" s="243"/>
      <c r="BB137" s="243"/>
      <c r="BC137" s="243"/>
      <c r="BD137" s="243"/>
      <c r="BE137" s="243"/>
      <c r="BF137" s="243"/>
      <c r="BG137" s="243"/>
      <c r="BH137" s="243"/>
      <c r="BI137" s="243"/>
      <c r="BJ137" s="243"/>
      <c r="BK137" s="243"/>
      <c r="BL137" s="243"/>
      <c r="BM137" s="243"/>
      <c r="BN137" s="243"/>
      <c r="BO137" s="243"/>
      <c r="BP137" s="243"/>
      <c r="BQ137" s="243"/>
      <c r="BR137" s="243"/>
      <c r="DX137" s="243"/>
      <c r="DY137" s="243"/>
      <c r="EB137" s="243"/>
    </row>
    <row r="138" spans="2:153" ht="12.75" customHeight="1" x14ac:dyDescent="0.2">
      <c r="B138" t="s">
        <v>1242</v>
      </c>
      <c r="AM138" s="243"/>
      <c r="AN138" s="243"/>
      <c r="AO138" s="243"/>
      <c r="AP138" s="243"/>
      <c r="AQ138" s="243"/>
      <c r="AR138" s="243"/>
      <c r="AS138" s="243"/>
      <c r="AT138" s="243"/>
      <c r="AU138" s="243"/>
      <c r="AV138" s="243"/>
      <c r="AW138" s="243"/>
      <c r="AX138" s="243"/>
      <c r="AY138" s="243"/>
      <c r="AZ138" s="243"/>
      <c r="BA138" s="243"/>
      <c r="BB138" s="243"/>
      <c r="BC138" s="243"/>
      <c r="BD138" s="243"/>
      <c r="BE138" s="243"/>
      <c r="BF138" s="243"/>
      <c r="BG138" s="243"/>
      <c r="BH138" s="243"/>
      <c r="BI138" s="243"/>
      <c r="BJ138" s="243"/>
      <c r="BK138" s="243"/>
      <c r="BL138" s="243"/>
      <c r="BM138" s="243"/>
      <c r="BN138" s="243"/>
      <c r="BO138" s="243"/>
      <c r="BP138" s="243"/>
      <c r="BQ138" s="243"/>
      <c r="BR138" s="243"/>
      <c r="CX138" s="243">
        <f>+CX139-CX151-CX158</f>
        <v>-2143</v>
      </c>
      <c r="CY138" s="243">
        <f>+CY139-CY151-CY158</f>
        <v>-2760</v>
      </c>
      <c r="CZ138" s="243">
        <f>+CZ139-CZ151-CZ158</f>
        <v>-29</v>
      </c>
      <c r="DA138" s="243">
        <f>+DA139-DA151-DA158</f>
        <v>2052</v>
      </c>
      <c r="DB138" s="243">
        <f t="shared" ref="DB138:DF138" si="665">+DA138+DB67</f>
        <v>10041.619199999999</v>
      </c>
      <c r="DC138" s="243">
        <f t="shared" si="665"/>
        <v>18011.1682</v>
      </c>
      <c r="DD138" s="243">
        <f t="shared" si="665"/>
        <v>26187.9948</v>
      </c>
      <c r="DE138" s="243">
        <f t="shared" si="665"/>
        <v>34340.773200000003</v>
      </c>
      <c r="DF138" s="243">
        <f t="shared" si="665"/>
        <v>42581.11948400001</v>
      </c>
      <c r="DX138" s="243"/>
      <c r="DY138" s="243"/>
      <c r="EB138" s="243"/>
    </row>
    <row r="139" spans="2:153" ht="12.75" customHeight="1" x14ac:dyDescent="0.2">
      <c r="B139" t="s">
        <v>373</v>
      </c>
      <c r="AM139" s="243">
        <f>16822+363+20</f>
        <v>17205</v>
      </c>
      <c r="AN139" s="243"/>
      <c r="AO139" s="243"/>
      <c r="AP139" s="243">
        <f>4083+1+16</f>
        <v>4100</v>
      </c>
      <c r="AQ139" s="243">
        <f>5175+16+14</f>
        <v>5205</v>
      </c>
      <c r="AR139" s="243">
        <f>5571+400+17</f>
        <v>5988</v>
      </c>
      <c r="AS139" s="243">
        <f>6640+1680+8</f>
        <v>8328</v>
      </c>
      <c r="AT139" s="243">
        <f>7770+1545+2</f>
        <v>9317</v>
      </c>
      <c r="AU139" s="243">
        <f>10539+605+3</f>
        <v>11147</v>
      </c>
      <c r="AV139" s="243">
        <f>12646+412+3</f>
        <v>13061</v>
      </c>
      <c r="AW139" s="243">
        <f>14018+781+2</f>
        <v>14801</v>
      </c>
      <c r="AX139" s="243">
        <f>10768+2041+4</f>
        <v>12813</v>
      </c>
      <c r="AY139" s="243">
        <f>12589+1344+17</f>
        <v>13950</v>
      </c>
      <c r="AZ139" s="243">
        <f>11686+3030+18</f>
        <v>14734</v>
      </c>
      <c r="BA139" s="243">
        <f>11856+2481+19</f>
        <v>14356</v>
      </c>
      <c r="BB139" s="243">
        <f>15810+3615</f>
        <v>19425</v>
      </c>
      <c r="BC139" s="243">
        <f>13743+4267</f>
        <v>18010</v>
      </c>
      <c r="BD139" s="243">
        <f>12713+6188</f>
        <v>18901</v>
      </c>
      <c r="BE139" s="243">
        <f>14338+7788</f>
        <v>22126</v>
      </c>
      <c r="BF139" s="243">
        <f>19355+8303</f>
        <v>27658</v>
      </c>
      <c r="BG139" s="243">
        <f>22356+4511</f>
        <v>26867</v>
      </c>
      <c r="BH139" s="243">
        <f>14974+14708</f>
        <v>29682</v>
      </c>
      <c r="BI139" s="243">
        <f>15617+15310</f>
        <v>30927</v>
      </c>
      <c r="BJ139" s="243">
        <f>24542+7719</f>
        <v>32261</v>
      </c>
      <c r="BK139" s="243">
        <f>30267+3580</f>
        <v>33847</v>
      </c>
      <c r="BL139" s="243">
        <f>14042+2873</f>
        <v>16915</v>
      </c>
      <c r="BM139" s="243">
        <f>15486+4285</f>
        <v>19771</v>
      </c>
      <c r="BN139" s="243">
        <f>14911+6178</f>
        <v>21089</v>
      </c>
      <c r="BO139" s="243">
        <f>14855+6813</f>
        <v>21668</v>
      </c>
      <c r="BP139" s="243">
        <f>17307+7822</f>
        <v>25129</v>
      </c>
      <c r="BQ139" s="243">
        <f>17204+8024</f>
        <v>25228</v>
      </c>
      <c r="BR139" s="243">
        <f>20927+8279</f>
        <v>29206</v>
      </c>
      <c r="CX139" s="243">
        <f>14487+17121</f>
        <v>31608</v>
      </c>
      <c r="CY139" s="243">
        <f>10463+19925</f>
        <v>30388</v>
      </c>
      <c r="CZ139" s="243">
        <f>10983+21585</f>
        <v>32568</v>
      </c>
      <c r="DA139" s="243">
        <f>11355+22724</f>
        <v>34079</v>
      </c>
      <c r="DX139" s="243">
        <f>16055+83</f>
        <v>16138</v>
      </c>
      <c r="DY139" s="243">
        <f>4083+1+16</f>
        <v>4100</v>
      </c>
      <c r="DZ139" s="243">
        <v>150</v>
      </c>
      <c r="EA139" s="243">
        <v>50</v>
      </c>
      <c r="EB139" s="243">
        <f>15810+3615</f>
        <v>19425</v>
      </c>
      <c r="EC139" s="243">
        <f t="shared" ref="EC139:EQ139" si="666">EB139+EC67</f>
        <v>32572</v>
      </c>
      <c r="ED139" s="243">
        <f t="shared" si="666"/>
        <v>49103</v>
      </c>
      <c r="EE139" s="243">
        <f t="shared" si="666"/>
        <v>62614</v>
      </c>
      <c r="EF139" s="243">
        <f t="shared" si="666"/>
        <v>77935.554999999993</v>
      </c>
      <c r="EG139" s="243">
        <f t="shared" si="666"/>
        <v>98089.025070655771</v>
      </c>
      <c r="EH139" s="243">
        <f t="shared" si="666"/>
        <v>148712.81999075905</v>
      </c>
      <c r="EI139" s="243">
        <f t="shared" si="666"/>
        <v>197083.20322343407</v>
      </c>
      <c r="EJ139" s="243">
        <f t="shared" si="666"/>
        <v>232049.90016950844</v>
      </c>
      <c r="EK139" s="243">
        <f t="shared" si="666"/>
        <v>267150.76029403391</v>
      </c>
      <c r="EL139" s="243">
        <f t="shared" si="666"/>
        <v>302611.10636824043</v>
      </c>
      <c r="EM139" s="243">
        <f t="shared" si="666"/>
        <v>344234.15301712131</v>
      </c>
      <c r="EN139" s="243">
        <f t="shared" si="666"/>
        <v>368534.15301712131</v>
      </c>
      <c r="EO139" s="243">
        <f t="shared" si="666"/>
        <v>398218.79989093554</v>
      </c>
      <c r="EP139" s="243">
        <f t="shared" si="666"/>
        <v>427790.21811527654</v>
      </c>
      <c r="EQ139" s="243">
        <f t="shared" si="666"/>
        <v>457612.98085383506</v>
      </c>
      <c r="ER139" s="243"/>
      <c r="ES139" s="243"/>
      <c r="ET139" s="243"/>
      <c r="EU139" s="243"/>
      <c r="EV139" s="243"/>
      <c r="EW139" s="243"/>
    </row>
    <row r="140" spans="2:153" ht="12.75" customHeight="1" x14ac:dyDescent="0.2">
      <c r="B140" t="s">
        <v>374</v>
      </c>
      <c r="AM140" s="243">
        <v>7671</v>
      </c>
      <c r="AN140" s="243"/>
      <c r="AO140" s="243"/>
      <c r="AP140" s="243">
        <v>8712</v>
      </c>
      <c r="AQ140" s="243">
        <v>9293</v>
      </c>
      <c r="AR140" s="243">
        <v>9470</v>
      </c>
      <c r="AS140" s="243">
        <v>9384</v>
      </c>
      <c r="AT140" s="243">
        <v>9444</v>
      </c>
      <c r="AU140" s="243">
        <v>10384</v>
      </c>
      <c r="AV140" s="243">
        <v>10539</v>
      </c>
      <c r="AW140" s="243">
        <v>10156</v>
      </c>
      <c r="AX140" s="243">
        <v>9719</v>
      </c>
      <c r="AY140" s="243">
        <v>9831</v>
      </c>
      <c r="AZ140" s="243">
        <v>10133</v>
      </c>
      <c r="BA140" s="243">
        <v>10279</v>
      </c>
      <c r="BB140" s="243">
        <v>9646</v>
      </c>
      <c r="BC140" s="243">
        <v>10018</v>
      </c>
      <c r="BD140" s="243">
        <v>9629</v>
      </c>
      <c r="BE140" s="243">
        <v>10290</v>
      </c>
      <c r="BF140" s="243">
        <v>9774</v>
      </c>
      <c r="BG140" s="243">
        <v>10861</v>
      </c>
      <c r="BH140" s="243">
        <v>10982</v>
      </c>
      <c r="BI140" s="243">
        <v>10552</v>
      </c>
      <c r="BJ140" s="243">
        <v>10581</v>
      </c>
      <c r="BK140" s="243">
        <v>10982</v>
      </c>
      <c r="BL140" s="243">
        <v>10992</v>
      </c>
      <c r="BM140" s="243">
        <v>11175</v>
      </c>
      <c r="BN140" s="243">
        <v>11309</v>
      </c>
      <c r="BO140" s="243">
        <v>11515</v>
      </c>
      <c r="BP140" s="243">
        <v>11614</v>
      </c>
      <c r="BQ140" s="243">
        <v>12027</v>
      </c>
      <c r="BR140" s="243">
        <v>11713</v>
      </c>
      <c r="CX140" s="243">
        <v>15283</v>
      </c>
      <c r="CY140" s="243">
        <v>15594</v>
      </c>
      <c r="CZ140" s="243">
        <v>16139</v>
      </c>
      <c r="DA140" s="243">
        <v>15890</v>
      </c>
      <c r="DX140" s="243"/>
      <c r="DY140" s="243">
        <v>8712</v>
      </c>
      <c r="EB140" s="243">
        <v>9646</v>
      </c>
    </row>
    <row r="141" spans="2:153" ht="12.75" customHeight="1" x14ac:dyDescent="0.2">
      <c r="B141" t="s">
        <v>375</v>
      </c>
      <c r="AM141" s="243">
        <v>4240</v>
      </c>
      <c r="AN141" s="243"/>
      <c r="AO141" s="243"/>
      <c r="AP141" s="243">
        <v>4889</v>
      </c>
      <c r="AQ141" s="243">
        <v>5047</v>
      </c>
      <c r="AR141" s="243">
        <v>5155</v>
      </c>
      <c r="AS141" s="243">
        <v>5414</v>
      </c>
      <c r="AT141" s="243">
        <v>5110</v>
      </c>
      <c r="AU141" s="243">
        <v>5575</v>
      </c>
      <c r="AV141" s="243">
        <v>5700</v>
      </c>
      <c r="AW141" s="243">
        <v>5473</v>
      </c>
      <c r="AX141" s="243">
        <v>5052</v>
      </c>
      <c r="AY141" s="243">
        <v>5359</v>
      </c>
      <c r="AZ141" s="243">
        <v>5472</v>
      </c>
      <c r="BA141" s="243">
        <v>5568</v>
      </c>
      <c r="BB141" s="243">
        <v>5180</v>
      </c>
      <c r="BC141" s="243">
        <v>5308</v>
      </c>
      <c r="BD141" s="243">
        <v>5071</v>
      </c>
      <c r="BE141" s="243">
        <v>5409</v>
      </c>
      <c r="BF141" s="243">
        <v>5378</v>
      </c>
      <c r="BG141" s="243">
        <v>6200</v>
      </c>
      <c r="BH141" s="243">
        <v>6413</v>
      </c>
      <c r="BI141" s="243">
        <v>6428</v>
      </c>
      <c r="BJ141" s="243">
        <v>6285</v>
      </c>
      <c r="BK141" s="243">
        <v>6800</v>
      </c>
      <c r="BL141" s="243">
        <v>7697</v>
      </c>
      <c r="BM141" s="243">
        <v>7809</v>
      </c>
      <c r="BN141" s="243">
        <v>7495</v>
      </c>
      <c r="BO141" s="243">
        <v>7691</v>
      </c>
      <c r="BP141" s="243">
        <v>7822</v>
      </c>
      <c r="BQ141" s="243">
        <v>8124</v>
      </c>
      <c r="BR141" s="243">
        <v>7878</v>
      </c>
      <c r="CX141" s="243">
        <v>10387</v>
      </c>
      <c r="CY141" s="243">
        <v>10990</v>
      </c>
      <c r="CZ141" s="243">
        <v>11437</v>
      </c>
      <c r="DA141" s="243">
        <v>11675</v>
      </c>
      <c r="DX141" s="243"/>
      <c r="DY141" s="243">
        <v>4889</v>
      </c>
      <c r="EB141" s="243">
        <v>5180</v>
      </c>
    </row>
    <row r="142" spans="2:153" ht="12.75" customHeight="1" x14ac:dyDescent="0.2">
      <c r="B142" t="s">
        <v>376</v>
      </c>
      <c r="AM142" s="243">
        <v>1995</v>
      </c>
      <c r="AN142" s="243"/>
      <c r="AO142" s="243"/>
      <c r="AP142" s="243">
        <v>2094</v>
      </c>
      <c r="AQ142" s="243">
        <v>2088</v>
      </c>
      <c r="AR142" s="243">
        <v>2194</v>
      </c>
      <c r="AS142" s="243">
        <v>2594</v>
      </c>
      <c r="AT142" s="243">
        <v>2609</v>
      </c>
      <c r="AU142" s="243">
        <v>2602</v>
      </c>
      <c r="AV142" s="243">
        <v>2612</v>
      </c>
      <c r="AW142" s="243">
        <v>2584</v>
      </c>
      <c r="AX142" s="243">
        <v>3430</v>
      </c>
      <c r="AY142" s="243">
        <v>2342</v>
      </c>
      <c r="AZ142" s="243">
        <v>2454</v>
      </c>
      <c r="BA142" s="243">
        <v>2650</v>
      </c>
      <c r="BB142" s="243">
        <v>2793</v>
      </c>
      <c r="BC142" s="243">
        <v>2232</v>
      </c>
      <c r="BD142" s="243">
        <v>2250</v>
      </c>
      <c r="BE142" s="243">
        <v>2418</v>
      </c>
      <c r="BF142" s="243">
        <v>2224</v>
      </c>
      <c r="BG142" s="243">
        <v>2272</v>
      </c>
      <c r="BH142" s="243">
        <v>2306</v>
      </c>
      <c r="BI142" s="243">
        <v>2480</v>
      </c>
      <c r="BJ142" s="243">
        <v>2556</v>
      </c>
      <c r="BK142" s="243">
        <v>2695</v>
      </c>
      <c r="BL142" s="243">
        <v>3117</v>
      </c>
      <c r="BM142" s="243">
        <v>3247</v>
      </c>
      <c r="BN142" s="243">
        <v>3139</v>
      </c>
      <c r="BO142" s="243">
        <v>3094</v>
      </c>
      <c r="BP142" s="243">
        <v>3283</v>
      </c>
      <c r="BQ142" s="243">
        <v>3485</v>
      </c>
      <c r="BR142" s="243">
        <v>3607</v>
      </c>
      <c r="CX142" s="243">
        <v>0</v>
      </c>
      <c r="CY142" s="243">
        <v>0</v>
      </c>
      <c r="CZ142" s="243">
        <v>0</v>
      </c>
      <c r="DA142" s="243">
        <v>0</v>
      </c>
      <c r="DX142" s="243"/>
      <c r="DY142" s="243">
        <v>2094</v>
      </c>
      <c r="EB142" s="243">
        <v>2793</v>
      </c>
    </row>
    <row r="143" spans="2:153" ht="12.75" customHeight="1" x14ac:dyDescent="0.2">
      <c r="B143" t="s">
        <v>377</v>
      </c>
      <c r="AM143" s="243">
        <v>2661</v>
      </c>
      <c r="AN143" s="243"/>
      <c r="AO143" s="243"/>
      <c r="AP143" s="243">
        <v>3196</v>
      </c>
      <c r="AQ143" s="243">
        <v>3054</v>
      </c>
      <c r="AR143" s="243">
        <v>3014</v>
      </c>
      <c r="AS143" s="243">
        <v>3229</v>
      </c>
      <c r="AT143" s="243">
        <v>3467</v>
      </c>
      <c r="AU143" s="243">
        <v>4413</v>
      </c>
      <c r="AV143" s="243">
        <v>3908</v>
      </c>
      <c r="AW143" s="243">
        <v>3578</v>
      </c>
      <c r="AX143" s="243">
        <v>3367</v>
      </c>
      <c r="AY143" s="243">
        <v>3374</v>
      </c>
      <c r="AZ143" s="243">
        <v>2719</v>
      </c>
      <c r="BA143" s="243">
        <v>2768</v>
      </c>
      <c r="BB143" s="243">
        <v>2497</v>
      </c>
      <c r="BC143" s="243">
        <v>3293</v>
      </c>
      <c r="BD143" s="243">
        <v>3172</v>
      </c>
      <c r="BE143" s="243">
        <v>2474</v>
      </c>
      <c r="BF143" s="243">
        <v>2273</v>
      </c>
      <c r="BG143" s="243">
        <v>3021</v>
      </c>
      <c r="BH143" s="243">
        <v>3290</v>
      </c>
      <c r="BI143" s="243">
        <v>3056</v>
      </c>
      <c r="BJ143" s="243">
        <v>2633</v>
      </c>
      <c r="BK143" s="243">
        <v>2683</v>
      </c>
      <c r="BL143" s="243">
        <v>2894</v>
      </c>
      <c r="BM143" s="243">
        <v>2789</v>
      </c>
      <c r="BN143" s="243">
        <v>3084</v>
      </c>
      <c r="BO143" s="243">
        <v>3260</v>
      </c>
      <c r="BP143" s="243">
        <v>3425</v>
      </c>
      <c r="BQ143" s="243">
        <v>3312</v>
      </c>
      <c r="BR143" s="243">
        <v>4003</v>
      </c>
      <c r="CX143" s="243">
        <v>3701</v>
      </c>
      <c r="CY143" s="243">
        <v>3452</v>
      </c>
      <c r="CZ143" s="243">
        <v>3703</v>
      </c>
      <c r="DA143" s="243">
        <v>3592</v>
      </c>
      <c r="DX143" s="243"/>
      <c r="DY143" s="243">
        <v>3196</v>
      </c>
      <c r="EB143" s="243">
        <v>2497</v>
      </c>
    </row>
    <row r="144" spans="2:153" ht="12.75" customHeight="1" x14ac:dyDescent="0.2">
      <c r="B144" t="s">
        <v>378</v>
      </c>
      <c r="AM144" s="243">
        <f>SUM(AM139:AM143)</f>
        <v>33772</v>
      </c>
      <c r="AN144" s="243"/>
      <c r="AO144" s="243"/>
      <c r="AP144" s="243">
        <v>22975</v>
      </c>
      <c r="AQ144" s="243">
        <v>24673</v>
      </c>
      <c r="AR144" s="243">
        <v>28941</v>
      </c>
      <c r="AS144" s="243">
        <v>28941</v>
      </c>
      <c r="AT144" s="243">
        <v>29945</v>
      </c>
      <c r="AU144" s="243">
        <v>33818</v>
      </c>
      <c r="AV144" s="243">
        <v>35817</v>
      </c>
      <c r="AW144" s="243">
        <f t="shared" ref="AW144:BB144" si="667">SUM(AW139:AW143)</f>
        <v>36592</v>
      </c>
      <c r="AX144" s="243">
        <f t="shared" si="667"/>
        <v>34381</v>
      </c>
      <c r="AY144" s="243">
        <f t="shared" si="667"/>
        <v>34856</v>
      </c>
      <c r="AZ144" s="243">
        <f t="shared" si="667"/>
        <v>35512</v>
      </c>
      <c r="BA144" s="243">
        <f t="shared" si="667"/>
        <v>35621</v>
      </c>
      <c r="BB144" s="243">
        <f t="shared" si="667"/>
        <v>39541</v>
      </c>
      <c r="BC144" s="243">
        <f t="shared" ref="BC144:BF144" si="668">SUM(BC139:BC143)</f>
        <v>38861</v>
      </c>
      <c r="BD144" s="243">
        <f t="shared" ref="BD144" si="669">SUM(BD139:BD143)</f>
        <v>39023</v>
      </c>
      <c r="BE144" s="243">
        <f t="shared" si="668"/>
        <v>42717</v>
      </c>
      <c r="BF144" s="243">
        <f t="shared" si="668"/>
        <v>47307</v>
      </c>
      <c r="BG144" s="243">
        <f t="shared" ref="BG144:BH144" si="670">SUM(BG139:BG143)</f>
        <v>49221</v>
      </c>
      <c r="BH144" s="243">
        <f t="shared" si="670"/>
        <v>52673</v>
      </c>
      <c r="BI144" s="243">
        <f>SUM(BI139:BI143)</f>
        <v>53443</v>
      </c>
      <c r="BJ144" s="243">
        <f t="shared" ref="BJ144:BM144" si="671">SUM(BJ139:BJ143)</f>
        <v>54316</v>
      </c>
      <c r="BK144" s="243">
        <f t="shared" si="671"/>
        <v>57007</v>
      </c>
      <c r="BL144" s="243">
        <f t="shared" si="671"/>
        <v>41615</v>
      </c>
      <c r="BM144" s="243">
        <f t="shared" si="671"/>
        <v>44791</v>
      </c>
      <c r="BN144" s="243">
        <f>SUM(BN139:BN143)</f>
        <v>46116</v>
      </c>
      <c r="BO144" s="243">
        <f>SUM(BO139:BO143)</f>
        <v>47228</v>
      </c>
      <c r="BP144" s="243">
        <f>SUM(BP139:BP143)</f>
        <v>51273</v>
      </c>
      <c r="BQ144" s="243">
        <f>SUM(BQ139:BQ143)</f>
        <v>52176</v>
      </c>
      <c r="BR144" s="243">
        <f>SUM(BR139:BR143)</f>
        <v>56407</v>
      </c>
      <c r="CX144" s="243">
        <f>SUM(CX139:CX143)</f>
        <v>60979</v>
      </c>
      <c r="CY144" s="243">
        <f>SUM(CY139:CY143)</f>
        <v>60424</v>
      </c>
      <c r="CZ144" s="243">
        <f>SUM(CZ139:CZ143)</f>
        <v>63847</v>
      </c>
      <c r="DA144" s="243">
        <f>SUM(DA139:DA143)</f>
        <v>65236</v>
      </c>
      <c r="DX144" s="243"/>
      <c r="DY144" s="243">
        <f>SUM(DY139:DY143)</f>
        <v>22991</v>
      </c>
      <c r="EB144" s="243">
        <f>SUM(EB139:EB143)</f>
        <v>39541</v>
      </c>
    </row>
    <row r="145" spans="2:132" ht="12.75" customHeight="1" x14ac:dyDescent="0.2">
      <c r="B145" t="s">
        <v>379</v>
      </c>
      <c r="AM145" s="243">
        <v>10951</v>
      </c>
      <c r="AN145" s="243"/>
      <c r="AO145" s="243"/>
      <c r="AP145" s="243">
        <v>13044</v>
      </c>
      <c r="AQ145" s="243">
        <v>13180</v>
      </c>
      <c r="AR145" s="243">
        <v>13385</v>
      </c>
      <c r="AS145" s="243">
        <v>13613</v>
      </c>
      <c r="AT145" s="243">
        <v>14185</v>
      </c>
      <c r="AU145" s="243">
        <v>14486</v>
      </c>
      <c r="AV145" s="243">
        <v>14627</v>
      </c>
      <c r="AW145" s="243">
        <v>14355</v>
      </c>
      <c r="AX145" s="243">
        <v>14365</v>
      </c>
      <c r="AY145" s="243">
        <v>14253</v>
      </c>
      <c r="AZ145" s="243">
        <v>14502</v>
      </c>
      <c r="BA145" s="243">
        <v>14815</v>
      </c>
      <c r="BB145" s="243">
        <v>14759</v>
      </c>
      <c r="BC145" s="243">
        <v>14277</v>
      </c>
      <c r="BD145" s="243">
        <v>13881</v>
      </c>
      <c r="BE145" s="243">
        <v>14360</v>
      </c>
      <c r="BF145" s="243">
        <v>14553</v>
      </c>
      <c r="BG145" s="243">
        <v>15084</v>
      </c>
      <c r="BH145" s="243">
        <v>14974</v>
      </c>
      <c r="BI145" s="243">
        <v>14635</v>
      </c>
      <c r="BJ145" s="243">
        <v>14739</v>
      </c>
      <c r="BK145" s="243">
        <v>14824</v>
      </c>
      <c r="BL145" s="243">
        <v>15622</v>
      </c>
      <c r="BM145" s="243">
        <v>15845</v>
      </c>
      <c r="BN145" s="243">
        <v>16097</v>
      </c>
      <c r="BO145" s="243">
        <v>15721</v>
      </c>
      <c r="BP145" s="243">
        <v>15794</v>
      </c>
      <c r="BQ145" s="243">
        <v>16127</v>
      </c>
      <c r="BR145" s="243">
        <v>16710</v>
      </c>
      <c r="CX145" s="243">
        <v>18962</v>
      </c>
      <c r="CY145" s="243">
        <v>18701</v>
      </c>
      <c r="CZ145" s="243">
        <v>18354</v>
      </c>
      <c r="DA145" s="243">
        <v>18152</v>
      </c>
      <c r="DX145" s="243"/>
      <c r="DY145" s="243">
        <v>13044</v>
      </c>
      <c r="EB145" s="243">
        <v>14759</v>
      </c>
    </row>
    <row r="146" spans="2:132" ht="12.75" customHeight="1" x14ac:dyDescent="0.2">
      <c r="B146" t="s">
        <v>380</v>
      </c>
      <c r="AM146" s="243">
        <f>6438+6460</f>
        <v>12898</v>
      </c>
      <c r="AN146" s="243"/>
      <c r="AO146" s="243"/>
      <c r="AP146" s="243">
        <f>15348+13340</f>
        <v>28688</v>
      </c>
      <c r="AQ146" s="243">
        <f>15568+13663</f>
        <v>29231</v>
      </c>
      <c r="AR146" s="243">
        <f>15412+13754</f>
        <v>29166</v>
      </c>
      <c r="AS146" s="243">
        <f>15468+14040</f>
        <v>29508</v>
      </c>
      <c r="AT146" s="243">
        <f>14640+14123</f>
        <v>28763</v>
      </c>
      <c r="AU146" s="243">
        <f>14818+14615</f>
        <v>29433</v>
      </c>
      <c r="AV146" s="243">
        <f>14675+14526</f>
        <v>29201</v>
      </c>
      <c r="AW146" s="243">
        <f>14296+14275</f>
        <v>28571</v>
      </c>
      <c r="AX146" s="243">
        <f>13976+13719</f>
        <v>27695</v>
      </c>
      <c r="AY146" s="243">
        <f>14840+14083</f>
        <v>28923</v>
      </c>
      <c r="AZ146" s="243">
        <f>14720+14152</f>
        <v>28872</v>
      </c>
      <c r="BA146" s="243">
        <f>16636+15017</f>
        <v>31653</v>
      </c>
      <c r="BB146" s="243">
        <f>16323+14862</f>
        <v>31185</v>
      </c>
      <c r="BC146" s="243">
        <f>16799+14977</f>
        <v>31776</v>
      </c>
      <c r="BD146" s="243">
        <f>16459+14628</f>
        <v>31087</v>
      </c>
      <c r="BE146" s="243">
        <f>17068+15375</f>
        <v>32443</v>
      </c>
      <c r="BF146" s="243">
        <f>16716+15294</f>
        <v>32010</v>
      </c>
      <c r="BG146" s="243">
        <f>18687+16126</f>
        <v>34813</v>
      </c>
      <c r="BH146" s="243">
        <f>18378+16243</f>
        <v>34621</v>
      </c>
      <c r="BI146" s="243">
        <f>18225+16049</f>
        <v>34274</v>
      </c>
      <c r="BJ146" s="243">
        <f>18138+16138</f>
        <v>34276</v>
      </c>
      <c r="BK146" s="243">
        <f>18157+16339</f>
        <v>34496</v>
      </c>
      <c r="BL146" s="243">
        <f>29199+21412</f>
        <v>50611</v>
      </c>
      <c r="BM146" s="243">
        <f>28790+21777</f>
        <v>50567</v>
      </c>
      <c r="BN146" s="243">
        <f>28752+22424</f>
        <v>51176</v>
      </c>
      <c r="BO146" s="243">
        <f>28009+22349</f>
        <v>50358</v>
      </c>
      <c r="BP146" s="243">
        <f>27704+22337</f>
        <v>50041</v>
      </c>
      <c r="BQ146" s="243">
        <f>28467+22852</f>
        <v>51319</v>
      </c>
      <c r="BR146" s="243">
        <f>27947+22798</f>
        <v>50745</v>
      </c>
      <c r="CX146" s="243">
        <f>46392+35246</f>
        <v>81638</v>
      </c>
      <c r="CY146" s="243">
        <f>44420+34935</f>
        <v>79355</v>
      </c>
      <c r="CZ146" s="243">
        <f>42408+34166</f>
        <v>76574</v>
      </c>
      <c r="DA146" s="243">
        <f>40336+33383</f>
        <v>73719</v>
      </c>
      <c r="DX146" s="243"/>
      <c r="DY146" s="243">
        <f>15348+13340</f>
        <v>28688</v>
      </c>
      <c r="EB146" s="243">
        <f>16323+14862</f>
        <v>31185</v>
      </c>
    </row>
    <row r="147" spans="2:132" ht="12.75" customHeight="1" x14ac:dyDescent="0.2">
      <c r="B147" t="s">
        <v>376</v>
      </c>
      <c r="AM147" s="243">
        <v>1269</v>
      </c>
      <c r="AN147" s="243"/>
      <c r="AO147" s="243"/>
      <c r="AP147" s="243">
        <v>3210</v>
      </c>
      <c r="AQ147" s="243">
        <v>3273</v>
      </c>
      <c r="AR147" s="243">
        <v>3575</v>
      </c>
      <c r="AS147" s="243">
        <v>3808</v>
      </c>
      <c r="AT147" s="243">
        <v>4889</v>
      </c>
      <c r="AU147" s="243">
        <v>5129</v>
      </c>
      <c r="AV147" s="243">
        <v>5422</v>
      </c>
      <c r="AW147" s="243">
        <v>5191</v>
      </c>
      <c r="AX147" s="243">
        <v>5841</v>
      </c>
      <c r="AY147" s="243">
        <v>5479</v>
      </c>
      <c r="AZ147" s="243">
        <v>5870</v>
      </c>
      <c r="BA147" s="243">
        <v>5888</v>
      </c>
      <c r="BB147" s="243">
        <v>5507</v>
      </c>
      <c r="BC147" s="243">
        <v>4905</v>
      </c>
      <c r="BD147" s="243">
        <v>5109</v>
      </c>
      <c r="BE147" s="243">
        <v>5175</v>
      </c>
      <c r="BF147" s="243">
        <v>5096</v>
      </c>
      <c r="BG147" s="243">
        <v>5327</v>
      </c>
      <c r="BH147" s="243">
        <v>5653</v>
      </c>
      <c r="BI147" s="243">
        <v>5564</v>
      </c>
      <c r="BJ147" s="243">
        <v>6540</v>
      </c>
      <c r="BK147" s="243">
        <v>5911</v>
      </c>
      <c r="BL147" s="243">
        <v>4011</v>
      </c>
      <c r="BM147" s="243">
        <v>4227</v>
      </c>
      <c r="BN147" s="243">
        <v>4541</v>
      </c>
      <c r="BO147" s="243">
        <v>4506</v>
      </c>
      <c r="BP147" s="243">
        <v>4740</v>
      </c>
      <c r="BQ147" s="243">
        <v>4596</v>
      </c>
      <c r="BR147" s="243">
        <v>3872</v>
      </c>
      <c r="CX147" s="243">
        <v>10223</v>
      </c>
      <c r="CY147" s="243">
        <v>9936</v>
      </c>
      <c r="CZ147" s="243">
        <v>9514</v>
      </c>
      <c r="DA147" s="243">
        <v>9392</v>
      </c>
      <c r="DX147" s="243"/>
      <c r="DY147" s="243">
        <v>3210</v>
      </c>
      <c r="EB147" s="243">
        <v>5507</v>
      </c>
    </row>
    <row r="148" spans="2:132" ht="12.75" customHeight="1" x14ac:dyDescent="0.2">
      <c r="B148" t="s">
        <v>381</v>
      </c>
      <c r="AM148" s="243">
        <v>3243</v>
      </c>
      <c r="AN148" s="243"/>
      <c r="AO148" s="243"/>
      <c r="AP148" s="243">
        <v>2623</v>
      </c>
      <c r="AQ148" s="243">
        <v>2695</v>
      </c>
      <c r="AR148" s="243">
        <v>2736</v>
      </c>
      <c r="AS148" s="243">
        <v>2787</v>
      </c>
      <c r="AT148" s="243">
        <v>3170</v>
      </c>
      <c r="AU148" s="243">
        <v>3126</v>
      </c>
      <c r="AV148" s="243">
        <v>3043</v>
      </c>
      <c r="AW148" s="243">
        <v>3015</v>
      </c>
      <c r="AX148" s="243">
        <v>2630</v>
      </c>
      <c r="AY148" s="243">
        <v>2589</v>
      </c>
      <c r="AZ148" s="243">
        <v>2682</v>
      </c>
      <c r="BA148" s="243">
        <v>3581</v>
      </c>
      <c r="BB148" s="243">
        <v>3690</v>
      </c>
      <c r="BC148" s="243">
        <v>3622</v>
      </c>
      <c r="BD148" s="243">
        <v>3200</v>
      </c>
      <c r="BE148" s="243">
        <v>3552</v>
      </c>
      <c r="BF148" s="243">
        <v>3942</v>
      </c>
      <c r="BG148" s="243">
        <v>3705</v>
      </c>
      <c r="BH148" s="243">
        <v>4193</v>
      </c>
      <c r="BI148" s="243">
        <v>3905</v>
      </c>
      <c r="BJ148" s="243">
        <v>3773</v>
      </c>
      <c r="BK148" s="243">
        <v>3956</v>
      </c>
      <c r="BL148" s="243">
        <v>3891</v>
      </c>
      <c r="BM148" s="243">
        <v>3521</v>
      </c>
      <c r="BN148" s="243">
        <v>3417</v>
      </c>
      <c r="BO148" s="243">
        <v>3723</v>
      </c>
      <c r="BP148" s="243">
        <v>2477</v>
      </c>
      <c r="BQ148" s="243">
        <v>2715</v>
      </c>
      <c r="BR148" s="243">
        <v>4949</v>
      </c>
      <c r="CX148" s="243">
        <v>10216</v>
      </c>
      <c r="CY148" s="243">
        <v>9939</v>
      </c>
      <c r="CZ148" s="243">
        <v>9435</v>
      </c>
      <c r="DA148" s="243">
        <v>8625</v>
      </c>
      <c r="DX148" s="243"/>
      <c r="DY148" s="243">
        <v>2623</v>
      </c>
      <c r="EB148" s="243">
        <v>3690</v>
      </c>
    </row>
    <row r="149" spans="2:132" ht="12.75" customHeight="1" x14ac:dyDescent="0.2">
      <c r="B149" t="s">
        <v>1459</v>
      </c>
      <c r="AM149" s="243">
        <f>SUM(AM144:AM148)</f>
        <v>62133</v>
      </c>
      <c r="AN149" s="243"/>
      <c r="AO149" s="243"/>
      <c r="AP149" s="243">
        <v>70556</v>
      </c>
      <c r="AQ149" s="243">
        <v>73066</v>
      </c>
      <c r="AR149" s="243">
        <v>74683</v>
      </c>
      <c r="AS149" s="243">
        <v>78665</v>
      </c>
      <c r="AT149" s="243">
        <v>80954</v>
      </c>
      <c r="AU149" s="243">
        <v>85995</v>
      </c>
      <c r="AV149" s="243">
        <v>88113</v>
      </c>
      <c r="AW149" s="243">
        <f t="shared" ref="AW149:BB149" si="672">SUM(AW144:AW148)</f>
        <v>87724</v>
      </c>
      <c r="AX149" s="243">
        <f t="shared" si="672"/>
        <v>84912</v>
      </c>
      <c r="AY149" s="243">
        <f t="shared" si="672"/>
        <v>86100</v>
      </c>
      <c r="AZ149" s="243">
        <f t="shared" si="672"/>
        <v>87438</v>
      </c>
      <c r="BA149" s="243">
        <f t="shared" si="672"/>
        <v>91558</v>
      </c>
      <c r="BB149" s="243">
        <f t="shared" si="672"/>
        <v>94682</v>
      </c>
      <c r="BC149" s="243">
        <f t="shared" ref="BC149:BF149" si="673">SUM(BC144:BC148)</f>
        <v>93441</v>
      </c>
      <c r="BD149" s="243">
        <f t="shared" ref="BD149" si="674">SUM(BD144:BD148)</f>
        <v>92300</v>
      </c>
      <c r="BE149" s="243">
        <f t="shared" si="673"/>
        <v>98247</v>
      </c>
      <c r="BF149" s="243">
        <f t="shared" si="673"/>
        <v>102908</v>
      </c>
      <c r="BG149" s="243">
        <f t="shared" ref="BG149:BH149" si="675">SUM(BG144:BG148)</f>
        <v>108150</v>
      </c>
      <c r="BH149" s="243">
        <f t="shared" si="675"/>
        <v>112114</v>
      </c>
      <c r="BI149" s="243">
        <f t="shared" ref="BI149:BJ149" si="676">SUM(BI144:BI148)</f>
        <v>111821</v>
      </c>
      <c r="BJ149" s="243">
        <f t="shared" si="676"/>
        <v>113644</v>
      </c>
      <c r="BK149" s="243">
        <f t="shared" ref="BK149:BL149" si="677">SUM(BK144:BK148)</f>
        <v>116194</v>
      </c>
      <c r="BL149" s="243">
        <f t="shared" si="677"/>
        <v>115750</v>
      </c>
      <c r="BM149" s="243">
        <f t="shared" ref="BM149:BN149" si="678">SUM(BM144:BM148)</f>
        <v>118951</v>
      </c>
      <c r="BN149" s="243">
        <f t="shared" si="678"/>
        <v>121347</v>
      </c>
      <c r="BO149" s="243">
        <f t="shared" ref="BO149:BQ149" si="679">SUM(BO144:BO148)</f>
        <v>121536</v>
      </c>
      <c r="BP149" s="243">
        <f t="shared" si="679"/>
        <v>124325</v>
      </c>
      <c r="BQ149" s="243">
        <f t="shared" si="679"/>
        <v>126933</v>
      </c>
      <c r="BR149" s="243">
        <f t="shared" ref="BR149" si="680">SUM(BR144:BR148)</f>
        <v>132683</v>
      </c>
      <c r="CX149" s="243">
        <f>SUM(CX144:CX148)</f>
        <v>182018</v>
      </c>
      <c r="CY149" s="243">
        <f>SUM(CY144:CY148)</f>
        <v>178355</v>
      </c>
      <c r="CZ149" s="243">
        <f>SUM(CZ144:CZ148)</f>
        <v>177724</v>
      </c>
      <c r="DA149" s="243">
        <f>SUM(DA144:DA148)</f>
        <v>175124</v>
      </c>
      <c r="DX149" s="243"/>
      <c r="DY149" s="243">
        <f>SUM(DY144:DY148)</f>
        <v>70556</v>
      </c>
      <c r="EB149" s="243">
        <f>SUM(EB144:EB148)</f>
        <v>94682</v>
      </c>
    </row>
    <row r="150" spans="2:132" ht="12.75" customHeight="1" x14ac:dyDescent="0.2">
      <c r="AM150" s="243"/>
      <c r="AN150" s="243"/>
      <c r="AO150" s="243"/>
      <c r="AP150" s="243"/>
      <c r="AQ150" s="243"/>
      <c r="AR150" s="243"/>
      <c r="AS150" s="243"/>
      <c r="AT150" s="243"/>
      <c r="AU150" s="243"/>
      <c r="AV150" s="243"/>
      <c r="AW150" s="243"/>
      <c r="AX150" s="243"/>
      <c r="AY150" s="243"/>
      <c r="AZ150" s="243"/>
      <c r="BA150" s="243"/>
      <c r="BB150" s="243"/>
      <c r="BC150" s="243"/>
      <c r="BD150" s="243"/>
      <c r="BE150" s="243"/>
      <c r="BF150" s="243"/>
      <c r="BG150" s="243"/>
      <c r="BH150" s="243"/>
      <c r="BI150" s="243"/>
      <c r="BJ150" s="243"/>
      <c r="BK150" s="243"/>
      <c r="BL150" s="243"/>
      <c r="BM150" s="243"/>
      <c r="BN150" s="243"/>
      <c r="BO150" s="243"/>
      <c r="BP150" s="243"/>
      <c r="BQ150" s="243"/>
      <c r="BR150" s="243"/>
      <c r="CY150" s="243"/>
      <c r="DX150" s="243"/>
      <c r="DY150" s="243"/>
      <c r="EB150" s="243"/>
    </row>
    <row r="151" spans="2:132" ht="12.75" customHeight="1" x14ac:dyDescent="0.2">
      <c r="B151" t="s">
        <v>382</v>
      </c>
      <c r="AM151" s="243">
        <v>828</v>
      </c>
      <c r="AN151" s="243"/>
      <c r="AO151" s="243"/>
      <c r="AP151" s="243">
        <v>4579</v>
      </c>
      <c r="AQ151" s="243">
        <v>4682</v>
      </c>
      <c r="AR151" s="243">
        <v>4470</v>
      </c>
      <c r="AS151" s="243">
        <v>3264</v>
      </c>
      <c r="AT151" s="243">
        <v>2463</v>
      </c>
      <c r="AU151" s="243">
        <v>4250</v>
      </c>
      <c r="AV151" s="243">
        <v>5156</v>
      </c>
      <c r="AW151" s="243">
        <v>6245</v>
      </c>
      <c r="AX151" s="243">
        <v>3732</v>
      </c>
      <c r="AY151" s="243">
        <v>6022</v>
      </c>
      <c r="AZ151" s="243">
        <v>5435</v>
      </c>
      <c r="BA151" s="243">
        <v>3341</v>
      </c>
      <c r="BB151" s="243">
        <v>6318</v>
      </c>
      <c r="BC151" s="243">
        <v>4044</v>
      </c>
      <c r="BD151" s="243">
        <v>3715</v>
      </c>
      <c r="BE151" s="243">
        <v>2843</v>
      </c>
      <c r="BF151" s="243">
        <v>7617</v>
      </c>
      <c r="BG151" s="243">
        <v>8575</v>
      </c>
      <c r="BH151" s="243">
        <v>5046</v>
      </c>
      <c r="BI151" s="243">
        <v>5326</v>
      </c>
      <c r="BJ151" s="243">
        <v>6658</v>
      </c>
      <c r="BK151" s="243">
        <v>6439</v>
      </c>
      <c r="BL151" s="243">
        <v>6040</v>
      </c>
      <c r="BM151" s="243">
        <v>5423</v>
      </c>
      <c r="BN151" s="243">
        <v>4676</v>
      </c>
      <c r="BO151" s="243">
        <v>4529</v>
      </c>
      <c r="BP151" s="243">
        <v>5339</v>
      </c>
      <c r="BQ151" s="243">
        <v>5359</v>
      </c>
      <c r="BR151" s="243">
        <v>4852</v>
      </c>
      <c r="CX151" s="243">
        <v>3766</v>
      </c>
      <c r="CY151" s="243">
        <v>4297</v>
      </c>
      <c r="CZ151" s="243">
        <v>4305</v>
      </c>
      <c r="DA151" s="243">
        <v>4424</v>
      </c>
      <c r="DX151" s="243"/>
      <c r="DY151" s="243">
        <v>4579</v>
      </c>
      <c r="EB151" s="243">
        <v>6318</v>
      </c>
    </row>
    <row r="152" spans="2:132" ht="12.75" customHeight="1" x14ac:dyDescent="0.2">
      <c r="B152" t="s">
        <v>383</v>
      </c>
      <c r="AM152" s="243">
        <v>3939</v>
      </c>
      <c r="AN152" s="243"/>
      <c r="AO152" s="243"/>
      <c r="AP152" s="243">
        <v>5691</v>
      </c>
      <c r="AQ152" s="243">
        <v>5643</v>
      </c>
      <c r="AR152" s="243">
        <v>5458</v>
      </c>
      <c r="AS152" s="243">
        <v>5963</v>
      </c>
      <c r="AT152" s="243">
        <v>6909</v>
      </c>
      <c r="AU152" s="243">
        <v>7487</v>
      </c>
      <c r="AV152" s="243">
        <v>6623</v>
      </c>
      <c r="AW152" s="243">
        <v>6384</v>
      </c>
      <c r="AX152" s="243">
        <v>7503</v>
      </c>
      <c r="AY152" s="243">
        <v>6395</v>
      </c>
      <c r="AZ152" s="243">
        <v>5832</v>
      </c>
      <c r="BA152" s="243">
        <v>6419</v>
      </c>
      <c r="BB152" s="243">
        <v>5541</v>
      </c>
      <c r="BC152" s="243">
        <v>5126</v>
      </c>
      <c r="BD152" s="243">
        <v>4871</v>
      </c>
      <c r="BE152" s="243">
        <v>5477</v>
      </c>
      <c r="BF152" s="243">
        <v>5623</v>
      </c>
      <c r="BG152" s="243">
        <v>5701</v>
      </c>
      <c r="BH152" s="243">
        <v>5689</v>
      </c>
      <c r="BI152" s="243">
        <v>5730</v>
      </c>
      <c r="BJ152" s="243">
        <v>5725</v>
      </c>
      <c r="BK152" s="243">
        <v>5085</v>
      </c>
      <c r="BL152" s="243">
        <v>5145</v>
      </c>
      <c r="BM152" s="243">
        <v>5344</v>
      </c>
      <c r="BN152" s="243">
        <v>5831</v>
      </c>
      <c r="BO152" s="243">
        <v>5372</v>
      </c>
      <c r="BP152" s="243">
        <v>5687</v>
      </c>
      <c r="BQ152" s="243">
        <v>6055</v>
      </c>
      <c r="BR152" s="243">
        <v>6266</v>
      </c>
      <c r="CX152" s="243">
        <v>11055</v>
      </c>
      <c r="CY152" s="243">
        <v>9309</v>
      </c>
      <c r="CZ152" s="243">
        <v>9765</v>
      </c>
      <c r="DA152" s="243">
        <v>10153</v>
      </c>
      <c r="DX152" s="243"/>
      <c r="DY152" s="243">
        <v>5691</v>
      </c>
      <c r="EB152" s="243">
        <v>5541</v>
      </c>
    </row>
    <row r="153" spans="2:132" ht="12.75" customHeight="1" x14ac:dyDescent="0.2">
      <c r="B153" t="s">
        <v>384</v>
      </c>
      <c r="AM153" s="243">
        <v>3520</v>
      </c>
      <c r="AN153" s="243"/>
      <c r="AO153" s="243"/>
      <c r="AP153" s="243">
        <v>4587</v>
      </c>
      <c r="AQ153" s="243">
        <v>4483</v>
      </c>
      <c r="AR153" s="243">
        <v>4585</v>
      </c>
      <c r="AS153" s="243">
        <v>5076</v>
      </c>
      <c r="AT153" s="243">
        <v>6412</v>
      </c>
      <c r="AU153" s="243">
        <v>5751</v>
      </c>
      <c r="AV153" s="243">
        <v>5631</v>
      </c>
      <c r="AW153" s="243">
        <v>5521</v>
      </c>
      <c r="AX153" s="243">
        <v>5531</v>
      </c>
      <c r="AY153" s="243">
        <v>4561</v>
      </c>
      <c r="AZ153" s="243">
        <v>4765</v>
      </c>
      <c r="BA153" s="243">
        <v>4862</v>
      </c>
      <c r="BB153" s="243">
        <v>5796</v>
      </c>
      <c r="BC153" s="243">
        <v>4415</v>
      </c>
      <c r="BD153" s="243">
        <v>4186</v>
      </c>
      <c r="BE153" s="243">
        <v>4333</v>
      </c>
      <c r="BF153" s="243">
        <v>4100</v>
      </c>
      <c r="BG153" s="243">
        <v>4093</v>
      </c>
      <c r="BH153" s="243">
        <v>4405</v>
      </c>
      <c r="BI153" s="243">
        <v>4136</v>
      </c>
      <c r="BJ153" s="243">
        <v>4608</v>
      </c>
      <c r="BK153" s="243">
        <v>4369</v>
      </c>
      <c r="BL153" s="243">
        <v>6533</v>
      </c>
      <c r="BM153" s="243">
        <v>6498</v>
      </c>
      <c r="BN153" s="243">
        <v>7299</v>
      </c>
      <c r="BO153" s="243">
        <v>6904</v>
      </c>
      <c r="BP153" s="243">
        <v>6646</v>
      </c>
      <c r="BQ153" s="243">
        <v>6921</v>
      </c>
      <c r="BR153" s="243">
        <v>7685</v>
      </c>
      <c r="CX153" s="243">
        <v>13612</v>
      </c>
      <c r="CY153" s="243">
        <v>13006</v>
      </c>
      <c r="CZ153" s="243">
        <v>12607</v>
      </c>
      <c r="DA153" s="243">
        <v>11953</v>
      </c>
      <c r="DX153" s="243"/>
      <c r="DY153" s="243">
        <v>4587</v>
      </c>
      <c r="EB153" s="243">
        <v>5796</v>
      </c>
    </row>
    <row r="154" spans="2:132" ht="12.75" customHeight="1" x14ac:dyDescent="0.2">
      <c r="B154" t="s">
        <v>386</v>
      </c>
      <c r="AM154" s="243">
        <v>2026</v>
      </c>
      <c r="AN154" s="243"/>
      <c r="AO154" s="243"/>
      <c r="AP154" s="243">
        <v>2189</v>
      </c>
      <c r="AQ154" s="243">
        <v>2352</v>
      </c>
      <c r="AR154" s="243">
        <v>2447</v>
      </c>
      <c r="AS154" s="243">
        <v>2519</v>
      </c>
      <c r="AT154" s="243">
        <v>2318</v>
      </c>
      <c r="AU154" s="243">
        <v>2659</v>
      </c>
      <c r="AV154" s="243">
        <v>2693</v>
      </c>
      <c r="AW154" s="243">
        <v>2609</v>
      </c>
      <c r="AX154" s="243">
        <v>2237</v>
      </c>
      <c r="AY154" s="243">
        <v>2489</v>
      </c>
      <c r="AZ154" s="243">
        <v>2153</v>
      </c>
      <c r="BA154" s="243">
        <v>2123</v>
      </c>
      <c r="BB154" s="243">
        <v>2028</v>
      </c>
      <c r="BC154" s="243">
        <v>2487</v>
      </c>
      <c r="BD154" s="243">
        <v>2404</v>
      </c>
      <c r="BE154" s="243">
        <v>2666</v>
      </c>
      <c r="BF154" s="243">
        <v>2512</v>
      </c>
      <c r="BG154" s="243">
        <v>2858</v>
      </c>
      <c r="BH154" s="243">
        <v>2933</v>
      </c>
      <c r="BI154" s="243">
        <v>2895</v>
      </c>
      <c r="BJ154" s="243">
        <v>2637</v>
      </c>
      <c r="BK154" s="243">
        <v>2865</v>
      </c>
      <c r="BL154" s="243">
        <v>2960</v>
      </c>
      <c r="BM154" s="243">
        <v>3040</v>
      </c>
      <c r="BN154" s="243">
        <v>2969</v>
      </c>
      <c r="BO154" s="243">
        <v>2910</v>
      </c>
      <c r="BP154" s="243">
        <v>3138</v>
      </c>
      <c r="BQ154" s="243">
        <v>3465</v>
      </c>
      <c r="BR154" s="243">
        <v>3308</v>
      </c>
      <c r="CX154" s="243">
        <v>12095</v>
      </c>
      <c r="CY154" s="243">
        <v>12972</v>
      </c>
      <c r="CZ154" s="243">
        <v>13447</v>
      </c>
      <c r="DA154" s="243">
        <v>14021</v>
      </c>
      <c r="DX154" s="243"/>
      <c r="DY154" s="243">
        <v>2189</v>
      </c>
      <c r="EB154" s="243">
        <v>2028</v>
      </c>
    </row>
    <row r="155" spans="2:132" ht="12.75" customHeight="1" x14ac:dyDescent="0.2">
      <c r="B155" t="s">
        <v>387</v>
      </c>
      <c r="AM155" s="243">
        <v>939</v>
      </c>
      <c r="AN155" s="243"/>
      <c r="AO155" s="243"/>
      <c r="AP155" s="243">
        <v>1391</v>
      </c>
      <c r="AQ155" s="243">
        <v>1125</v>
      </c>
      <c r="AR155" s="243">
        <v>1140</v>
      </c>
      <c r="AS155" s="243">
        <v>1474</v>
      </c>
      <c r="AT155" s="243">
        <v>1512</v>
      </c>
      <c r="AU155" s="243">
        <v>1222</v>
      </c>
      <c r="AV155" s="243">
        <v>1292</v>
      </c>
      <c r="AW155" s="243">
        <v>1513</v>
      </c>
      <c r="AX155" s="243">
        <v>1432</v>
      </c>
      <c r="AY155" s="243">
        <v>1153</v>
      </c>
      <c r="AZ155" s="243">
        <v>1191</v>
      </c>
      <c r="BA155" s="243">
        <v>1471</v>
      </c>
      <c r="BB155" s="243">
        <v>1606</v>
      </c>
      <c r="BC155" s="243">
        <v>1054</v>
      </c>
      <c r="BD155" s="243">
        <v>1197</v>
      </c>
      <c r="BE155" s="243">
        <v>1314</v>
      </c>
      <c r="BF155" s="243">
        <v>2642</v>
      </c>
      <c r="BG155" s="243">
        <v>1777</v>
      </c>
      <c r="BH155" s="243">
        <v>2104</v>
      </c>
      <c r="BI155" s="243">
        <v>2263</v>
      </c>
      <c r="BJ155" s="243">
        <v>2329</v>
      </c>
      <c r="BK155" s="243">
        <v>1526</v>
      </c>
      <c r="BL155" s="243">
        <v>1911</v>
      </c>
      <c r="BM155" s="243">
        <v>2128</v>
      </c>
      <c r="BN155" s="243">
        <v>2423</v>
      </c>
      <c r="BO155" s="243">
        <v>1631</v>
      </c>
      <c r="BP155" s="243">
        <v>2001</v>
      </c>
      <c r="BQ155" s="243">
        <v>2324</v>
      </c>
      <c r="BR155" s="243">
        <v>2794</v>
      </c>
      <c r="CX155" s="243">
        <v>3586</v>
      </c>
      <c r="CY155" s="243">
        <v>2098</v>
      </c>
      <c r="CZ155" s="243">
        <v>2717</v>
      </c>
      <c r="DA155" s="243">
        <v>3006</v>
      </c>
      <c r="DX155" s="243"/>
      <c r="DY155" s="243">
        <v>1391</v>
      </c>
      <c r="EB155" s="243">
        <v>1606</v>
      </c>
    </row>
    <row r="156" spans="2:132" ht="12.75" customHeight="1" x14ac:dyDescent="0.2">
      <c r="B156" t="s">
        <v>388</v>
      </c>
      <c r="AM156" s="243">
        <v>1940</v>
      </c>
      <c r="AN156" s="243"/>
      <c r="AO156" s="243"/>
      <c r="AP156" s="243">
        <v>724</v>
      </c>
      <c r="AQ156" s="243">
        <v>1378</v>
      </c>
      <c r="AR156" s="243">
        <v>883</v>
      </c>
      <c r="AS156" s="243">
        <v>1032</v>
      </c>
      <c r="AT156" s="243">
        <v>253</v>
      </c>
      <c r="AU156" s="243">
        <v>702</v>
      </c>
      <c r="AV156" s="243">
        <v>385</v>
      </c>
      <c r="AW156" s="243">
        <v>458</v>
      </c>
      <c r="AX156" s="243">
        <v>417</v>
      </c>
      <c r="AY156" s="243">
        <v>705</v>
      </c>
      <c r="AZ156" s="243">
        <v>510</v>
      </c>
      <c r="BA156" s="243">
        <v>1029</v>
      </c>
      <c r="BB156" s="243">
        <v>442</v>
      </c>
      <c r="BC156" s="243">
        <v>1373</v>
      </c>
      <c r="BD156" s="243">
        <v>791</v>
      </c>
      <c r="BE156" s="243">
        <v>781</v>
      </c>
      <c r="BF156" s="243">
        <v>578</v>
      </c>
      <c r="BG156" s="243">
        <v>1007</v>
      </c>
      <c r="BH156" s="243">
        <v>808</v>
      </c>
      <c r="BI156" s="243">
        <v>1336</v>
      </c>
      <c r="BJ156" s="243">
        <v>854</v>
      </c>
      <c r="BK156" s="243">
        <v>914</v>
      </c>
      <c r="BL156" s="243">
        <v>1259</v>
      </c>
      <c r="BM156" s="243">
        <v>1502</v>
      </c>
      <c r="BN156" s="243">
        <v>1064</v>
      </c>
      <c r="BO156" s="243">
        <v>1178</v>
      </c>
      <c r="BP156" s="243">
        <v>956</v>
      </c>
      <c r="BQ156" s="243">
        <v>1711</v>
      </c>
      <c r="BR156" s="243">
        <v>770</v>
      </c>
      <c r="CX156" s="243">
        <v>1112</v>
      </c>
      <c r="CY156" s="243">
        <v>1708</v>
      </c>
      <c r="CZ156" s="243">
        <v>1980</v>
      </c>
      <c r="DA156" s="243">
        <v>1986</v>
      </c>
      <c r="DX156" s="243"/>
      <c r="DY156" s="243">
        <v>724</v>
      </c>
      <c r="EB156" s="243">
        <v>442</v>
      </c>
    </row>
    <row r="157" spans="2:132" ht="12.75" customHeight="1" x14ac:dyDescent="0.2">
      <c r="B157" t="s">
        <v>378</v>
      </c>
      <c r="AM157" s="243">
        <f>SUM(AM151:AM156)</f>
        <v>13192</v>
      </c>
      <c r="AN157" s="243"/>
      <c r="AO157" s="243"/>
      <c r="AP157" s="243">
        <v>19161</v>
      </c>
      <c r="AQ157" s="243">
        <v>19663</v>
      </c>
      <c r="AR157" s="243">
        <v>18983</v>
      </c>
      <c r="AS157" s="243">
        <v>19328</v>
      </c>
      <c r="AT157" s="243">
        <v>19837</v>
      </c>
      <c r="AU157" s="243">
        <v>22071</v>
      </c>
      <c r="AV157" s="243">
        <v>21780</v>
      </c>
      <c r="AW157" s="243">
        <f t="shared" ref="AW157:BB157" si="681">SUM(AW151:AW156)</f>
        <v>22730</v>
      </c>
      <c r="AX157" s="243">
        <f t="shared" si="681"/>
        <v>20852</v>
      </c>
      <c r="AY157" s="243">
        <f t="shared" si="681"/>
        <v>21325</v>
      </c>
      <c r="AZ157" s="243">
        <f t="shared" si="681"/>
        <v>19886</v>
      </c>
      <c r="BA157" s="243">
        <f t="shared" si="681"/>
        <v>19245</v>
      </c>
      <c r="BB157" s="243">
        <f t="shared" si="681"/>
        <v>21731</v>
      </c>
      <c r="BC157" s="243">
        <f t="shared" ref="BC157:BF157" si="682">SUM(BC151:BC156)</f>
        <v>18499</v>
      </c>
      <c r="BD157" s="243">
        <f t="shared" ref="BD157" si="683">SUM(BD151:BD156)</f>
        <v>17164</v>
      </c>
      <c r="BE157" s="243">
        <f t="shared" si="682"/>
        <v>17414</v>
      </c>
      <c r="BF157" s="243">
        <f t="shared" si="682"/>
        <v>23072</v>
      </c>
      <c r="BG157" s="243">
        <f t="shared" ref="BG157" si="684">SUM(BG151:BG156)</f>
        <v>24011</v>
      </c>
      <c r="BH157" s="243">
        <f>SUM(BH151:BH156)</f>
        <v>20985</v>
      </c>
      <c r="BI157" s="243">
        <f t="shared" ref="BI157:BJ157" si="685">SUM(BI151:BI156)</f>
        <v>21686</v>
      </c>
      <c r="BJ157" s="243">
        <f t="shared" si="685"/>
        <v>22811</v>
      </c>
      <c r="BK157" s="243">
        <f t="shared" ref="BK157:BL157" si="686">SUM(BK151:BK156)</f>
        <v>21198</v>
      </c>
      <c r="BL157" s="243">
        <f t="shared" si="686"/>
        <v>23848</v>
      </c>
      <c r="BM157" s="243">
        <f t="shared" ref="BM157:BN157" si="687">SUM(BM151:BM156)</f>
        <v>23935</v>
      </c>
      <c r="BN157" s="243">
        <f t="shared" si="687"/>
        <v>24262</v>
      </c>
      <c r="BO157" s="243">
        <f t="shared" ref="BO157:BQ157" si="688">SUM(BO151:BO156)</f>
        <v>22524</v>
      </c>
      <c r="BP157" s="243">
        <f t="shared" si="688"/>
        <v>23767</v>
      </c>
      <c r="BQ157" s="243">
        <f t="shared" si="688"/>
        <v>25835</v>
      </c>
      <c r="BR157" s="243">
        <f t="shared" ref="BR157" si="689">SUM(BR151:BR156)</f>
        <v>25675</v>
      </c>
      <c r="CX157" s="243">
        <f t="shared" ref="CX157" si="690">SUM(CX151:CX156)</f>
        <v>45226</v>
      </c>
      <c r="CY157" s="243">
        <f>SUM(CY151:CY156)</f>
        <v>43390</v>
      </c>
      <c r="CZ157" s="243">
        <f>SUM(CZ151:CZ156)</f>
        <v>44821</v>
      </c>
      <c r="DA157" s="243">
        <f>SUM(DA151:DA156)</f>
        <v>45543</v>
      </c>
      <c r="DX157" s="243"/>
      <c r="DY157" s="243">
        <f>SUM(DY151:DY156)</f>
        <v>19161</v>
      </c>
      <c r="EB157" s="243">
        <f>SUM(EB151:EB156)</f>
        <v>21731</v>
      </c>
    </row>
    <row r="158" spans="2:132" ht="12.75" customHeight="1" x14ac:dyDescent="0.2">
      <c r="B158" t="s">
        <v>732</v>
      </c>
      <c r="AM158" s="243">
        <v>1980</v>
      </c>
      <c r="AN158" s="243"/>
      <c r="AO158" s="243"/>
      <c r="AP158" s="243">
        <v>2014</v>
      </c>
      <c r="AQ158" s="243">
        <v>2012</v>
      </c>
      <c r="AR158" s="243">
        <v>2013</v>
      </c>
      <c r="AS158" s="243">
        <v>4633</v>
      </c>
      <c r="AT158" s="243">
        <v>7074</v>
      </c>
      <c r="AU158" s="243">
        <v>7166</v>
      </c>
      <c r="AV158" s="243">
        <v>8770</v>
      </c>
      <c r="AW158" s="243">
        <v>8395</v>
      </c>
      <c r="AX158" s="243">
        <v>8120</v>
      </c>
      <c r="AY158" s="243">
        <v>8052</v>
      </c>
      <c r="AZ158" s="243">
        <v>8179</v>
      </c>
      <c r="BA158" s="243">
        <v>8259</v>
      </c>
      <c r="BB158" s="243">
        <v>8223</v>
      </c>
      <c r="BC158" s="243">
        <v>8059</v>
      </c>
      <c r="BD158" s="243">
        <v>7937</v>
      </c>
      <c r="BE158" s="243">
        <v>9182</v>
      </c>
      <c r="BF158" s="243">
        <v>9156</v>
      </c>
      <c r="BG158" s="243">
        <v>9255</v>
      </c>
      <c r="BH158" s="243">
        <v>13680</v>
      </c>
      <c r="BI158" s="243">
        <v>13031</v>
      </c>
      <c r="BJ158" s="243">
        <v>12969</v>
      </c>
      <c r="BK158" s="243">
        <v>13010</v>
      </c>
      <c r="BL158" s="243">
        <v>11525</v>
      </c>
      <c r="BM158" s="243">
        <v>11428</v>
      </c>
      <c r="BN158" s="243">
        <v>11489</v>
      </c>
      <c r="BO158" s="243">
        <v>11363</v>
      </c>
      <c r="BP158" s="243">
        <v>9643</v>
      </c>
      <c r="BQ158" s="243">
        <v>9748</v>
      </c>
      <c r="BR158" s="243">
        <v>13328</v>
      </c>
      <c r="CX158" s="243">
        <v>29985</v>
      </c>
      <c r="CY158" s="243">
        <v>28851</v>
      </c>
      <c r="CZ158" s="243">
        <v>28292</v>
      </c>
      <c r="DA158" s="243">
        <v>27603</v>
      </c>
      <c r="DX158" s="243"/>
      <c r="DY158" s="243">
        <v>2014</v>
      </c>
      <c r="EB158" s="243">
        <v>8223</v>
      </c>
    </row>
    <row r="159" spans="2:132" ht="12.75" customHeight="1" x14ac:dyDescent="0.2">
      <c r="B159" t="s">
        <v>376</v>
      </c>
      <c r="AM159" s="243">
        <v>294</v>
      </c>
      <c r="AN159" s="243"/>
      <c r="AO159" s="243"/>
      <c r="AP159" s="243">
        <v>1319</v>
      </c>
      <c r="AQ159" s="243">
        <v>1375</v>
      </c>
      <c r="AR159" s="243">
        <v>1361</v>
      </c>
      <c r="AS159" s="243">
        <v>1386</v>
      </c>
      <c r="AT159" s="243">
        <v>1493</v>
      </c>
      <c r="AU159" s="243">
        <v>1451</v>
      </c>
      <c r="AV159" s="243">
        <v>1454</v>
      </c>
      <c r="AW159" s="243">
        <v>1384</v>
      </c>
      <c r="AX159" s="243">
        <v>1432</v>
      </c>
      <c r="AY159" s="243">
        <v>1487</v>
      </c>
      <c r="AZ159" s="243">
        <v>1481</v>
      </c>
      <c r="BA159" s="243">
        <v>1505</v>
      </c>
      <c r="BB159" s="243">
        <v>1424</v>
      </c>
      <c r="BC159" s="243">
        <v>1672</v>
      </c>
      <c r="BD159" s="243">
        <v>1669</v>
      </c>
      <c r="BE159" s="243">
        <v>1725</v>
      </c>
      <c r="BF159" s="243">
        <v>1447</v>
      </c>
      <c r="BG159" s="243">
        <v>1895</v>
      </c>
      <c r="BH159" s="243">
        <v>1888</v>
      </c>
      <c r="BI159" s="243">
        <v>1889</v>
      </c>
      <c r="BJ159" s="243">
        <v>1800</v>
      </c>
      <c r="BK159" s="243">
        <v>1846</v>
      </c>
      <c r="BL159" s="243">
        <v>2276</v>
      </c>
      <c r="BM159" s="243">
        <v>2716</v>
      </c>
      <c r="BN159" s="243">
        <v>3136</v>
      </c>
      <c r="BO159" s="243">
        <v>3619</v>
      </c>
      <c r="BP159" s="243">
        <v>3685</v>
      </c>
      <c r="BQ159" s="243">
        <v>3613</v>
      </c>
      <c r="BR159" s="243">
        <v>3989</v>
      </c>
      <c r="CX159" s="243">
        <f>7487+5713</f>
        <v>13200</v>
      </c>
      <c r="CY159" s="243">
        <f>6424+5745</f>
        <v>12169</v>
      </c>
      <c r="CZ159" s="243">
        <f>5015+4162</f>
        <v>9177</v>
      </c>
      <c r="DA159" s="243">
        <v>4946</v>
      </c>
      <c r="DX159" s="243"/>
      <c r="DY159" s="243">
        <v>1319</v>
      </c>
      <c r="EB159" s="243">
        <v>1424</v>
      </c>
    </row>
    <row r="160" spans="2:132" ht="12.75" customHeight="1" x14ac:dyDescent="0.2">
      <c r="B160" t="s">
        <v>733</v>
      </c>
      <c r="AM160" s="243">
        <v>3284</v>
      </c>
      <c r="AN160" s="243"/>
      <c r="AO160" s="243"/>
      <c r="AP160" s="243">
        <v>5584</v>
      </c>
      <c r="AQ160" s="243">
        <v>5660</v>
      </c>
      <c r="AR160" s="243">
        <v>5654</v>
      </c>
      <c r="AS160" s="243">
        <v>6082</v>
      </c>
      <c r="AT160" s="243">
        <v>5402</v>
      </c>
      <c r="AU160" s="243">
        <v>5548</v>
      </c>
      <c r="AV160" s="243">
        <v>5572</v>
      </c>
      <c r="AW160" s="243">
        <v>5533</v>
      </c>
      <c r="AX160" s="243">
        <v>7791</v>
      </c>
      <c r="AY160" s="243">
        <v>7297</v>
      </c>
      <c r="AZ160" s="243">
        <v>7370</v>
      </c>
      <c r="BA160" s="243">
        <v>7111</v>
      </c>
      <c r="BB160" s="243">
        <v>6769</v>
      </c>
      <c r="BC160" s="243">
        <v>6254</v>
      </c>
      <c r="BD160" s="243">
        <v>6320</v>
      </c>
      <c r="BE160" s="243">
        <v>6409</v>
      </c>
      <c r="BF160" s="243">
        <v>6087</v>
      </c>
      <c r="BG160" s="243">
        <v>6125</v>
      </c>
      <c r="BH160" s="243">
        <v>6202</v>
      </c>
      <c r="BI160" s="243">
        <v>6215</v>
      </c>
      <c r="BJ160" s="243">
        <v>8353</v>
      </c>
      <c r="BK160" s="243">
        <v>8236</v>
      </c>
      <c r="BL160" s="243">
        <v>8180</v>
      </c>
      <c r="BM160" s="243">
        <v>7904</v>
      </c>
      <c r="BN160" s="243">
        <v>9082</v>
      </c>
      <c r="BO160" s="243">
        <v>8978</v>
      </c>
      <c r="BP160" s="243">
        <v>8996</v>
      </c>
      <c r="BQ160" s="243">
        <v>9038</v>
      </c>
      <c r="BR160" s="243">
        <v>7784</v>
      </c>
      <c r="CX160" s="243">
        <v>8898</v>
      </c>
      <c r="CY160" s="243">
        <v>8739</v>
      </c>
      <c r="CZ160" s="243">
        <v>8553</v>
      </c>
      <c r="DA160" s="243">
        <v>8353</v>
      </c>
      <c r="DX160" s="243"/>
      <c r="DY160" s="243">
        <v>5584</v>
      </c>
      <c r="EB160" s="243">
        <v>6769</v>
      </c>
    </row>
    <row r="161" spans="2:132" ht="12.75" customHeight="1" x14ac:dyDescent="0.2">
      <c r="B161" t="s">
        <v>381</v>
      </c>
      <c r="AM161" s="243">
        <v>2260</v>
      </c>
      <c r="AN161" s="243"/>
      <c r="AO161" s="243"/>
      <c r="AP161" s="243">
        <v>3160</v>
      </c>
      <c r="AQ161" s="243">
        <v>3428</v>
      </c>
      <c r="AR161" s="243">
        <v>3550</v>
      </c>
      <c r="AS161" s="243">
        <v>3663</v>
      </c>
      <c r="AT161" s="243">
        <v>3829</v>
      </c>
      <c r="AU161" s="243">
        <v>4134</v>
      </c>
      <c r="AV161" s="243">
        <v>4102</v>
      </c>
      <c r="AW161" s="243">
        <v>3948</v>
      </c>
      <c r="AX161" s="243">
        <v>4206</v>
      </c>
      <c r="AY161" s="243">
        <v>4148</v>
      </c>
      <c r="AZ161" s="243">
        <v>4275</v>
      </c>
      <c r="BA161" s="243">
        <v>5054</v>
      </c>
      <c r="BB161" s="243">
        <v>5947</v>
      </c>
      <c r="BC161" s="243">
        <v>6043</v>
      </c>
      <c r="BD161" s="243">
        <v>6359</v>
      </c>
      <c r="BE161" s="243">
        <v>6226</v>
      </c>
      <c r="BF161" s="243">
        <v>6567</v>
      </c>
      <c r="BG161" s="243">
        <v>7001</v>
      </c>
      <c r="BH161" s="243">
        <v>7227</v>
      </c>
      <c r="BI161" s="243">
        <v>7473</v>
      </c>
      <c r="BJ161" s="243">
        <v>10631</v>
      </c>
      <c r="BK161" s="243">
        <v>10538</v>
      </c>
      <c r="BL161" s="243">
        <v>9487</v>
      </c>
      <c r="BM161" s="243">
        <v>9207</v>
      </c>
      <c r="BN161" s="243">
        <v>8552</v>
      </c>
      <c r="BO161" s="243">
        <v>8197</v>
      </c>
      <c r="BP161" s="243">
        <v>8569</v>
      </c>
      <c r="BQ161" s="243">
        <v>8895</v>
      </c>
      <c r="BR161" s="243">
        <v>7854</v>
      </c>
      <c r="CX161" s="243">
        <v>10686</v>
      </c>
      <c r="CY161" s="243">
        <v>10497</v>
      </c>
      <c r="CZ161" s="243">
        <v>10524</v>
      </c>
      <c r="DA161" s="243">
        <f>4162+9918</f>
        <v>14080</v>
      </c>
      <c r="DX161" s="243"/>
      <c r="DY161" s="243">
        <v>3160</v>
      </c>
      <c r="EB161" s="243">
        <v>5947</v>
      </c>
    </row>
    <row r="162" spans="2:132" ht="12.75" customHeight="1" x14ac:dyDescent="0.2">
      <c r="B162" t="s">
        <v>1458</v>
      </c>
      <c r="AM162" s="243">
        <f>SUM(AM157:AM161)</f>
        <v>21010</v>
      </c>
      <c r="AN162" s="243"/>
      <c r="AO162" s="243"/>
      <c r="AP162" s="243">
        <v>31238</v>
      </c>
      <c r="AQ162" s="243">
        <v>32138</v>
      </c>
      <c r="AR162" s="243">
        <v>31561</v>
      </c>
      <c r="AS162" s="243">
        <v>35092</v>
      </c>
      <c r="AT162" s="243">
        <v>37635</v>
      </c>
      <c r="AU162" s="243">
        <v>40370</v>
      </c>
      <c r="AV162" s="243">
        <v>41678</v>
      </c>
      <c r="AW162" s="243">
        <f t="shared" ref="AW162:BB162" si="691">SUM(AW157:AW161)</f>
        <v>41990</v>
      </c>
      <c r="AX162" s="243">
        <f t="shared" si="691"/>
        <v>42401</v>
      </c>
      <c r="AY162" s="243">
        <f t="shared" si="691"/>
        <v>42309</v>
      </c>
      <c r="AZ162" s="243">
        <f t="shared" si="691"/>
        <v>41191</v>
      </c>
      <c r="BA162" s="243">
        <f t="shared" si="691"/>
        <v>41174</v>
      </c>
      <c r="BB162" s="243">
        <f t="shared" si="691"/>
        <v>44094</v>
      </c>
      <c r="BC162" s="243">
        <f t="shared" ref="BC162:BF162" si="692">SUM(BC157:BC161)</f>
        <v>40527</v>
      </c>
      <c r="BD162" s="243">
        <f t="shared" ref="BD162" si="693">SUM(BD157:BD161)</f>
        <v>39449</v>
      </c>
      <c r="BE162" s="243">
        <f t="shared" si="692"/>
        <v>40956</v>
      </c>
      <c r="BF162" s="243">
        <f t="shared" si="692"/>
        <v>46329</v>
      </c>
      <c r="BG162" s="243">
        <f t="shared" ref="BG162" si="694">SUM(BG157:BG161)</f>
        <v>48287</v>
      </c>
      <c r="BH162" s="243">
        <f>SUM(BH157:BH161)</f>
        <v>49982</v>
      </c>
      <c r="BI162" s="243">
        <f t="shared" ref="BI162:BJ162" si="695">SUM(BI157:BI161)</f>
        <v>50294</v>
      </c>
      <c r="BJ162" s="243">
        <f t="shared" si="695"/>
        <v>56564</v>
      </c>
      <c r="BK162" s="243">
        <f t="shared" ref="BK162:BL162" si="696">SUM(BK157:BK161)</f>
        <v>54828</v>
      </c>
      <c r="BL162" s="243">
        <f t="shared" si="696"/>
        <v>55316</v>
      </c>
      <c r="BM162" s="243">
        <f t="shared" ref="BM162:BN162" si="697">SUM(BM157:BM161)</f>
        <v>55190</v>
      </c>
      <c r="BN162" s="243">
        <f t="shared" si="697"/>
        <v>56521</v>
      </c>
      <c r="BO162" s="243">
        <f t="shared" ref="BO162:BP162" si="698">SUM(BO157:BO161)</f>
        <v>54681</v>
      </c>
      <c r="BP162" s="243">
        <f t="shared" si="698"/>
        <v>54660</v>
      </c>
      <c r="BQ162" s="243">
        <f t="shared" ref="BQ162:BR162" si="699">SUM(BQ157:BQ161)</f>
        <v>57129</v>
      </c>
      <c r="BR162" s="243">
        <f t="shared" si="699"/>
        <v>58630</v>
      </c>
      <c r="CX162" s="243">
        <f t="shared" ref="CX162" si="700">SUM(CX157:CX161)</f>
        <v>107995</v>
      </c>
      <c r="CY162" s="243">
        <f>SUM(CY157:CY161)</f>
        <v>103646</v>
      </c>
      <c r="CZ162" s="243">
        <f>SUM(CZ157:CZ161)</f>
        <v>101367</v>
      </c>
      <c r="DA162" s="243">
        <f>SUM(DA157:DA161)</f>
        <v>100525</v>
      </c>
      <c r="DX162" s="243"/>
      <c r="DY162" s="243">
        <f>SUM(DY157:DY161)</f>
        <v>31238</v>
      </c>
      <c r="EB162" s="243">
        <f>SUM(EB157:EB161)</f>
        <v>44094</v>
      </c>
    </row>
    <row r="163" spans="2:132" ht="12.75" customHeight="1" x14ac:dyDescent="0.2">
      <c r="B163" t="s">
        <v>1460</v>
      </c>
      <c r="AM163" s="243"/>
      <c r="AN163" s="243"/>
      <c r="AO163" s="243"/>
      <c r="AP163" s="243"/>
      <c r="AQ163" s="243"/>
      <c r="AR163" s="243"/>
      <c r="AS163" s="243"/>
      <c r="AT163" s="243"/>
      <c r="AU163" s="243"/>
      <c r="AV163" s="243"/>
      <c r="AW163" s="243"/>
      <c r="AX163" s="243"/>
      <c r="AY163" s="243"/>
      <c r="AZ163" s="243"/>
      <c r="BA163" s="243"/>
      <c r="BB163" s="243"/>
      <c r="BC163" s="243"/>
      <c r="BD163" s="243"/>
      <c r="BE163" s="243">
        <v>3120</v>
      </c>
      <c r="BF163" s="243">
        <v>3120</v>
      </c>
      <c r="BG163" s="243">
        <v>3120</v>
      </c>
      <c r="BH163" s="243">
        <v>3120</v>
      </c>
      <c r="BI163" s="243">
        <v>3120</v>
      </c>
      <c r="BJ163" s="243">
        <v>3120</v>
      </c>
      <c r="BK163" s="243">
        <v>3120</v>
      </c>
      <c r="BL163" s="243">
        <v>3120</v>
      </c>
      <c r="BM163" s="243">
        <v>3120</v>
      </c>
      <c r="BN163" s="243">
        <v>3120</v>
      </c>
      <c r="BO163" s="243">
        <v>3120</v>
      </c>
      <c r="BP163" s="243">
        <v>3120</v>
      </c>
      <c r="BQ163" s="243">
        <v>3120</v>
      </c>
      <c r="BR163" s="243">
        <v>3120</v>
      </c>
      <c r="CX163" s="243">
        <v>3120</v>
      </c>
      <c r="CY163" s="243">
        <v>3120</v>
      </c>
      <c r="CZ163" s="243">
        <v>3120</v>
      </c>
      <c r="DA163" s="243">
        <v>3120</v>
      </c>
      <c r="DX163" s="243"/>
      <c r="DY163" s="243"/>
      <c r="EB163" s="243"/>
    </row>
    <row r="164" spans="2:132" ht="12.75" customHeight="1" x14ac:dyDescent="0.2">
      <c r="B164" t="s">
        <v>1461</v>
      </c>
      <c r="AM164" s="243"/>
      <c r="AN164" s="243"/>
      <c r="AO164" s="243"/>
      <c r="AP164" s="243"/>
      <c r="AQ164" s="243"/>
      <c r="AR164" s="243"/>
      <c r="AS164" s="243"/>
      <c r="AT164" s="243"/>
      <c r="AU164" s="243"/>
      <c r="AV164" s="243"/>
      <c r="AW164" s="243"/>
      <c r="AX164" s="243"/>
      <c r="AY164" s="243"/>
      <c r="AZ164" s="243"/>
      <c r="BA164" s="243"/>
      <c r="BB164" s="243"/>
      <c r="BC164" s="243"/>
      <c r="BD164" s="243"/>
      <c r="BE164" s="243">
        <v>-2924</v>
      </c>
      <c r="BF164" s="243">
        <v>-3531</v>
      </c>
      <c r="BG164" s="243">
        <v>-2020</v>
      </c>
      <c r="BH164" s="243">
        <v>-1192</v>
      </c>
      <c r="BI164" s="243">
        <v>-3068</v>
      </c>
      <c r="BJ164" s="243">
        <v>-5632</v>
      </c>
      <c r="BK164" s="243">
        <v>-4540</v>
      </c>
      <c r="BL164" s="243">
        <v>-6204</v>
      </c>
      <c r="BM164" s="243">
        <v>-4925</v>
      </c>
      <c r="BN164" s="243">
        <v>-5810</v>
      </c>
      <c r="BO164" s="243">
        <v>-6689</v>
      </c>
      <c r="BP164" s="243">
        <v>-6810</v>
      </c>
      <c r="BQ164" s="243">
        <v>-5346</v>
      </c>
      <c r="BR164" s="243">
        <v>-2860</v>
      </c>
      <c r="CX164" s="243">
        <v>-13058</v>
      </c>
      <c r="CY164" s="243">
        <v>-13757</v>
      </c>
      <c r="CZ164" s="243">
        <v>-13843</v>
      </c>
      <c r="DA164" s="243">
        <v>-15292</v>
      </c>
      <c r="DX164" s="243"/>
      <c r="DY164" s="243"/>
      <c r="EB164" s="243"/>
    </row>
    <row r="165" spans="2:132" ht="12.75" customHeight="1" x14ac:dyDescent="0.2">
      <c r="B165" t="s">
        <v>1462</v>
      </c>
      <c r="AM165" s="243"/>
      <c r="AN165" s="243"/>
      <c r="AO165" s="243"/>
      <c r="AP165" s="243"/>
      <c r="AQ165" s="243"/>
      <c r="AR165" s="243"/>
      <c r="AS165" s="243"/>
      <c r="AT165" s="243"/>
      <c r="AU165" s="243"/>
      <c r="AV165" s="243"/>
      <c r="AW165" s="243"/>
      <c r="AX165" s="243"/>
      <c r="AY165" s="243"/>
      <c r="AZ165" s="243"/>
      <c r="BA165" s="243"/>
      <c r="BB165" s="243"/>
      <c r="BC165" s="243"/>
      <c r="BD165" s="243"/>
      <c r="BE165" s="243">
        <v>77272</v>
      </c>
      <c r="BF165" s="243">
        <v>77773</v>
      </c>
      <c r="BG165" s="243">
        <v>79515</v>
      </c>
      <c r="BH165" s="243">
        <v>80836</v>
      </c>
      <c r="BI165" s="243">
        <v>82634</v>
      </c>
      <c r="BJ165" s="243">
        <v>81251</v>
      </c>
      <c r="BK165" s="243">
        <v>83103</v>
      </c>
      <c r="BL165" s="243">
        <v>83530</v>
      </c>
      <c r="BM165" s="243">
        <v>84880</v>
      </c>
      <c r="BN165" s="243">
        <v>85992</v>
      </c>
      <c r="BO165" s="243">
        <v>87242</v>
      </c>
      <c r="BP165" s="243">
        <v>89449</v>
      </c>
      <c r="BQ165" s="243">
        <v>87703</v>
      </c>
      <c r="BR165" s="243">
        <v>89493</v>
      </c>
      <c r="CX165" s="243">
        <v>123060</v>
      </c>
      <c r="CY165" s="243">
        <v>124380</v>
      </c>
      <c r="CZ165" s="243">
        <v>126216</v>
      </c>
      <c r="DA165" s="243">
        <v>127917</v>
      </c>
      <c r="DX165" s="243"/>
      <c r="DY165" s="243"/>
      <c r="EB165" s="243"/>
    </row>
    <row r="166" spans="2:132" ht="12.75" customHeight="1" x14ac:dyDescent="0.2">
      <c r="B166" t="s">
        <v>1463</v>
      </c>
      <c r="AM166" s="243"/>
      <c r="AN166" s="243"/>
      <c r="AO166" s="243"/>
      <c r="AP166" s="243"/>
      <c r="AQ166" s="243"/>
      <c r="AR166" s="243"/>
      <c r="AS166" s="243"/>
      <c r="AT166" s="243"/>
      <c r="AU166" s="243"/>
      <c r="AV166" s="243"/>
      <c r="AW166" s="243"/>
      <c r="AX166" s="243"/>
      <c r="AY166" s="243"/>
      <c r="AZ166" s="243"/>
      <c r="BA166" s="243"/>
      <c r="BB166" s="243"/>
      <c r="BC166" s="243"/>
      <c r="BD166" s="243"/>
      <c r="BE166" s="243">
        <v>-20177</v>
      </c>
      <c r="BF166" s="243">
        <v>-20783</v>
      </c>
      <c r="BG166" s="243">
        <v>-20752</v>
      </c>
      <c r="BH166" s="243">
        <v>-20632</v>
      </c>
      <c r="BI166" s="243">
        <v>-21159</v>
      </c>
      <c r="BJ166" s="243">
        <v>-21659</v>
      </c>
      <c r="BK166" s="243">
        <v>-20317</v>
      </c>
      <c r="BL166" s="243">
        <v>-20012</v>
      </c>
      <c r="BM166" s="243">
        <v>-19314</v>
      </c>
      <c r="BN166" s="243">
        <v>-18476</v>
      </c>
      <c r="BO166" s="243">
        <v>-16818</v>
      </c>
      <c r="BP166" s="243">
        <v>-16094</v>
      </c>
      <c r="BQ166" s="243">
        <v>-15673</v>
      </c>
      <c r="BR166" s="243">
        <v>-15700</v>
      </c>
      <c r="CX166" s="243">
        <v>39099</v>
      </c>
      <c r="CY166" s="243">
        <v>39034</v>
      </c>
      <c r="CZ166" s="243">
        <v>39136</v>
      </c>
      <c r="DA166" s="243">
        <v>41146</v>
      </c>
      <c r="DX166" s="243"/>
      <c r="DY166" s="243"/>
      <c r="EB166" s="243"/>
    </row>
    <row r="167" spans="2:132" ht="12.75" customHeight="1" x14ac:dyDescent="0.2">
      <c r="B167" t="s">
        <v>389</v>
      </c>
      <c r="AM167" s="243">
        <v>41123</v>
      </c>
      <c r="AN167" s="243"/>
      <c r="AO167" s="243"/>
      <c r="AP167" s="243">
        <v>39318</v>
      </c>
      <c r="AQ167" s="243">
        <v>40925</v>
      </c>
      <c r="AR167" s="243">
        <v>43122</v>
      </c>
      <c r="AS167" s="243">
        <v>43573</v>
      </c>
      <c r="AT167" s="243">
        <v>43319</v>
      </c>
      <c r="AU167" s="243">
        <v>45625</v>
      </c>
      <c r="AV167" s="243">
        <v>46435</v>
      </c>
      <c r="AW167" s="243">
        <v>45734</v>
      </c>
      <c r="AX167" s="243">
        <v>42511</v>
      </c>
      <c r="AY167" s="243">
        <v>43791</v>
      </c>
      <c r="AZ167" s="243">
        <v>46247</v>
      </c>
      <c r="BA167" s="243">
        <v>50384</v>
      </c>
      <c r="BB167" s="243">
        <v>50588</v>
      </c>
      <c r="BC167" s="243">
        <v>52914</v>
      </c>
      <c r="BD167" s="243">
        <v>52851</v>
      </c>
      <c r="BE167" s="243">
        <f t="shared" ref="BE167:BR167" si="701">SUM(BE163:BE166)</f>
        <v>57291</v>
      </c>
      <c r="BF167" s="243">
        <f t="shared" si="701"/>
        <v>56579</v>
      </c>
      <c r="BG167" s="243">
        <f t="shared" si="701"/>
        <v>59863</v>
      </c>
      <c r="BH167" s="243">
        <f t="shared" si="701"/>
        <v>62132</v>
      </c>
      <c r="BI167" s="243">
        <f t="shared" si="701"/>
        <v>61527</v>
      </c>
      <c r="BJ167" s="243">
        <f t="shared" si="701"/>
        <v>57080</v>
      </c>
      <c r="BK167" s="243">
        <f t="shared" si="701"/>
        <v>61366</v>
      </c>
      <c r="BL167" s="243">
        <f t="shared" si="701"/>
        <v>60434</v>
      </c>
      <c r="BM167" s="243">
        <f t="shared" si="701"/>
        <v>63761</v>
      </c>
      <c r="BN167" s="243">
        <f t="shared" si="701"/>
        <v>64826</v>
      </c>
      <c r="BO167" s="243">
        <f t="shared" si="701"/>
        <v>66855</v>
      </c>
      <c r="BP167" s="243">
        <f t="shared" si="701"/>
        <v>69665</v>
      </c>
      <c r="BQ167" s="243">
        <f t="shared" si="701"/>
        <v>69804</v>
      </c>
      <c r="BR167" s="243">
        <f t="shared" si="701"/>
        <v>74053</v>
      </c>
      <c r="CX167" s="243">
        <f t="shared" ref="CX167" si="702">+CX165-CX166+CX163+CX164</f>
        <v>74023</v>
      </c>
      <c r="CY167" s="243">
        <f>+CY165-CY166+CY163+CY164</f>
        <v>74709</v>
      </c>
      <c r="CZ167" s="243">
        <v>76357</v>
      </c>
      <c r="DA167" s="243">
        <v>74599</v>
      </c>
      <c r="DX167" s="243"/>
      <c r="DY167" s="243">
        <f>DY149-DY162</f>
        <v>39318</v>
      </c>
      <c r="EB167" s="243">
        <v>50558</v>
      </c>
    </row>
    <row r="168" spans="2:132" ht="12.75" customHeight="1" x14ac:dyDescent="0.2">
      <c r="B168" t="s">
        <v>365</v>
      </c>
      <c r="AM168" s="243">
        <f>AM167+AM162</f>
        <v>62133</v>
      </c>
      <c r="AN168" s="243"/>
      <c r="AO168" s="243"/>
      <c r="AP168" s="243">
        <v>70556</v>
      </c>
      <c r="AQ168" s="243">
        <v>73066</v>
      </c>
      <c r="AR168" s="243">
        <v>74683</v>
      </c>
      <c r="AS168" s="243">
        <v>78665</v>
      </c>
      <c r="AT168" s="243">
        <v>80954</v>
      </c>
      <c r="AU168" s="243">
        <v>85995</v>
      </c>
      <c r="AV168" s="243">
        <v>88113</v>
      </c>
      <c r="AW168" s="243">
        <f t="shared" ref="AW168:BB168" si="703">AW167+AW162</f>
        <v>87724</v>
      </c>
      <c r="AX168" s="243">
        <f t="shared" si="703"/>
        <v>84912</v>
      </c>
      <c r="AY168" s="243">
        <f t="shared" si="703"/>
        <v>86100</v>
      </c>
      <c r="AZ168" s="243">
        <f t="shared" si="703"/>
        <v>87438</v>
      </c>
      <c r="BA168" s="243">
        <f t="shared" si="703"/>
        <v>91558</v>
      </c>
      <c r="BB168" s="243">
        <f t="shared" si="703"/>
        <v>94682</v>
      </c>
      <c r="BC168" s="243">
        <f>BC167+BC162</f>
        <v>93441</v>
      </c>
      <c r="BD168" s="243">
        <f t="shared" ref="BD168" si="704">BD167+BD162</f>
        <v>92300</v>
      </c>
      <c r="BE168" s="243">
        <f t="shared" ref="BE168:BR168" si="705">BE167+BE162</f>
        <v>98247</v>
      </c>
      <c r="BF168" s="243">
        <f t="shared" si="705"/>
        <v>102908</v>
      </c>
      <c r="BG168" s="243">
        <f t="shared" si="705"/>
        <v>108150</v>
      </c>
      <c r="BH168" s="243">
        <f t="shared" si="705"/>
        <v>112114</v>
      </c>
      <c r="BI168" s="243">
        <f t="shared" si="705"/>
        <v>111821</v>
      </c>
      <c r="BJ168" s="243">
        <f t="shared" si="705"/>
        <v>113644</v>
      </c>
      <c r="BK168" s="243">
        <f t="shared" si="705"/>
        <v>116194</v>
      </c>
      <c r="BL168" s="243">
        <f t="shared" si="705"/>
        <v>115750</v>
      </c>
      <c r="BM168" s="243">
        <f t="shared" si="705"/>
        <v>118951</v>
      </c>
      <c r="BN168" s="243">
        <f t="shared" si="705"/>
        <v>121347</v>
      </c>
      <c r="BO168" s="243">
        <f t="shared" si="705"/>
        <v>121536</v>
      </c>
      <c r="BP168" s="243">
        <f t="shared" si="705"/>
        <v>124325</v>
      </c>
      <c r="BQ168" s="243">
        <f t="shared" si="705"/>
        <v>126933</v>
      </c>
      <c r="BR168" s="243">
        <f t="shared" si="705"/>
        <v>132683</v>
      </c>
      <c r="CX168" s="243">
        <f t="shared" ref="CX168" si="706">+CX167+CX162</f>
        <v>182018</v>
      </c>
      <c r="CY168" s="243">
        <f>+CY167+CY162</f>
        <v>178355</v>
      </c>
      <c r="CZ168" s="243">
        <f>+CZ167+CZ162</f>
        <v>177724</v>
      </c>
      <c r="DA168" s="243">
        <f>+DA167+DA162</f>
        <v>175124</v>
      </c>
      <c r="DX168" s="294"/>
      <c r="DY168" s="294">
        <f>DY67/DY167</f>
        <v>0.28315275446360444</v>
      </c>
      <c r="EB168" s="294">
        <f>EB67/EB167</f>
        <v>0.33186637129633295</v>
      </c>
    </row>
    <row r="169" spans="2:132" ht="12.75" customHeight="1" x14ac:dyDescent="0.2">
      <c r="B169" t="s">
        <v>390</v>
      </c>
      <c r="AM169" s="294">
        <f>AM67/AM167*4</f>
        <v>0.32507355980837976</v>
      </c>
      <c r="AP169" s="294">
        <f t="shared" ref="AP169:BR169" si="707">AP67/AP167*4</f>
        <v>0.24263696017091407</v>
      </c>
      <c r="AQ169" s="294">
        <f t="shared" si="707"/>
        <v>0.33524740378741602</v>
      </c>
      <c r="AR169" s="294">
        <f t="shared" si="707"/>
        <v>0.28681415518760728</v>
      </c>
      <c r="AS169" s="294">
        <f t="shared" si="707"/>
        <v>0.28544447249443461</v>
      </c>
      <c r="AT169" s="294">
        <f t="shared" si="707"/>
        <v>0.26704429926821949</v>
      </c>
      <c r="AU169" s="294">
        <f t="shared" si="707"/>
        <v>0.31544109589041097</v>
      </c>
      <c r="AV169" s="294">
        <f t="shared" si="707"/>
        <v>0.2900398406374502</v>
      </c>
      <c r="AW169" s="294">
        <f t="shared" si="707"/>
        <v>0.28950015305899329</v>
      </c>
      <c r="AX169" s="294">
        <f t="shared" si="707"/>
        <v>0.2470889887323281</v>
      </c>
      <c r="AY169" s="294">
        <f t="shared" si="707"/>
        <v>0.32033979584846201</v>
      </c>
      <c r="AZ169" s="294">
        <f t="shared" si="707"/>
        <v>0.27746664648517744</v>
      </c>
      <c r="BA169" s="294">
        <f t="shared" si="707"/>
        <v>0.26556049539536358</v>
      </c>
      <c r="BB169" s="294">
        <f t="shared" si="707"/>
        <v>0.2280382699454416</v>
      </c>
      <c r="BC169" s="294">
        <f t="shared" si="707"/>
        <v>0.2733492081490721</v>
      </c>
      <c r="BD169" s="294">
        <f t="shared" si="707"/>
        <v>0.26043026622012827</v>
      </c>
      <c r="BE169" s="294">
        <f t="shared" si="707"/>
        <v>0.23857150337749386</v>
      </c>
      <c r="BF169" s="294">
        <f t="shared" si="707"/>
        <v>0.20247795118330122</v>
      </c>
      <c r="BG169" s="294">
        <f t="shared" si="707"/>
        <v>0.28525132385613816</v>
      </c>
      <c r="BH169" s="294">
        <f t="shared" si="707"/>
        <v>0.21663555011910127</v>
      </c>
      <c r="BI169" s="294">
        <f t="shared" si="707"/>
        <v>0.20816877143367951</v>
      </c>
      <c r="BJ169" s="294">
        <f t="shared" si="707"/>
        <v>0.39908899789768748</v>
      </c>
      <c r="BK169" s="294">
        <f t="shared" si="707"/>
        <v>0.254864257080468</v>
      </c>
      <c r="BL169" s="294">
        <f t="shared" si="707"/>
        <v>0.23966641294635471</v>
      </c>
      <c r="BM169" s="294">
        <f t="shared" si="707"/>
        <v>0.21624504007151707</v>
      </c>
      <c r="BN169" s="294">
        <f t="shared" si="707"/>
        <v>0.17616388486101256</v>
      </c>
      <c r="BO169" s="294">
        <f t="shared" si="707"/>
        <v>0.21563084286889536</v>
      </c>
      <c r="BP169" s="294">
        <f t="shared" si="707"/>
        <v>0.24947965262326849</v>
      </c>
      <c r="BQ169" s="294">
        <f t="shared" si="707"/>
        <v>0.22823906939430405</v>
      </c>
      <c r="BR169" s="294">
        <f t="shared" si="707"/>
        <v>0.19707803870201071</v>
      </c>
    </row>
    <row r="170" spans="2:132" ht="12.75" customHeight="1" x14ac:dyDescent="0.2">
      <c r="B170" t="s">
        <v>1453</v>
      </c>
      <c r="AM170" s="294"/>
      <c r="AP170" s="294"/>
      <c r="AQ170" s="294"/>
      <c r="AR170" s="294"/>
      <c r="AS170" s="294"/>
      <c r="AT170" s="294">
        <f t="shared" ref="AT170:BE170" si="708">AT167/AP167-1</f>
        <v>0.10176000813876596</v>
      </c>
      <c r="AU170" s="294">
        <f t="shared" si="708"/>
        <v>0.11484422724496035</v>
      </c>
      <c r="AV170" s="294">
        <f t="shared" si="708"/>
        <v>7.6828532999396959E-2</v>
      </c>
      <c r="AW170" s="294">
        <f t="shared" si="708"/>
        <v>4.9594932641773504E-2</v>
      </c>
      <c r="AX170" s="294">
        <f t="shared" si="708"/>
        <v>-1.8652323460837006E-2</v>
      </c>
      <c r="AY170" s="294">
        <f t="shared" si="708"/>
        <v>-4.0197260273972635E-2</v>
      </c>
      <c r="AZ170" s="294">
        <f t="shared" si="708"/>
        <v>-4.0486701841283557E-3</v>
      </c>
      <c r="BA170" s="294">
        <f t="shared" si="708"/>
        <v>0.10167490269821133</v>
      </c>
      <c r="BB170" s="294">
        <f t="shared" si="708"/>
        <v>0.18999788290089614</v>
      </c>
      <c r="BC170" s="294">
        <f t="shared" si="708"/>
        <v>0.20833047886552025</v>
      </c>
      <c r="BD170" s="294">
        <f t="shared" si="708"/>
        <v>0.14279845179146755</v>
      </c>
      <c r="BE170" s="294">
        <f t="shared" si="708"/>
        <v>0.13708717053032715</v>
      </c>
      <c r="BF170" s="294">
        <f t="shared" ref="BF170:BR170" si="709">BF167/BB167-1</f>
        <v>0.11842729501067439</v>
      </c>
      <c r="BG170" s="294">
        <f t="shared" si="709"/>
        <v>0.1313263030577918</v>
      </c>
      <c r="BH170" s="294">
        <f t="shared" si="709"/>
        <v>0.17560689485534797</v>
      </c>
      <c r="BI170" s="294">
        <f t="shared" si="709"/>
        <v>7.39383149185735E-2</v>
      </c>
      <c r="BJ170" s="294">
        <f t="shared" si="709"/>
        <v>8.8548754838366772E-3</v>
      </c>
      <c r="BK170" s="294">
        <f t="shared" si="709"/>
        <v>2.5107328399846418E-2</v>
      </c>
      <c r="BL170" s="294">
        <f t="shared" si="709"/>
        <v>-2.7328912637610281E-2</v>
      </c>
      <c r="BM170" s="294">
        <f t="shared" si="709"/>
        <v>3.630926260015932E-2</v>
      </c>
      <c r="BN170" s="294">
        <f t="shared" si="709"/>
        <v>0.13570427470217239</v>
      </c>
      <c r="BO170" s="294">
        <f t="shared" si="709"/>
        <v>8.9446925007333089E-2</v>
      </c>
      <c r="BP170" s="294">
        <f t="shared" si="709"/>
        <v>0.15274514346228951</v>
      </c>
      <c r="BQ170" s="294">
        <f t="shared" si="709"/>
        <v>9.4775803390787505E-2</v>
      </c>
      <c r="BR170" s="294">
        <f t="shared" si="709"/>
        <v>0.1423348656403296</v>
      </c>
    </row>
    <row r="171" spans="2:132" ht="12.75" customHeight="1" x14ac:dyDescent="0.2">
      <c r="AM171" s="294"/>
      <c r="AP171" s="294"/>
      <c r="AQ171" s="294"/>
      <c r="AR171" s="294"/>
      <c r="AS171" s="294"/>
      <c r="AT171" s="294"/>
      <c r="AU171" s="294"/>
      <c r="AV171" s="294"/>
      <c r="AW171" s="294"/>
      <c r="AX171" s="294"/>
      <c r="AY171" s="294"/>
      <c r="AZ171" s="294"/>
      <c r="BA171" s="294"/>
      <c r="BB171" s="294"/>
      <c r="BC171" s="294"/>
      <c r="BD171" s="294"/>
      <c r="BE171" s="294"/>
      <c r="BF171" s="294"/>
      <c r="BG171" s="294"/>
      <c r="BH171" s="294"/>
      <c r="BI171" s="294"/>
      <c r="BN171" s="294"/>
      <c r="BO171" s="294"/>
      <c r="BP171" s="294"/>
      <c r="BQ171" s="294"/>
    </row>
    <row r="172" spans="2:132" ht="12.75" customHeight="1" x14ac:dyDescent="0.2">
      <c r="B172" t="s">
        <v>1584</v>
      </c>
      <c r="AM172" s="294"/>
      <c r="AP172" s="294"/>
      <c r="AQ172" s="294"/>
      <c r="AR172" s="294"/>
      <c r="AS172" s="294"/>
      <c r="AT172" s="294"/>
      <c r="AU172" s="294"/>
      <c r="AV172" s="294"/>
      <c r="AW172" s="294"/>
      <c r="AX172" s="294"/>
      <c r="AY172" s="294"/>
      <c r="AZ172" s="294"/>
      <c r="BA172" s="294"/>
      <c r="BB172" s="294"/>
      <c r="BC172" s="294"/>
      <c r="BD172" s="294"/>
      <c r="BE172" s="294"/>
      <c r="BF172" s="294"/>
      <c r="BG172" s="294"/>
      <c r="BH172" s="294"/>
      <c r="BI172" s="294"/>
      <c r="BJ172" s="243">
        <v>3119.8429999999998</v>
      </c>
      <c r="BK172" s="243">
        <v>3119.8429999999998</v>
      </c>
      <c r="BL172" s="243">
        <v>3119.8429999999998</v>
      </c>
      <c r="BM172" s="243">
        <v>3119.8429999999998</v>
      </c>
      <c r="BN172" s="243">
        <v>3119.8429999999998</v>
      </c>
      <c r="BO172" s="243">
        <v>3119.8429999999998</v>
      </c>
      <c r="BP172" s="243">
        <v>3119.8429999999998</v>
      </c>
      <c r="BQ172" s="243">
        <v>3119.8429999999998</v>
      </c>
      <c r="BR172" s="243">
        <v>3119.8429999999998</v>
      </c>
    </row>
    <row r="173" spans="2:132" ht="12.75" customHeight="1" x14ac:dyDescent="0.2">
      <c r="B173" t="s">
        <v>1463</v>
      </c>
      <c r="AM173" s="294"/>
      <c r="AP173" s="294"/>
      <c r="AQ173" s="294"/>
      <c r="AR173" s="294"/>
      <c r="AS173" s="294"/>
      <c r="AT173" s="294"/>
      <c r="AU173" s="294"/>
      <c r="AV173" s="294"/>
      <c r="AW173" s="294"/>
      <c r="AX173" s="294"/>
      <c r="AY173" s="294"/>
      <c r="AZ173" s="294"/>
      <c r="BA173" s="294"/>
      <c r="BB173" s="294"/>
      <c r="BC173" s="294"/>
      <c r="BD173" s="294"/>
      <c r="BE173" s="294"/>
      <c r="BF173" s="294"/>
      <c r="BG173" s="294"/>
      <c r="BH173" s="294"/>
      <c r="BI173" s="294"/>
      <c r="BJ173" s="243">
        <v>395.48</v>
      </c>
      <c r="BK173" s="243">
        <v>374.12200000000001</v>
      </c>
      <c r="BL173" s="243">
        <v>369.28399999999999</v>
      </c>
      <c r="BM173" s="243">
        <v>357.28500000000003</v>
      </c>
      <c r="BN173" s="243">
        <v>341.35399999999998</v>
      </c>
      <c r="BO173" s="243">
        <v>316.67899999999997</v>
      </c>
      <c r="BP173" s="243">
        <v>305.65499999999997</v>
      </c>
      <c r="BQ173" s="243">
        <v>299.18400000000003</v>
      </c>
      <c r="BR173" s="243">
        <v>299.21499999999997</v>
      </c>
    </row>
    <row r="174" spans="2:132" ht="12.75" customHeight="1" x14ac:dyDescent="0.2">
      <c r="B174" t="s">
        <v>1585</v>
      </c>
      <c r="AM174" s="294"/>
      <c r="AP174" s="294"/>
      <c r="AQ174" s="294"/>
      <c r="AR174" s="294"/>
      <c r="AS174" s="294"/>
      <c r="AT174" s="294"/>
      <c r="AU174" s="294"/>
      <c r="AV174" s="294"/>
      <c r="AW174" s="294"/>
      <c r="AX174" s="294"/>
      <c r="AY174" s="294"/>
      <c r="AZ174" s="294"/>
      <c r="BA174" s="294"/>
      <c r="BB174" s="294"/>
      <c r="BC174" s="294"/>
      <c r="BD174" s="294"/>
      <c r="BE174" s="294"/>
      <c r="BF174" s="294"/>
      <c r="BG174" s="294"/>
      <c r="BH174" s="294"/>
      <c r="BI174" s="294"/>
      <c r="BJ174" s="243">
        <f t="shared" ref="BJ174:BR174" si="710">+BJ172-BJ173</f>
        <v>2724.3629999999998</v>
      </c>
      <c r="BK174" s="243">
        <f t="shared" si="710"/>
        <v>2745.721</v>
      </c>
      <c r="BL174" s="243">
        <f t="shared" si="710"/>
        <v>2750.5589999999997</v>
      </c>
      <c r="BM174" s="243">
        <f t="shared" si="710"/>
        <v>2762.558</v>
      </c>
      <c r="BN174" s="243">
        <f t="shared" si="710"/>
        <v>2778.489</v>
      </c>
      <c r="BO174" s="243">
        <f t="shared" si="710"/>
        <v>2803.1639999999998</v>
      </c>
      <c r="BP174" s="243">
        <f t="shared" si="710"/>
        <v>2814.1880000000001</v>
      </c>
      <c r="BQ174" s="243">
        <f t="shared" si="710"/>
        <v>2820.6589999999997</v>
      </c>
      <c r="BR174" s="243">
        <f t="shared" si="710"/>
        <v>2820.6279999999997</v>
      </c>
    </row>
    <row r="175" spans="2:132" ht="12.75" customHeight="1" x14ac:dyDescent="0.2">
      <c r="AM175" s="243"/>
    </row>
    <row r="176" spans="2:132" ht="12.75" customHeight="1" x14ac:dyDescent="0.2">
      <c r="B176" t="s">
        <v>1510</v>
      </c>
      <c r="AM176" s="243"/>
      <c r="BD176" s="243">
        <f t="shared" ref="BD176:BG176" si="711">SUM(BA177:BD177)</f>
        <v>17908</v>
      </c>
      <c r="BE176" s="243">
        <f t="shared" si="711"/>
        <v>17848</v>
      </c>
      <c r="BF176" s="243">
        <f t="shared" si="711"/>
        <v>16385</v>
      </c>
      <c r="BG176" s="243">
        <f t="shared" si="711"/>
        <v>15011</v>
      </c>
      <c r="BH176" s="243">
        <f>SUM(BE177:BH177)</f>
        <v>15083</v>
      </c>
      <c r="BI176" s="243">
        <f>SUM(BF177:BI177)</f>
        <v>14671</v>
      </c>
      <c r="BJ176" s="243">
        <f t="shared" ref="BJ176:BR176" si="712">SUM(BG177:BJ177)</f>
        <v>10847</v>
      </c>
      <c r="BK176" s="243">
        <f t="shared" si="712"/>
        <v>8531</v>
      </c>
      <c r="BL176" s="243">
        <f t="shared" si="712"/>
        <v>4622</v>
      </c>
      <c r="BM176" s="243">
        <f t="shared" si="712"/>
        <v>0</v>
      </c>
      <c r="BN176" s="243">
        <f t="shared" si="712"/>
        <v>0</v>
      </c>
      <c r="BO176" s="243">
        <f t="shared" si="712"/>
        <v>2277</v>
      </c>
      <c r="BP176" s="243">
        <f t="shared" si="712"/>
        <v>7328</v>
      </c>
      <c r="BQ176" s="243">
        <f t="shared" si="712"/>
        <v>13275</v>
      </c>
      <c r="BR176" s="243">
        <f t="shared" si="712"/>
        <v>17414</v>
      </c>
    </row>
    <row r="177" spans="2:156" ht="12.75" customHeight="1" x14ac:dyDescent="0.2">
      <c r="B177" t="s">
        <v>391</v>
      </c>
      <c r="AI177" s="243">
        <f>SUM(AI179:AI192)</f>
        <v>2635</v>
      </c>
      <c r="AM177" s="243">
        <f>SUM(AM179:AM192)</f>
        <v>3474</v>
      </c>
      <c r="AQ177" s="243">
        <v>3837</v>
      </c>
      <c r="AR177" s="243">
        <f>6734-AQ177</f>
        <v>2897</v>
      </c>
      <c r="AS177" s="243">
        <f>10925-AR177-AQ177</f>
        <v>4191</v>
      </c>
      <c r="AT177" s="243">
        <f>15249-AS177-AR177-AQ177</f>
        <v>4324</v>
      </c>
      <c r="AU177" s="243">
        <v>3236</v>
      </c>
      <c r="AV177" s="243">
        <f>6078-AU177</f>
        <v>2842</v>
      </c>
      <c r="AW177" s="243">
        <f>10971-AV177-AU177</f>
        <v>4893</v>
      </c>
      <c r="AX177" s="243">
        <f>14972-AW177-AV177-AU177</f>
        <v>4001</v>
      </c>
      <c r="AY177" s="243">
        <v>2827</v>
      </c>
      <c r="AZ177" s="243">
        <v>3363</v>
      </c>
      <c r="BA177" s="243">
        <v>5094</v>
      </c>
      <c r="BB177" s="243">
        <v>5287</v>
      </c>
      <c r="BC177" s="243">
        <v>3690</v>
      </c>
      <c r="BD177" s="243">
        <v>3837</v>
      </c>
      <c r="BE177" s="243">
        <v>5034</v>
      </c>
      <c r="BF177" s="243">
        <f>16385-BE177-BD177-BC177</f>
        <v>3824</v>
      </c>
      <c r="BG177" s="243">
        <v>2316</v>
      </c>
      <c r="BH177" s="243">
        <f>6225-BG177</f>
        <v>3909</v>
      </c>
      <c r="BI177" s="243">
        <f>10847-BH177-BG177</f>
        <v>4622</v>
      </c>
      <c r="BO177" s="243">
        <v>2277</v>
      </c>
      <c r="BP177" s="243">
        <f>7328-BO177</f>
        <v>5051</v>
      </c>
      <c r="BQ177" s="243">
        <f>13275-BP177-BO177</f>
        <v>5947</v>
      </c>
      <c r="BR177" s="243">
        <f>17414-BQ177-BP177-BO177</f>
        <v>4139</v>
      </c>
      <c r="DG177" s="300"/>
    </row>
    <row r="178" spans="2:156" ht="12.75" customHeight="1" x14ac:dyDescent="0.2">
      <c r="B178" t="s">
        <v>372</v>
      </c>
      <c r="AI178" s="243">
        <f>AI177+AI194</f>
        <v>2238</v>
      </c>
      <c r="AM178" s="243">
        <f>AM177+AM194</f>
        <v>3028</v>
      </c>
      <c r="AQ178" s="243">
        <f t="shared" ref="AQ178:AW178" si="713">AQ177+AQ194</f>
        <v>3391</v>
      </c>
      <c r="AR178" s="243">
        <f t="shared" si="713"/>
        <v>2298</v>
      </c>
      <c r="AS178" s="243">
        <f t="shared" si="713"/>
        <v>3532</v>
      </c>
      <c r="AT178" s="243">
        <f t="shared" si="713"/>
        <v>3086</v>
      </c>
      <c r="AU178" s="243">
        <f t="shared" si="713"/>
        <v>2757</v>
      </c>
      <c r="AV178" s="243">
        <f t="shared" si="713"/>
        <v>2155</v>
      </c>
      <c r="AW178" s="243">
        <f t="shared" si="713"/>
        <v>4121</v>
      </c>
      <c r="AX178" s="243">
        <f>AX177+AX194</f>
        <v>2873</v>
      </c>
      <c r="AY178" s="243">
        <f t="shared" ref="AY178:BB178" si="714">AY177+AY194</f>
        <v>2392</v>
      </c>
      <c r="AZ178" s="243">
        <f t="shared" si="714"/>
        <v>2796</v>
      </c>
      <c r="BA178" s="243">
        <f t="shared" si="714"/>
        <v>4575</v>
      </c>
      <c r="BB178" s="243">
        <f t="shared" si="714"/>
        <v>4443</v>
      </c>
      <c r="BC178" s="243">
        <f>BC177+BC194</f>
        <v>3293</v>
      </c>
      <c r="BD178" s="243">
        <f t="shared" ref="BD178:BE178" si="715">BD177+BD194</f>
        <v>3337</v>
      </c>
      <c r="BE178" s="243">
        <f t="shared" si="715"/>
        <v>4506</v>
      </c>
      <c r="BF178" s="243">
        <f>BF177+BF194</f>
        <v>2865</v>
      </c>
      <c r="BG178" s="243">
        <f>BG177+BG194</f>
        <v>2001</v>
      </c>
      <c r="BH178" s="243">
        <f t="shared" ref="BH178:BR178" si="716">BH177+BH194</f>
        <v>3313</v>
      </c>
      <c r="BI178" s="243">
        <f t="shared" si="716"/>
        <v>4489</v>
      </c>
      <c r="BJ178" s="243">
        <f t="shared" si="716"/>
        <v>0</v>
      </c>
      <c r="BK178" s="243">
        <f t="shared" si="716"/>
        <v>0</v>
      </c>
      <c r="BL178" s="243">
        <f t="shared" si="716"/>
        <v>0</v>
      </c>
      <c r="BM178" s="243">
        <f t="shared" si="716"/>
        <v>0</v>
      </c>
      <c r="BN178" s="243">
        <f t="shared" si="716"/>
        <v>0</v>
      </c>
      <c r="BO178" s="243">
        <f t="shared" si="716"/>
        <v>1691</v>
      </c>
      <c r="BP178" s="243">
        <f t="shared" si="716"/>
        <v>4280</v>
      </c>
      <c r="BQ178" s="243">
        <f t="shared" si="716"/>
        <v>5138</v>
      </c>
      <c r="BR178" s="243">
        <f t="shared" si="716"/>
        <v>2710</v>
      </c>
      <c r="DG178" s="300"/>
    </row>
    <row r="179" spans="2:156" ht="12.75" customHeight="1" x14ac:dyDescent="0.2">
      <c r="B179" t="s">
        <v>1331</v>
      </c>
      <c r="AI179" s="243"/>
      <c r="AM179" s="243"/>
      <c r="AP179" s="243"/>
      <c r="AQ179" s="243">
        <f t="shared" ref="AQ179:AZ179" si="717">+AQ135-AP135</f>
        <v>1004</v>
      </c>
      <c r="AR179" s="243">
        <f t="shared" si="717"/>
        <v>994</v>
      </c>
      <c r="AS179" s="243">
        <f t="shared" si="717"/>
        <v>926</v>
      </c>
      <c r="AT179" s="243">
        <f t="shared" si="717"/>
        <v>-651</v>
      </c>
      <c r="AU179" s="243">
        <f t="shared" si="717"/>
        <v>-49</v>
      </c>
      <c r="AV179" s="243">
        <f t="shared" si="717"/>
        <v>-596</v>
      </c>
      <c r="AW179" s="243">
        <f t="shared" si="717"/>
        <v>1026</v>
      </c>
      <c r="AX179" s="243">
        <f t="shared" si="717"/>
        <v>800</v>
      </c>
      <c r="AY179" s="243">
        <f t="shared" si="717"/>
        <v>-1085</v>
      </c>
      <c r="AZ179" s="243">
        <f t="shared" si="717"/>
        <v>1244</v>
      </c>
      <c r="BA179" s="243">
        <f t="shared" ref="BA179:BI179" si="718">+BA135-AZ135</f>
        <v>1636</v>
      </c>
      <c r="BB179" s="243">
        <f t="shared" si="718"/>
        <v>2128</v>
      </c>
      <c r="BC179" s="243">
        <f t="shared" si="718"/>
        <v>1023</v>
      </c>
      <c r="BD179" s="243">
        <f t="shared" si="718"/>
        <v>1342</v>
      </c>
      <c r="BE179" s="243">
        <f t="shared" si="718"/>
        <v>2852</v>
      </c>
      <c r="BF179" s="243">
        <f t="shared" si="718"/>
        <v>784</v>
      </c>
      <c r="BG179" s="243">
        <f t="shared" si="718"/>
        <v>-1848</v>
      </c>
      <c r="BH179" s="243">
        <f t="shared" si="718"/>
        <v>1919</v>
      </c>
      <c r="BI179" s="243">
        <f t="shared" si="718"/>
        <v>1614</v>
      </c>
      <c r="BJ179" s="243">
        <f t="shared" ref="BJ179" si="719">+BJ135-BI135</f>
        <v>64</v>
      </c>
      <c r="BK179" s="243">
        <f t="shared" ref="BK179" si="720">+BK135-BJ135</f>
        <v>1764</v>
      </c>
      <c r="BL179" s="243">
        <f t="shared" ref="BL179" si="721">+BL135-BK135</f>
        <v>-15048</v>
      </c>
      <c r="BM179" s="243">
        <f t="shared" ref="BM179" si="722">+BM135-BL135</f>
        <v>3570</v>
      </c>
      <c r="BN179" s="243">
        <f t="shared" ref="BN179" si="723">+BN135-BM135</f>
        <v>2004</v>
      </c>
      <c r="BO179" s="243">
        <f t="shared" ref="BO179" si="724">+BO135-BN135</f>
        <v>852</v>
      </c>
      <c r="BP179" s="243">
        <f t="shared" ref="BP179" si="725">+BP135-BO135</f>
        <v>4371</v>
      </c>
      <c r="BQ179" s="243">
        <f t="shared" ref="BQ179" si="726">+BQ135-BP135</f>
        <v>-26</v>
      </c>
      <c r="BR179" s="243">
        <f t="shared" ref="BR179" si="727">+BR135-BQ135</f>
        <v>905</v>
      </c>
    </row>
    <row r="180" spans="2:156" ht="12.75" customHeight="1" x14ac:dyDescent="0.2">
      <c r="AM180" s="243"/>
      <c r="AQ180" s="243"/>
      <c r="AR180" s="243"/>
      <c r="AS180" s="243"/>
      <c r="AT180" s="243"/>
      <c r="AU180" s="243"/>
      <c r="AV180" s="243"/>
    </row>
    <row r="181" spans="2:156" s="1" customFormat="1" ht="12.75" customHeight="1" x14ac:dyDescent="0.2">
      <c r="B181" s="1" t="s">
        <v>1332</v>
      </c>
      <c r="C181" s="166"/>
      <c r="D181" s="166"/>
      <c r="E181" s="166"/>
      <c r="F181" s="166"/>
      <c r="G181" s="166"/>
      <c r="H181" s="166"/>
      <c r="I181" s="166"/>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278">
        <v>2839</v>
      </c>
      <c r="AJ181" s="166"/>
      <c r="AK181" s="166"/>
      <c r="AL181" s="166"/>
      <c r="AM181" s="278">
        <v>3305</v>
      </c>
      <c r="AN181" s="166"/>
      <c r="AO181" s="166"/>
      <c r="AP181" s="166"/>
      <c r="AQ181" s="278">
        <f t="shared" ref="AQ181:BR181" si="728">AQ67</f>
        <v>3430</v>
      </c>
      <c r="AR181" s="278">
        <f t="shared" si="728"/>
        <v>3092</v>
      </c>
      <c r="AS181" s="278">
        <f t="shared" si="728"/>
        <v>3109.4179999999997</v>
      </c>
      <c r="AT181" s="278">
        <f t="shared" si="728"/>
        <v>2892.0230000000001</v>
      </c>
      <c r="AU181" s="278">
        <f t="shared" si="728"/>
        <v>3598</v>
      </c>
      <c r="AV181" s="278">
        <f t="shared" si="728"/>
        <v>3367</v>
      </c>
      <c r="AW181" s="278">
        <f t="shared" si="728"/>
        <v>3310</v>
      </c>
      <c r="AX181" s="278">
        <f t="shared" si="728"/>
        <v>2626</v>
      </c>
      <c r="AY181" s="278">
        <f t="shared" si="728"/>
        <v>3507</v>
      </c>
      <c r="AZ181" s="278">
        <f t="shared" si="728"/>
        <v>3208</v>
      </c>
      <c r="BA181" s="278">
        <f t="shared" si="728"/>
        <v>3345</v>
      </c>
      <c r="BB181" s="278">
        <f t="shared" si="728"/>
        <v>2884</v>
      </c>
      <c r="BC181" s="278">
        <f t="shared" si="728"/>
        <v>3616</v>
      </c>
      <c r="BD181" s="278">
        <f t="shared" si="728"/>
        <v>3441</v>
      </c>
      <c r="BE181" s="278">
        <f t="shared" si="728"/>
        <v>3417</v>
      </c>
      <c r="BF181" s="278">
        <f t="shared" si="728"/>
        <v>2864</v>
      </c>
      <c r="BG181" s="278">
        <f t="shared" si="728"/>
        <v>4269</v>
      </c>
      <c r="BH181" s="278">
        <f t="shared" si="728"/>
        <v>3365</v>
      </c>
      <c r="BI181" s="278">
        <f t="shared" si="728"/>
        <v>3202</v>
      </c>
      <c r="BJ181" s="278">
        <f t="shared" si="728"/>
        <v>5695</v>
      </c>
      <c r="BK181" s="278">
        <f t="shared" si="728"/>
        <v>3910</v>
      </c>
      <c r="BL181" s="278">
        <f t="shared" si="728"/>
        <v>3621</v>
      </c>
      <c r="BM181" s="278">
        <f t="shared" si="728"/>
        <v>3447</v>
      </c>
      <c r="BN181" s="278">
        <f t="shared" si="728"/>
        <v>2855</v>
      </c>
      <c r="BO181" s="278">
        <f t="shared" si="728"/>
        <v>3604</v>
      </c>
      <c r="BP181" s="278">
        <f t="shared" si="728"/>
        <v>4345</v>
      </c>
      <c r="BQ181" s="278">
        <f t="shared" si="728"/>
        <v>3983</v>
      </c>
      <c r="BR181" s="278">
        <f t="shared" si="728"/>
        <v>3648.5549999999998</v>
      </c>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c r="CS181" s="166"/>
      <c r="CT181" s="166"/>
      <c r="CU181" s="166"/>
      <c r="CV181" s="166"/>
      <c r="CW181" s="166"/>
      <c r="CX181" s="166"/>
      <c r="CY181" s="166"/>
      <c r="CZ181" s="166"/>
      <c r="DA181" s="166"/>
      <c r="DB181" s="166"/>
      <c r="DC181" s="166"/>
      <c r="DD181" s="166"/>
      <c r="DE181" s="166"/>
      <c r="DF181" s="166"/>
      <c r="DG181" s="301"/>
      <c r="DH181" s="166"/>
      <c r="DI181" s="166"/>
      <c r="DJ181" s="166"/>
      <c r="DK181" s="166"/>
      <c r="DL181" s="166"/>
      <c r="DM181" s="166"/>
      <c r="DN181" s="166"/>
      <c r="DO181" s="166"/>
      <c r="DP181" s="166"/>
      <c r="DQ181" s="166"/>
      <c r="DR181" s="166"/>
      <c r="DS181" s="166"/>
      <c r="DT181" s="166"/>
      <c r="DU181" s="166"/>
      <c r="DV181" s="166"/>
      <c r="DW181" s="166"/>
      <c r="DX181" s="166"/>
      <c r="DY181" s="166"/>
      <c r="DZ181" s="166"/>
      <c r="EA181" s="166"/>
      <c r="EB181" s="166"/>
      <c r="EC181" s="166"/>
      <c r="ED181" s="166"/>
      <c r="EE181" s="166"/>
      <c r="EF181" s="166"/>
      <c r="EG181" s="166"/>
      <c r="EH181" s="166"/>
      <c r="EI181" s="166"/>
      <c r="EJ181" s="166"/>
      <c r="EK181" s="166"/>
      <c r="EL181" s="166"/>
      <c r="EM181" s="166"/>
      <c r="EZ181" s="301"/>
    </row>
    <row r="182" spans="2:156" s="1" customFormat="1" ht="12.75" customHeight="1" x14ac:dyDescent="0.2">
      <c r="B182" s="1" t="s">
        <v>345</v>
      </c>
      <c r="C182" s="166"/>
      <c r="D182" s="166"/>
      <c r="E182" s="166"/>
      <c r="F182" s="166"/>
      <c r="G182" s="166"/>
      <c r="H182" s="166"/>
      <c r="I182" s="16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278"/>
      <c r="AJ182" s="166"/>
      <c r="AK182" s="166"/>
      <c r="AL182" s="166"/>
      <c r="AM182" s="278"/>
      <c r="AN182" s="166"/>
      <c r="AO182" s="166"/>
      <c r="AP182" s="166"/>
      <c r="AQ182" s="278"/>
      <c r="AR182" s="278"/>
      <c r="AS182" s="278"/>
      <c r="AT182" s="278"/>
      <c r="AU182" s="278"/>
      <c r="AV182" s="278"/>
      <c r="AW182" s="278"/>
      <c r="AX182" s="278"/>
      <c r="AY182" s="278">
        <v>3507</v>
      </c>
      <c r="AZ182" s="278">
        <f>6715-AY182</f>
        <v>3208</v>
      </c>
      <c r="BA182" s="278">
        <f>10060-AZ182-AY182</f>
        <v>3345</v>
      </c>
      <c r="BB182" s="278">
        <f>12266-BA182-AZ182-AY182</f>
        <v>2206</v>
      </c>
      <c r="BC182" s="278">
        <v>4526</v>
      </c>
      <c r="BD182" s="278">
        <f>7975-BC182</f>
        <v>3449</v>
      </c>
      <c r="BE182" s="278">
        <f>11392-BD182-BC182</f>
        <v>3417</v>
      </c>
      <c r="BF182" s="278">
        <f>13334-BE182-BD182-BC182</f>
        <v>1942</v>
      </c>
      <c r="BG182" s="278">
        <v>3476</v>
      </c>
      <c r="BH182" s="278">
        <f>6252-BG182</f>
        <v>2776</v>
      </c>
      <c r="BI182" s="278">
        <f>9454-BH182-BG182</f>
        <v>3202</v>
      </c>
      <c r="BJ182" s="166"/>
      <c r="BK182" s="166"/>
      <c r="BL182" s="166"/>
      <c r="BM182" s="166"/>
      <c r="BN182" s="166"/>
      <c r="BO182" s="278">
        <v>3497</v>
      </c>
      <c r="BP182" s="278">
        <f>7330-BO182</f>
        <v>3833</v>
      </c>
      <c r="BQ182" s="278">
        <f>10312-BP182-BO182</f>
        <v>2982</v>
      </c>
      <c r="BR182" s="278">
        <f>13831-BQ182-BP182-BO182</f>
        <v>3519</v>
      </c>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c r="CS182" s="166"/>
      <c r="CT182" s="166"/>
      <c r="CU182" s="166"/>
      <c r="CV182" s="166"/>
      <c r="CW182" s="166"/>
      <c r="CX182" s="166"/>
      <c r="CY182" s="166"/>
      <c r="CZ182" s="166"/>
      <c r="DA182" s="166"/>
      <c r="DB182" s="166"/>
      <c r="DC182" s="166"/>
      <c r="DD182" s="166"/>
      <c r="DE182" s="166"/>
      <c r="DF182" s="166"/>
      <c r="DG182" s="301"/>
      <c r="DH182" s="166"/>
      <c r="DI182" s="166"/>
      <c r="DJ182" s="166"/>
      <c r="DK182" s="166"/>
      <c r="DL182" s="166"/>
      <c r="DM182" s="166"/>
      <c r="DN182" s="166"/>
      <c r="DO182" s="166"/>
      <c r="DP182" s="166"/>
      <c r="DQ182" s="166"/>
      <c r="DR182" s="166"/>
      <c r="DS182" s="166"/>
      <c r="DT182" s="166"/>
      <c r="DU182" s="166"/>
      <c r="DV182" s="166"/>
      <c r="DW182" s="166"/>
      <c r="DX182" s="166"/>
      <c r="DY182" s="166"/>
      <c r="DZ182" s="166"/>
      <c r="EA182" s="166"/>
      <c r="EB182" s="166"/>
      <c r="EC182" s="166"/>
      <c r="ED182" s="166"/>
      <c r="EE182" s="166"/>
      <c r="EF182" s="166"/>
      <c r="EG182" s="166"/>
      <c r="EH182" s="166"/>
      <c r="EI182" s="166"/>
      <c r="EJ182" s="166"/>
      <c r="EK182" s="166"/>
      <c r="EL182" s="166"/>
      <c r="EM182" s="166"/>
      <c r="EZ182" s="301"/>
    </row>
    <row r="183" spans="2:156" ht="12.75" customHeight="1" x14ac:dyDescent="0.2">
      <c r="B183" t="s">
        <v>392</v>
      </c>
      <c r="AI183" s="76">
        <v>515</v>
      </c>
      <c r="AM183" s="76">
        <v>521</v>
      </c>
      <c r="AQ183" s="243">
        <v>622</v>
      </c>
      <c r="AR183" s="243">
        <f>1305-AQ183</f>
        <v>683</v>
      </c>
      <c r="AS183" s="243">
        <f>1902-AR183-AQ183</f>
        <v>597</v>
      </c>
      <c r="AT183" s="243">
        <f>2777-AS183-AR183-AQ183</f>
        <v>875</v>
      </c>
      <c r="AU183" s="243">
        <v>666</v>
      </c>
      <c r="AV183" s="243">
        <f>1349-AU183</f>
        <v>683</v>
      </c>
      <c r="AW183" s="243">
        <f>2117-AV183-AU183</f>
        <v>768</v>
      </c>
      <c r="AX183" s="243">
        <f>2832-AW183-AV183-AU183</f>
        <v>715</v>
      </c>
      <c r="AY183" s="243">
        <v>676</v>
      </c>
      <c r="AZ183" s="243">
        <f>1355-AY183</f>
        <v>679</v>
      </c>
      <c r="BA183" s="243">
        <f>2030-AZ183-AY183</f>
        <v>675</v>
      </c>
      <c r="BB183" s="243">
        <f>2774-BA183-AZ183-AY183</f>
        <v>744</v>
      </c>
      <c r="BC183" s="243">
        <v>734</v>
      </c>
      <c r="BD183" s="243">
        <f>1445-BC183</f>
        <v>711</v>
      </c>
      <c r="BE183" s="243">
        <f>2170-BD183-BC183</f>
        <v>725</v>
      </c>
      <c r="BF183" s="243">
        <f>2939-BE183-BD183-BC183</f>
        <v>769</v>
      </c>
      <c r="BG183" s="243">
        <v>755</v>
      </c>
      <c r="BH183" s="243">
        <f>1532-BG183</f>
        <v>777</v>
      </c>
      <c r="BI183" s="243">
        <f>2315-BH183-BG183</f>
        <v>783</v>
      </c>
      <c r="BO183" s="243">
        <v>1036</v>
      </c>
      <c r="BP183" s="243">
        <f>2026-BO183</f>
        <v>990</v>
      </c>
      <c r="BQ183" s="243">
        <f>3002-BP183-BO183</f>
        <v>976</v>
      </c>
      <c r="BR183" s="243">
        <f>4104-BQ183-BP183-BO183</f>
        <v>1102</v>
      </c>
    </row>
    <row r="184" spans="2:156" ht="12.75" customHeight="1" x14ac:dyDescent="0.2">
      <c r="B184" t="s">
        <v>393</v>
      </c>
      <c r="AI184" s="76">
        <v>135</v>
      </c>
      <c r="AM184" s="243">
        <v>153</v>
      </c>
      <c r="AQ184" s="243">
        <v>164</v>
      </c>
      <c r="AR184" s="243">
        <f>360-AQ184</f>
        <v>196</v>
      </c>
      <c r="AS184" s="243">
        <f>537-AR184-AQ184</f>
        <v>177</v>
      </c>
      <c r="AT184" s="243">
        <f>698-AS184-AR184-AQ184</f>
        <v>161</v>
      </c>
      <c r="AU184" s="243">
        <v>163</v>
      </c>
      <c r="AV184" s="243">
        <f>356-AU184</f>
        <v>193</v>
      </c>
      <c r="AW184" s="243">
        <f>524-AV184-AU184</f>
        <v>168</v>
      </c>
      <c r="AX184" s="243">
        <f>627-AW184-AV184-AU184</f>
        <v>103</v>
      </c>
      <c r="AY184" s="243">
        <v>159</v>
      </c>
      <c r="AZ184" s="243">
        <f>341-AY184</f>
        <v>182</v>
      </c>
      <c r="BA184" s="243">
        <f>499-AZ184-AY184</f>
        <v>158</v>
      </c>
      <c r="BB184" s="243">
        <f>628-BA184-AZ184-AY184</f>
        <v>129</v>
      </c>
      <c r="BC184" s="243">
        <v>157</v>
      </c>
      <c r="BD184" s="243">
        <f>305-BC184</f>
        <v>148</v>
      </c>
      <c r="BE184" s="243">
        <f>474-BD184-BC184</f>
        <v>169</v>
      </c>
      <c r="BF184" s="243">
        <f>614-BE184-BD184-BC184</f>
        <v>140</v>
      </c>
      <c r="BG184" s="243">
        <v>152</v>
      </c>
      <c r="BH184" s="243">
        <f>339-BG184</f>
        <v>187</v>
      </c>
      <c r="BI184" s="243">
        <f>484-BH184-BG184</f>
        <v>145</v>
      </c>
      <c r="BO184" s="243">
        <v>194</v>
      </c>
      <c r="BP184" s="243">
        <f>423-BO184</f>
        <v>229</v>
      </c>
      <c r="BQ184" s="243">
        <f>584-BP184-BO184</f>
        <v>161</v>
      </c>
      <c r="BR184" s="243">
        <f>728-BQ184-BP184-BO184</f>
        <v>144</v>
      </c>
    </row>
    <row r="185" spans="2:156" ht="12.75" customHeight="1" x14ac:dyDescent="0.2">
      <c r="B185" t="s">
        <v>394</v>
      </c>
      <c r="AI185" s="76">
        <v>0</v>
      </c>
      <c r="AM185" s="243">
        <v>37</v>
      </c>
      <c r="AQ185" s="243">
        <v>807</v>
      </c>
      <c r="AR185" s="243">
        <f>807-AQ185</f>
        <v>0</v>
      </c>
      <c r="AS185" s="243">
        <f>807-AR185-AQ185</f>
        <v>0</v>
      </c>
      <c r="AT185" s="243">
        <f>807-AS185-AR185-AQ185</f>
        <v>0</v>
      </c>
      <c r="AU185" s="243">
        <v>0</v>
      </c>
      <c r="AV185" s="243">
        <f>40-AU185</f>
        <v>40</v>
      </c>
      <c r="AW185" s="243">
        <v>0</v>
      </c>
      <c r="AX185" s="243">
        <f>181-AW185-AV185-AU185</f>
        <v>141</v>
      </c>
      <c r="AY185" s="243">
        <v>0</v>
      </c>
      <c r="AZ185" s="243">
        <v>0</v>
      </c>
      <c r="BA185" s="76">
        <v>0</v>
      </c>
      <c r="BB185" s="76">
        <v>0</v>
      </c>
      <c r="BC185" s="76">
        <v>960</v>
      </c>
      <c r="BD185" s="76">
        <f>0-BC185</f>
        <v>-960</v>
      </c>
      <c r="BE185" s="76">
        <f>0-BD185-BC185</f>
        <v>0</v>
      </c>
      <c r="BF185" s="76">
        <f>0-BE185-BD185-BC185</f>
        <v>0</v>
      </c>
      <c r="BG185" s="76">
        <v>0</v>
      </c>
      <c r="BH185" s="76">
        <v>0</v>
      </c>
      <c r="BI185" s="76">
        <v>0</v>
      </c>
      <c r="BO185" s="76">
        <f>108+69</f>
        <v>177</v>
      </c>
      <c r="BP185" s="76">
        <f>108+69-BO185-401</f>
        <v>-401</v>
      </c>
      <c r="BQ185" s="76">
        <f>108+247-380-BP185-BO185</f>
        <v>199</v>
      </c>
      <c r="BR185" s="76">
        <f>108+739-417-BQ185-BP185-BO185</f>
        <v>455</v>
      </c>
    </row>
    <row r="186" spans="2:156" ht="12.75" customHeight="1" x14ac:dyDescent="0.2">
      <c r="B186" t="s">
        <v>395</v>
      </c>
      <c r="AI186" s="76">
        <v>53</v>
      </c>
      <c r="AM186" s="243">
        <v>-153</v>
      </c>
      <c r="AQ186" s="243">
        <v>-5</v>
      </c>
      <c r="AR186" s="243">
        <f>-405-AQ186</f>
        <v>-400</v>
      </c>
      <c r="AS186" s="243">
        <f>-900-AR186-AQ186</f>
        <v>-495</v>
      </c>
      <c r="AT186" s="243">
        <f>-1762-AS186-AR186-AQ186</f>
        <v>-862</v>
      </c>
      <c r="AU186" s="243">
        <v>-27</v>
      </c>
      <c r="AV186" s="243">
        <f>-322-AU186</f>
        <v>-295</v>
      </c>
      <c r="AW186" s="243">
        <f>-354-AU186-AV186</f>
        <v>-32</v>
      </c>
      <c r="AX186" s="243">
        <f>22-AW186-AV186-AU186</f>
        <v>376</v>
      </c>
      <c r="AY186" s="243">
        <v>1212</v>
      </c>
      <c r="AZ186" s="243">
        <f>645-AY186</f>
        <v>-567</v>
      </c>
      <c r="BA186" s="243">
        <f>541-AZ186-AY186</f>
        <v>-104</v>
      </c>
      <c r="BB186" s="243">
        <f>-436-BA186-AZ186-AY186</f>
        <v>-977</v>
      </c>
      <c r="BC186" s="243">
        <v>78</v>
      </c>
      <c r="BD186" s="243">
        <f>604-BC186</f>
        <v>526</v>
      </c>
      <c r="BE186" s="243">
        <f>644-BD186-BC186</f>
        <v>40</v>
      </c>
      <c r="BF186" s="243">
        <f>356-BE186-BD186-BC186</f>
        <v>-288</v>
      </c>
      <c r="BG186" s="243">
        <v>-4</v>
      </c>
      <c r="BH186" s="243">
        <f>-504-BG186</f>
        <v>-500</v>
      </c>
      <c r="BI186" s="243">
        <f>-849-BH186-BG186</f>
        <v>-345</v>
      </c>
      <c r="BO186" s="243">
        <v>365</v>
      </c>
      <c r="BP186" s="243">
        <f>92-BO186</f>
        <v>-273</v>
      </c>
      <c r="BQ186" s="243">
        <f>-224-BP186-BO186</f>
        <v>-316</v>
      </c>
      <c r="BR186" s="243">
        <f>-607-BQ186-BP186-BO186</f>
        <v>-383</v>
      </c>
    </row>
    <row r="187" spans="2:156" ht="12.75" customHeight="1" x14ac:dyDescent="0.2">
      <c r="B187" t="s">
        <v>396</v>
      </c>
      <c r="AI187" s="76">
        <v>22</v>
      </c>
      <c r="AM187" s="243">
        <v>-4</v>
      </c>
      <c r="AQ187" s="243">
        <v>3</v>
      </c>
      <c r="AR187" s="243">
        <f>1-AQ187</f>
        <v>-2</v>
      </c>
      <c r="AS187" s="243">
        <f>13-AR187-AQ187</f>
        <v>12</v>
      </c>
      <c r="AT187" s="243">
        <f>22-AS187-AR187-AQ187</f>
        <v>9</v>
      </c>
      <c r="AU187" s="243">
        <v>12</v>
      </c>
      <c r="AV187" s="243">
        <f>15-AU187</f>
        <v>3</v>
      </c>
      <c r="AW187" s="243">
        <f>62-AV187-AU187</f>
        <v>47</v>
      </c>
      <c r="AX187" s="243">
        <f>86-AW187-AV187-AU187</f>
        <v>24</v>
      </c>
      <c r="AY187" s="243">
        <v>22</v>
      </c>
      <c r="AZ187" s="243">
        <f>52-AY187</f>
        <v>30</v>
      </c>
      <c r="BA187" s="243">
        <f>39-AZ187-AY187</f>
        <v>-13</v>
      </c>
      <c r="BB187" s="243">
        <f>58-BA187-AZ187-AY187</f>
        <v>19</v>
      </c>
      <c r="BC187" s="243">
        <v>-529</v>
      </c>
      <c r="BD187" s="243">
        <f>46-BC187</f>
        <v>575</v>
      </c>
      <c r="BE187" s="243">
        <f>30-BD187-BC187</f>
        <v>-16</v>
      </c>
      <c r="BF187" s="243">
        <f>12-BE187-BD187-BC187</f>
        <v>-18</v>
      </c>
      <c r="BG187" s="243">
        <v>-16</v>
      </c>
      <c r="BH187" s="243">
        <f>-33-BG187</f>
        <v>-17</v>
      </c>
      <c r="BI187" s="243">
        <f>-21-BH187-BG187</f>
        <v>12</v>
      </c>
      <c r="BO187" s="243">
        <v>-11</v>
      </c>
      <c r="BP187" s="243">
        <f>-29-BO187</f>
        <v>-18</v>
      </c>
      <c r="BQ187" s="243">
        <f>-32-BP187-BO187</f>
        <v>-3</v>
      </c>
      <c r="BR187" s="243">
        <f>-131-BQ187-BP187-BO187</f>
        <v>-99</v>
      </c>
    </row>
    <row r="188" spans="2:156" ht="12.75" customHeight="1" x14ac:dyDescent="0.2">
      <c r="B188" t="s">
        <v>397</v>
      </c>
      <c r="AI188" s="76">
        <v>-639</v>
      </c>
      <c r="AM188" s="243">
        <v>-568</v>
      </c>
      <c r="AQ188" s="243">
        <v>-562</v>
      </c>
      <c r="AR188" s="243">
        <f>-659-AQ188</f>
        <v>-97</v>
      </c>
      <c r="AS188" s="243">
        <f>-407-AR188-AQ188</f>
        <v>252</v>
      </c>
      <c r="AT188" s="243">
        <f>-416-AS188-AR188-AQ188</f>
        <v>-9</v>
      </c>
      <c r="AU188" s="243">
        <v>-517</v>
      </c>
      <c r="AV188" s="243">
        <f>-732-AU188</f>
        <v>-215</v>
      </c>
      <c r="AW188" s="243">
        <f>-790-AU188-AV188</f>
        <v>-58</v>
      </c>
      <c r="AX188" s="243">
        <f>-736-AW188-AV188-AU188</f>
        <v>54</v>
      </c>
      <c r="AY188" s="243">
        <v>-86</v>
      </c>
      <c r="AZ188" s="243">
        <f>-225-AY188</f>
        <v>-139</v>
      </c>
      <c r="BA188" s="243">
        <f>-61-AZ188-AY188</f>
        <v>164</v>
      </c>
      <c r="BB188" s="243">
        <f>453-BA188-AZ188-AY188</f>
        <v>514</v>
      </c>
      <c r="BC188" s="243">
        <v>-193</v>
      </c>
      <c r="BD188" s="243">
        <f>-555-BC188</f>
        <v>-362</v>
      </c>
      <c r="BE188" s="243">
        <f>-585-BD188-BC188</f>
        <v>-30</v>
      </c>
      <c r="BF188" s="243">
        <f>-207-BE188-BD188-BC188</f>
        <v>378</v>
      </c>
      <c r="BG188" s="243">
        <v>-609</v>
      </c>
      <c r="BH188" s="243">
        <f>-576-BG188</f>
        <v>33</v>
      </c>
      <c r="BI188" s="243">
        <f>-489-BH188-BG188</f>
        <v>87</v>
      </c>
      <c r="BO188" s="243">
        <v>-434</v>
      </c>
      <c r="BP188" s="243">
        <f>-647-BO188</f>
        <v>-213</v>
      </c>
      <c r="BQ188" s="243">
        <f>-971-BP188-BO188</f>
        <v>-324</v>
      </c>
      <c r="BR188" s="243">
        <f>-632-BQ188-BP188-BO188</f>
        <v>339</v>
      </c>
    </row>
    <row r="189" spans="2:156" ht="12.75" customHeight="1" x14ac:dyDescent="0.2">
      <c r="B189" t="s">
        <v>465</v>
      </c>
      <c r="AI189" s="76">
        <v>-140</v>
      </c>
      <c r="AM189" s="243">
        <v>-219</v>
      </c>
      <c r="AQ189" s="243">
        <v>-120</v>
      </c>
      <c r="AR189" s="243">
        <f>-190-AQ189</f>
        <v>-70</v>
      </c>
      <c r="AS189" s="243">
        <f>-309-AR189-AQ189</f>
        <v>-119</v>
      </c>
      <c r="AT189" s="243">
        <f>14-AS189-AR189-AQ189</f>
        <v>323</v>
      </c>
      <c r="AU189" s="243">
        <v>-259</v>
      </c>
      <c r="AV189" s="243">
        <f>-379-AU189</f>
        <v>-120</v>
      </c>
      <c r="AW189" s="243">
        <f>-348-AV189-AU189</f>
        <v>31</v>
      </c>
      <c r="AX189" s="243">
        <f>-101-AW189-AV189-AU189</f>
        <v>247</v>
      </c>
      <c r="AY189" s="243">
        <v>-336</v>
      </c>
      <c r="AZ189" s="243">
        <f>-339-AY189</f>
        <v>-3</v>
      </c>
      <c r="BA189" s="243">
        <f>-250-AZ189-AY189</f>
        <v>89</v>
      </c>
      <c r="BB189" s="243">
        <f>95-BA189-AZ189-AY189</f>
        <v>345</v>
      </c>
      <c r="BC189" s="243">
        <v>-1651</v>
      </c>
      <c r="BD189" s="243">
        <f>-88-BC189</f>
        <v>1563</v>
      </c>
      <c r="BE189" s="243">
        <f>-197-BD189-BC189</f>
        <v>-109</v>
      </c>
      <c r="BF189" s="243">
        <f>-196-BE189-BD189-BC189</f>
        <v>1</v>
      </c>
      <c r="BG189" s="243">
        <v>-452</v>
      </c>
      <c r="BH189" s="243">
        <f>-620-BG189</f>
        <v>-168</v>
      </c>
      <c r="BI189" s="243">
        <f>-787-BH189-BG189</f>
        <v>-167</v>
      </c>
      <c r="BO189" s="243">
        <v>-288</v>
      </c>
      <c r="BP189" s="243">
        <f>-547-BO189</f>
        <v>-259</v>
      </c>
      <c r="BQ189" s="243">
        <f>-799-BP189-BO189</f>
        <v>-252</v>
      </c>
      <c r="BR189" s="243">
        <f>-622-BQ189-BP189-BO189</f>
        <v>177</v>
      </c>
    </row>
    <row r="190" spans="2:156" ht="12.75" customHeight="1" x14ac:dyDescent="0.2">
      <c r="B190" t="s">
        <v>466</v>
      </c>
      <c r="AI190" s="76">
        <v>-1509</v>
      </c>
      <c r="AM190" s="243">
        <v>-633</v>
      </c>
      <c r="AQ190" s="243">
        <v>-229</v>
      </c>
      <c r="AR190" s="243">
        <f>-306-AQ190</f>
        <v>-77</v>
      </c>
      <c r="AS190" s="243">
        <f>933-AR190-AQ190</f>
        <v>1239</v>
      </c>
      <c r="AT190" s="243">
        <f>2642-AS190-AR190-AQ190</f>
        <v>1709</v>
      </c>
      <c r="AU190" s="243">
        <v>-273</v>
      </c>
      <c r="AV190" s="243">
        <f>-1160-AU190</f>
        <v>-887</v>
      </c>
      <c r="AW190" s="243">
        <f>-1103-AV190-AU190</f>
        <v>57</v>
      </c>
      <c r="AX190" s="243">
        <f>-272-AW190-AV190-AU190</f>
        <v>831</v>
      </c>
      <c r="AY190" s="243">
        <v>-2155</v>
      </c>
      <c r="AZ190" s="243">
        <f>-1897-AY190</f>
        <v>258</v>
      </c>
      <c r="BA190" s="243">
        <f>-1830-AZ190-AY190</f>
        <v>67</v>
      </c>
      <c r="BB190" s="243">
        <f>-507-BA190-AZ190-AY190</f>
        <v>1323</v>
      </c>
      <c r="BC190" s="243">
        <v>-1088</v>
      </c>
      <c r="BD190" s="243">
        <f>-1719-BC190</f>
        <v>-631</v>
      </c>
      <c r="BE190" s="243">
        <f>-1552-BD190-BC190</f>
        <v>167</v>
      </c>
      <c r="BF190" s="243">
        <f>20-BE190-BD190-BC190</f>
        <v>1572</v>
      </c>
      <c r="BG190" s="243">
        <v>-1127</v>
      </c>
      <c r="BH190" s="243">
        <f>-444-BG190</f>
        <v>683</v>
      </c>
      <c r="BI190" s="243">
        <f>-100-BH190-BG190</f>
        <v>344</v>
      </c>
      <c r="BO190" s="243">
        <v>-1459</v>
      </c>
      <c r="BP190" s="243">
        <f>-715-BO190</f>
        <v>744</v>
      </c>
      <c r="BQ190" s="243">
        <f>589-BP190-BO190</f>
        <v>1304</v>
      </c>
      <c r="BR190" s="243">
        <f>1821-BQ190-BP190-BO190</f>
        <v>1232</v>
      </c>
    </row>
    <row r="191" spans="2:156" ht="12.75" customHeight="1" x14ac:dyDescent="0.2">
      <c r="B191" t="s">
        <v>467</v>
      </c>
      <c r="AI191" s="76">
        <v>235</v>
      </c>
      <c r="AM191" s="243">
        <v>-207</v>
      </c>
      <c r="AQ191" s="243">
        <v>-373</v>
      </c>
      <c r="AR191" s="243">
        <f>-424-AQ191</f>
        <v>-51</v>
      </c>
      <c r="AS191" s="243">
        <f>-1007-AR191-AQ191</f>
        <v>-583</v>
      </c>
      <c r="AT191" s="243">
        <f>-1351-AS191-AR191-AQ191</f>
        <v>-344</v>
      </c>
      <c r="AU191" s="243">
        <v>-1112</v>
      </c>
      <c r="AV191" s="243">
        <f>-756-AU191</f>
        <v>356</v>
      </c>
      <c r="AW191" s="243">
        <f>-2-AV191-AU191</f>
        <v>754</v>
      </c>
      <c r="AX191" s="243">
        <f>-1600-AW191-AV191-AU191</f>
        <v>-1598</v>
      </c>
      <c r="AY191" s="243">
        <v>-39</v>
      </c>
      <c r="AZ191" s="243">
        <f>-28-AY191</f>
        <v>11</v>
      </c>
      <c r="BA191" s="243">
        <f>-35-AZ191-AY191</f>
        <v>-7</v>
      </c>
      <c r="BB191" s="243">
        <f>1209-BA191-AZ191-AY191</f>
        <v>1244</v>
      </c>
      <c r="BC191" s="243">
        <v>696</v>
      </c>
      <c r="BD191" s="243">
        <f>-704-BC191</f>
        <v>-1400</v>
      </c>
      <c r="BE191" s="243">
        <f>-310-BD191-BC191</f>
        <v>394</v>
      </c>
      <c r="BF191" s="243">
        <f>-574-BE191-BD191-BC191</f>
        <v>-264</v>
      </c>
      <c r="BG191" s="243">
        <v>-970</v>
      </c>
      <c r="BH191" s="243">
        <f>-920-BG191</f>
        <v>50</v>
      </c>
      <c r="BI191" s="243">
        <f>-906-BH191-BG191</f>
        <v>14</v>
      </c>
      <c r="BO191" s="243">
        <v>-608</v>
      </c>
      <c r="BP191" s="243">
        <f>-437-BO191</f>
        <v>171</v>
      </c>
      <c r="BQ191" s="243">
        <f>-403-BP191-BO191</f>
        <v>34</v>
      </c>
      <c r="BR191" s="243">
        <f>-1806-BQ191-BP191-BO191</f>
        <v>-1403</v>
      </c>
    </row>
    <row r="192" spans="2:156" ht="12.75" customHeight="1" x14ac:dyDescent="0.2">
      <c r="B192" t="s">
        <v>468</v>
      </c>
      <c r="AI192" s="76">
        <v>1124</v>
      </c>
      <c r="AM192" s="243">
        <v>1242</v>
      </c>
      <c r="AQ192" s="243">
        <v>957</v>
      </c>
      <c r="AR192" s="243">
        <f>591-AQ192</f>
        <v>-366</v>
      </c>
      <c r="AS192" s="243">
        <f>1154-AR192-AQ192</f>
        <v>563</v>
      </c>
      <c r="AT192" s="243">
        <f>564-AS192-AR192-AQ192</f>
        <v>-590</v>
      </c>
      <c r="AU192" s="243">
        <v>985</v>
      </c>
      <c r="AV192" s="243">
        <f>742-AU192</f>
        <v>-243</v>
      </c>
      <c r="AW192" s="243">
        <f>590-AV192-AU192</f>
        <v>-152</v>
      </c>
      <c r="AX192" s="243">
        <f>984-AW192-AV192-AU192</f>
        <v>394</v>
      </c>
      <c r="AY192" s="243">
        <v>-133</v>
      </c>
      <c r="AZ192" s="243">
        <f>-429-AY192</f>
        <v>-296</v>
      </c>
      <c r="BA192" s="243">
        <f>291-AZ192-AY192</f>
        <v>720</v>
      </c>
      <c r="BB192" s="243">
        <f>31-BA192-AZ192-AY192</f>
        <v>-260</v>
      </c>
      <c r="BC192" s="243">
        <v>0</v>
      </c>
      <c r="BD192" s="243">
        <f>218-BC192</f>
        <v>218</v>
      </c>
      <c r="BE192" s="243">
        <f>495-BD192-BC192</f>
        <v>277</v>
      </c>
      <c r="BF192" s="243">
        <f>87-BE192-BD192-BC192</f>
        <v>-408</v>
      </c>
      <c r="BG192" s="243">
        <v>1111</v>
      </c>
      <c r="BH192" s="243">
        <f>1199-BG192</f>
        <v>88</v>
      </c>
      <c r="BI192" s="243">
        <f>1746-BH192-BG192</f>
        <v>547</v>
      </c>
      <c r="BO192" s="243">
        <v>-192</v>
      </c>
      <c r="BP192" s="243">
        <f>56-BO192</f>
        <v>248</v>
      </c>
      <c r="BQ192" s="243">
        <f>1242-BP192-BO192</f>
        <v>1186</v>
      </c>
      <c r="BR192" s="243">
        <f>298-BQ192-BP192-BO192</f>
        <v>-944</v>
      </c>
    </row>
    <row r="193" spans="2:143" s="1" customFormat="1" ht="12.75" customHeight="1" x14ac:dyDescent="0.2">
      <c r="B193" s="1" t="s">
        <v>391</v>
      </c>
      <c r="C193" s="166"/>
      <c r="D193" s="166"/>
      <c r="E193" s="166"/>
      <c r="F193" s="166"/>
      <c r="G193" s="166"/>
      <c r="H193" s="166"/>
      <c r="I193" s="16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278"/>
      <c r="AN193" s="166"/>
      <c r="AO193" s="166"/>
      <c r="AP193" s="166"/>
      <c r="AQ193" s="278"/>
      <c r="AR193" s="278"/>
      <c r="AS193" s="278"/>
      <c r="AT193" s="278"/>
      <c r="AU193" s="278"/>
      <c r="AV193" s="278"/>
      <c r="AW193" s="278"/>
      <c r="AX193" s="278"/>
      <c r="AY193" s="278">
        <f t="shared" ref="AY193:BI193" si="729">SUM(AY182:AY192)</f>
        <v>2827</v>
      </c>
      <c r="AZ193" s="278">
        <f t="shared" si="729"/>
        <v>3363</v>
      </c>
      <c r="BA193" s="278">
        <f t="shared" si="729"/>
        <v>5094</v>
      </c>
      <c r="BB193" s="278">
        <f t="shared" si="729"/>
        <v>5287</v>
      </c>
      <c r="BC193" s="278">
        <f t="shared" si="729"/>
        <v>3690</v>
      </c>
      <c r="BD193" s="278">
        <f t="shared" si="729"/>
        <v>3837</v>
      </c>
      <c r="BE193" s="278">
        <f t="shared" si="729"/>
        <v>5034</v>
      </c>
      <c r="BF193" s="278">
        <f t="shared" si="729"/>
        <v>3824</v>
      </c>
      <c r="BG193" s="278">
        <f t="shared" si="729"/>
        <v>2316</v>
      </c>
      <c r="BH193" s="278">
        <f t="shared" si="729"/>
        <v>3909</v>
      </c>
      <c r="BI193" s="278">
        <f t="shared" si="729"/>
        <v>4622</v>
      </c>
      <c r="BJ193" s="278"/>
      <c r="BK193" s="166"/>
      <c r="BL193" s="166"/>
      <c r="BM193" s="166"/>
      <c r="BN193" s="166"/>
      <c r="BO193" s="278">
        <f t="shared" ref="BO193:BP193" si="730">SUM(BO182:BO192)</f>
        <v>2277</v>
      </c>
      <c r="BP193" s="278">
        <f t="shared" si="730"/>
        <v>5051</v>
      </c>
      <c r="BQ193" s="278">
        <f t="shared" ref="BQ193:BR193" si="731">SUM(BQ182:BQ192)</f>
        <v>5947</v>
      </c>
      <c r="BR193" s="278">
        <f t="shared" si="731"/>
        <v>4139</v>
      </c>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c r="CS193" s="166"/>
      <c r="CT193" s="166"/>
      <c r="CU193" s="166"/>
      <c r="CV193" s="166"/>
      <c r="CW193" s="166"/>
      <c r="CX193" s="166"/>
      <c r="CY193" s="166"/>
      <c r="CZ193" s="166"/>
      <c r="DA193" s="166"/>
      <c r="DB193" s="166"/>
      <c r="DC193" s="166"/>
      <c r="DD193" s="166"/>
      <c r="DE193" s="166"/>
      <c r="DF193" s="166"/>
      <c r="DH193" s="166"/>
      <c r="DI193" s="166"/>
      <c r="DJ193" s="166"/>
      <c r="DK193" s="166"/>
      <c r="DL193" s="166"/>
      <c r="DM193" s="166"/>
      <c r="DN193" s="166"/>
      <c r="DO193" s="166"/>
      <c r="DP193" s="166"/>
      <c r="DQ193" s="166"/>
      <c r="DR193" s="166"/>
      <c r="DS193" s="166"/>
      <c r="DT193" s="166"/>
      <c r="DU193" s="166"/>
      <c r="DV193" s="166"/>
      <c r="DW193" s="166"/>
      <c r="DX193" s="166"/>
      <c r="DY193" s="166"/>
      <c r="DZ193" s="166"/>
      <c r="EA193" s="166"/>
      <c r="EB193" s="166"/>
      <c r="EC193" s="166"/>
      <c r="ED193" s="166"/>
      <c r="EE193" s="166"/>
      <c r="EF193" s="166"/>
      <c r="EG193" s="166"/>
      <c r="EH193" s="166"/>
      <c r="EI193" s="166"/>
      <c r="EJ193" s="166"/>
      <c r="EK193" s="166"/>
      <c r="EL193" s="166"/>
      <c r="EM193" s="166"/>
    </row>
    <row r="194" spans="2:143" ht="12.75" customHeight="1" x14ac:dyDescent="0.2">
      <c r="B194" t="s">
        <v>469</v>
      </c>
      <c r="AI194" s="243">
        <v>-397</v>
      </c>
      <c r="AM194" s="243">
        <v>-446</v>
      </c>
      <c r="AQ194" s="243">
        <v>-446</v>
      </c>
      <c r="AR194" s="243">
        <f>-1045-AQ194</f>
        <v>-599</v>
      </c>
      <c r="AS194" s="243">
        <f>-1704-AR194-AQ194</f>
        <v>-659</v>
      </c>
      <c r="AT194" s="243">
        <f>-2942-AS194-AR194-AQ194</f>
        <v>-1238</v>
      </c>
      <c r="AU194" s="243">
        <v>-479</v>
      </c>
      <c r="AV194" s="243">
        <f>-1166-AU194</f>
        <v>-687</v>
      </c>
      <c r="AW194" s="243">
        <f>-1938-AV194-AU194</f>
        <v>-772</v>
      </c>
      <c r="AX194" s="243">
        <f>-3066-AW194-AV194-AU194</f>
        <v>-1128</v>
      </c>
      <c r="AY194" s="243">
        <v>-435</v>
      </c>
      <c r="AZ194" s="243">
        <f>-1002-AY194</f>
        <v>-567</v>
      </c>
      <c r="BA194" s="243">
        <f>-1521-AZ194-AY194</f>
        <v>-519</v>
      </c>
      <c r="BB194" s="243">
        <f>-2365-BA194-AZ194-AY194</f>
        <v>-844</v>
      </c>
      <c r="BC194" s="243">
        <v>-397</v>
      </c>
      <c r="BD194" s="243">
        <f>-897-BC194</f>
        <v>-500</v>
      </c>
      <c r="BE194" s="243">
        <f>-1425-BD194-BC194</f>
        <v>-528</v>
      </c>
      <c r="BF194" s="243">
        <f>-2384-BE194-BD194-BC194</f>
        <v>-959</v>
      </c>
      <c r="BG194" s="243">
        <f>-436+121</f>
        <v>-315</v>
      </c>
      <c r="BH194" s="243">
        <f>-1054-BG194+143</f>
        <v>-596</v>
      </c>
      <c r="BI194" s="243">
        <f>-1765-BH194-BG194+721</f>
        <v>-133</v>
      </c>
      <c r="BO194" s="243">
        <v>-586</v>
      </c>
      <c r="BP194" s="243">
        <f>-1357-BO194</f>
        <v>-771</v>
      </c>
      <c r="BQ194" s="243">
        <f>-2166-BP194-BO194</f>
        <v>-809</v>
      </c>
      <c r="BR194" s="243">
        <f>-3595-BQ194-BP194-BO194</f>
        <v>-1429</v>
      </c>
    </row>
    <row r="195" spans="2:143" ht="12.75" customHeight="1" x14ac:dyDescent="0.2">
      <c r="B195" t="s">
        <v>372</v>
      </c>
      <c r="AI195" s="243"/>
      <c r="AM195" s="243"/>
      <c r="AQ195" s="243"/>
      <c r="AR195" s="243"/>
      <c r="AS195" s="243"/>
      <c r="AT195" s="243"/>
      <c r="AU195" s="243"/>
      <c r="AV195" s="243"/>
      <c r="AW195" s="243"/>
      <c r="AX195" s="243"/>
      <c r="AY195" s="243">
        <f>+AY194+AY193</f>
        <v>2392</v>
      </c>
      <c r="AZ195" s="243">
        <f t="shared" ref="AZ195:BB195" si="732">+AZ194+AZ193</f>
        <v>2796</v>
      </c>
      <c r="BA195" s="243">
        <f t="shared" si="732"/>
        <v>4575</v>
      </c>
      <c r="BB195" s="243">
        <f t="shared" si="732"/>
        <v>4443</v>
      </c>
      <c r="BC195" s="243">
        <f t="shared" ref="BC195:BF195" si="733">+BC194+BC193</f>
        <v>3293</v>
      </c>
      <c r="BD195" s="243">
        <f t="shared" si="733"/>
        <v>3337</v>
      </c>
      <c r="BE195" s="243">
        <f t="shared" si="733"/>
        <v>4506</v>
      </c>
      <c r="BF195" s="243">
        <f t="shared" si="733"/>
        <v>2865</v>
      </c>
      <c r="BG195" s="243">
        <f>+BG194+BG193</f>
        <v>2001</v>
      </c>
      <c r="BH195" s="243">
        <f>+BH194+BH193</f>
        <v>3313</v>
      </c>
      <c r="BI195" s="243">
        <f>+BI194+BI193</f>
        <v>4489</v>
      </c>
      <c r="BO195" s="243">
        <f>+BO194+BO193</f>
        <v>1691</v>
      </c>
      <c r="BP195" s="243">
        <f>+BP194+BP193</f>
        <v>4280</v>
      </c>
      <c r="BQ195" s="243">
        <f>+BQ194+BQ193</f>
        <v>5138</v>
      </c>
      <c r="BR195" s="243">
        <f>+BR194+BR193</f>
        <v>2710</v>
      </c>
    </row>
    <row r="196" spans="2:143" ht="12.75" customHeight="1" x14ac:dyDescent="0.2">
      <c r="B196" t="s">
        <v>249</v>
      </c>
      <c r="AQ196" s="243">
        <v>-1368</v>
      </c>
      <c r="AR196" s="243">
        <v>0</v>
      </c>
      <c r="AS196" s="243">
        <f>-1378-AR196-AQ196</f>
        <v>-10</v>
      </c>
      <c r="AT196" s="243">
        <f>-1388-AS196-AR196-AQ196</f>
        <v>-10</v>
      </c>
      <c r="AU196" s="243">
        <f>34-8</f>
        <v>26</v>
      </c>
      <c r="AV196" s="243">
        <f>47-46-AU196</f>
        <v>-25</v>
      </c>
      <c r="AW196" s="243">
        <f>-400+56-AU196-AV196</f>
        <v>-345</v>
      </c>
      <c r="AX196" s="243">
        <f>-1214+785-AW196-AV196-AU196</f>
        <v>-85</v>
      </c>
      <c r="AY196" s="243">
        <v>-1291</v>
      </c>
      <c r="AZ196" s="243">
        <f>-1291-AY196</f>
        <v>0</v>
      </c>
      <c r="BA196" s="243">
        <f>-2337-AZ196-AY196</f>
        <v>-1046</v>
      </c>
      <c r="BB196" s="243">
        <f>-2470-BA196-AZ196-AY196</f>
        <v>-133</v>
      </c>
      <c r="BC196" s="243">
        <v>-772</v>
      </c>
      <c r="BD196" s="243">
        <f>-6695-BC196</f>
        <v>-5923</v>
      </c>
      <c r="BE196" s="243">
        <f>-1269-BD196-BC196</f>
        <v>5426</v>
      </c>
      <c r="BF196" s="243">
        <f>-1269-BE196-BD196-BC196</f>
        <v>0</v>
      </c>
      <c r="BG196" s="243">
        <v>-2049</v>
      </c>
      <c r="BH196" s="243">
        <f>-2049-BG196</f>
        <v>0</v>
      </c>
      <c r="BI196" s="243">
        <f>-2469-BH196-BG196</f>
        <v>-420</v>
      </c>
      <c r="BO196" s="243">
        <v>-168</v>
      </c>
      <c r="BP196" s="243">
        <f>-174-BO196</f>
        <v>-6</v>
      </c>
      <c r="BQ196" s="243">
        <f>-819-BP196-BO196</f>
        <v>-645</v>
      </c>
      <c r="BR196" s="243">
        <f>-835-BQ196-BP196-BO196</f>
        <v>-16</v>
      </c>
    </row>
    <row r="197" spans="2:143" ht="12.75" customHeight="1" x14ac:dyDescent="0.2">
      <c r="B197" t="s">
        <v>1243</v>
      </c>
      <c r="AQ197" s="243">
        <v>-1085</v>
      </c>
      <c r="AR197" s="243">
        <f>-2287-AQ197</f>
        <v>-1202</v>
      </c>
      <c r="AS197" s="243">
        <f>-3486-AR197-AQ197</f>
        <v>-1199</v>
      </c>
      <c r="AT197" s="243">
        <f>-4670-AS197-AR197-AQ197</f>
        <v>-1184</v>
      </c>
      <c r="AU197" s="243">
        <v>-1174</v>
      </c>
      <c r="AV197" s="243">
        <f>-2466-AU197</f>
        <v>-1292</v>
      </c>
      <c r="AW197" s="243">
        <f>-3750-AV197-AU197</f>
        <v>-1284</v>
      </c>
      <c r="AX197" s="243">
        <f>-5024-AW197-AV197-AU197</f>
        <v>-1274</v>
      </c>
      <c r="AY197" s="243">
        <v>-1273</v>
      </c>
      <c r="AZ197" s="243">
        <f>-2623-AY197</f>
        <v>-1350</v>
      </c>
      <c r="BA197" s="243">
        <f>-3974-AZ197-AY197</f>
        <v>-1351</v>
      </c>
      <c r="BB197" s="243">
        <f>-5327-BA197-AZ197-AY197</f>
        <v>-1353</v>
      </c>
      <c r="BC197" s="243">
        <v>-1350</v>
      </c>
      <c r="BD197" s="243">
        <f>-2839-BC197</f>
        <v>-1489</v>
      </c>
      <c r="BE197" s="243">
        <f>-4323-BD197-BC197</f>
        <v>-1484</v>
      </c>
      <c r="BF197" s="243">
        <f>-5804-BE197-BD197-BC197</f>
        <v>-1481</v>
      </c>
      <c r="BG197" s="243">
        <v>-1480</v>
      </c>
      <c r="BH197" s="243">
        <f>-3043-BG197</f>
        <v>-1563</v>
      </c>
      <c r="BI197" s="243">
        <f>-4601-BH197-BG197</f>
        <v>-1558</v>
      </c>
      <c r="BO197" s="243">
        <v>-1706</v>
      </c>
      <c r="BP197" s="243">
        <f>-3562-BO197</f>
        <v>-1856</v>
      </c>
      <c r="BQ197" s="243">
        <f>-5424-BP197-BO197</f>
        <v>-1862</v>
      </c>
      <c r="BR197" s="243">
        <f>-7286-BQ197-BP197-BO197</f>
        <v>-1862</v>
      </c>
    </row>
    <row r="198" spans="2:143" ht="12.75" customHeight="1" x14ac:dyDescent="0.2">
      <c r="B198" t="s">
        <v>470</v>
      </c>
      <c r="AI198" s="76">
        <v>654</v>
      </c>
      <c r="AM198" s="243">
        <v>401</v>
      </c>
      <c r="AQ198" s="243">
        <v>-295</v>
      </c>
      <c r="AR198" s="243">
        <f>-739-AQ198</f>
        <v>-444</v>
      </c>
      <c r="AS198" s="243">
        <f>-2581-AR198-AQ198</f>
        <v>-1842</v>
      </c>
      <c r="AT198" s="243">
        <f>-5607-AS198-AR198-AQ198</f>
        <v>-3026</v>
      </c>
      <c r="AU198" s="243">
        <v>-1779</v>
      </c>
      <c r="AV198" s="243">
        <f>-3617-AU198</f>
        <v>-1838</v>
      </c>
      <c r="AW198" s="243">
        <f>-5773-AV198-AU198</f>
        <v>-2156</v>
      </c>
      <c r="AX198" s="243">
        <f>-6651-AW198-AV198-AU198</f>
        <v>-878</v>
      </c>
      <c r="AY198" s="243">
        <v>-834</v>
      </c>
      <c r="AZ198" s="243">
        <f>-1123-AY198</f>
        <v>-289</v>
      </c>
      <c r="BA198" s="243">
        <f>-1172-AZ198-AY198</f>
        <v>-49</v>
      </c>
      <c r="BB198" s="243">
        <f>-2130-BA198-AZ198-AY198</f>
        <v>-958</v>
      </c>
      <c r="BC198" s="243">
        <v>-383</v>
      </c>
      <c r="BD198" s="243">
        <f>-780-BC198</f>
        <v>-397</v>
      </c>
      <c r="BE198" s="243">
        <f>-1512-BD198-BC198</f>
        <v>-732</v>
      </c>
      <c r="BF198" s="243">
        <f>-2797-BE198-BD198-BC198</f>
        <v>-1285</v>
      </c>
      <c r="BG198" s="243">
        <v>-435</v>
      </c>
      <c r="BH198" s="243">
        <f>-929-BG198</f>
        <v>-494</v>
      </c>
      <c r="BI198" s="243">
        <f>-1672-BH198-BG198</f>
        <v>-743</v>
      </c>
      <c r="BO198" s="243">
        <v>0</v>
      </c>
      <c r="BP198" s="243">
        <v>0</v>
      </c>
      <c r="BQ198" s="243">
        <f>-3050-BP198-BO198</f>
        <v>-3050</v>
      </c>
      <c r="BR198" s="243">
        <f>-3538-BQ198-BP198-BO198</f>
        <v>-488</v>
      </c>
    </row>
    <row r="200" spans="2:143" s="302" customFormat="1" ht="12.75" customHeight="1" x14ac:dyDescent="0.2">
      <c r="B200" s="302" t="s">
        <v>471</v>
      </c>
      <c r="C200" s="303"/>
      <c r="D200" s="303"/>
      <c r="E200" s="303"/>
      <c r="F200" s="303"/>
      <c r="G200" s="303"/>
      <c r="H200" s="303"/>
      <c r="I200" s="303"/>
      <c r="J200" s="303"/>
      <c r="K200" s="303"/>
      <c r="L200" s="303"/>
      <c r="M200" s="303"/>
      <c r="N200" s="303"/>
      <c r="O200" s="303"/>
      <c r="P200" s="303"/>
      <c r="Q200" s="303"/>
      <c r="R200" s="303"/>
      <c r="S200" s="303"/>
      <c r="T200" s="303"/>
      <c r="U200" s="303"/>
      <c r="V200" s="303"/>
      <c r="W200" s="303"/>
      <c r="X200" s="303"/>
      <c r="Y200" s="303"/>
      <c r="Z200" s="303"/>
      <c r="AA200" s="303"/>
      <c r="AB200" s="303"/>
      <c r="AC200" s="303"/>
      <c r="AD200" s="303"/>
      <c r="AE200" s="303"/>
      <c r="AF200" s="303"/>
      <c r="AG200" s="303"/>
      <c r="AH200" s="303"/>
      <c r="AI200" s="303"/>
      <c r="AJ200" s="303"/>
      <c r="AK200" s="303"/>
      <c r="AL200" s="303"/>
      <c r="AM200" s="303"/>
      <c r="AN200" s="303"/>
      <c r="AO200" s="303"/>
      <c r="AP200" s="303"/>
      <c r="AQ200" s="303"/>
      <c r="AR200" s="303"/>
      <c r="AS200" s="303">
        <v>1</v>
      </c>
      <c r="AT200" s="303"/>
      <c r="AU200" s="303"/>
      <c r="AV200" s="303"/>
      <c r="AW200" s="303"/>
      <c r="AX200" s="303"/>
      <c r="AY200" s="303"/>
      <c r="AZ200" s="303"/>
      <c r="BA200" s="303"/>
      <c r="BB200" s="303"/>
      <c r="BC200" s="303"/>
      <c r="BD200" s="303"/>
      <c r="BE200" s="303"/>
      <c r="BF200" s="303"/>
      <c r="BG200" s="303"/>
      <c r="BH200" s="303"/>
      <c r="BI200" s="303"/>
      <c r="BJ200" s="303"/>
      <c r="BK200" s="303"/>
      <c r="BL200" s="303"/>
      <c r="BM200" s="303"/>
      <c r="BN200" s="303"/>
      <c r="BO200" s="303"/>
      <c r="BP200" s="303"/>
      <c r="BQ200" s="303"/>
      <c r="BR200" s="303"/>
      <c r="BS200" s="303"/>
      <c r="BT200" s="303"/>
      <c r="BU200" s="303"/>
      <c r="BV200" s="303"/>
      <c r="BW200" s="303"/>
      <c r="BX200" s="303"/>
      <c r="BY200" s="303"/>
      <c r="BZ200" s="303"/>
      <c r="CA200" s="303"/>
      <c r="CB200" s="303"/>
      <c r="CC200" s="303"/>
      <c r="CD200" s="303"/>
      <c r="CE200" s="303"/>
      <c r="CF200" s="303"/>
      <c r="CG200" s="303"/>
      <c r="CH200" s="303"/>
      <c r="CI200" s="303"/>
      <c r="CJ200" s="303"/>
      <c r="CK200" s="303"/>
      <c r="CL200" s="303"/>
      <c r="CM200" s="303"/>
      <c r="CN200" s="303"/>
      <c r="CO200" s="303"/>
      <c r="CP200" s="303"/>
      <c r="CQ200" s="303"/>
      <c r="CR200" s="303"/>
      <c r="CS200" s="303"/>
      <c r="CT200" s="303"/>
      <c r="CU200" s="303"/>
      <c r="CV200" s="303"/>
      <c r="CW200" s="303"/>
      <c r="CX200" s="303"/>
      <c r="CY200" s="303"/>
      <c r="CZ200" s="303"/>
      <c r="DA200" s="303"/>
      <c r="DB200" s="303"/>
      <c r="DC200" s="303"/>
      <c r="DD200" s="303"/>
      <c r="DE200" s="303"/>
      <c r="DF200" s="303"/>
      <c r="DH200" s="303"/>
      <c r="DI200" s="303"/>
      <c r="DJ200" s="303"/>
      <c r="DK200" s="303"/>
      <c r="DL200" s="303"/>
      <c r="DM200" s="303"/>
      <c r="DN200" s="303"/>
      <c r="DO200" s="303"/>
      <c r="DP200" s="303"/>
      <c r="DQ200" s="303"/>
      <c r="DR200" s="303"/>
      <c r="DS200" s="303"/>
      <c r="DT200" s="303"/>
      <c r="DU200" s="303"/>
      <c r="DV200" s="303"/>
      <c r="DW200" s="303"/>
      <c r="DX200" s="303"/>
      <c r="DY200" s="303"/>
      <c r="DZ200" s="303"/>
      <c r="EA200" s="303"/>
      <c r="EB200" s="303"/>
      <c r="EC200" s="303"/>
      <c r="ED200" s="303"/>
      <c r="EE200" s="303"/>
      <c r="EF200" s="303"/>
      <c r="EG200" s="303"/>
      <c r="EH200" s="303"/>
      <c r="EI200" s="303"/>
      <c r="EJ200" s="303"/>
      <c r="EK200" s="303"/>
      <c r="EL200" s="303"/>
      <c r="EM200" s="303"/>
    </row>
    <row r="201" spans="2:143" ht="12.75" customHeight="1" x14ac:dyDescent="0.2">
      <c r="B201" t="s">
        <v>472</v>
      </c>
      <c r="AS201" s="243">
        <v>14850</v>
      </c>
    </row>
    <row r="202" spans="2:143" ht="12.75" customHeight="1" x14ac:dyDescent="0.2">
      <c r="AS202" s="76" t="s">
        <v>473</v>
      </c>
    </row>
    <row r="203" spans="2:143" ht="12.75" customHeight="1" x14ac:dyDescent="0.2">
      <c r="B203" t="s">
        <v>474</v>
      </c>
    </row>
    <row r="204" spans="2:143" ht="12.75" customHeight="1" x14ac:dyDescent="0.2">
      <c r="B204" t="s">
        <v>475</v>
      </c>
      <c r="DK204" s="294">
        <v>0.85</v>
      </c>
      <c r="DL204" s="294">
        <v>0.85</v>
      </c>
      <c r="DM204" s="294">
        <v>0.85</v>
      </c>
      <c r="DN204" s="294">
        <v>0.85</v>
      </c>
      <c r="DO204" s="294">
        <v>0.85</v>
      </c>
      <c r="DP204" s="294">
        <v>0.85</v>
      </c>
      <c r="DQ204" s="294">
        <v>0.85</v>
      </c>
      <c r="DR204" s="294">
        <v>0.85</v>
      </c>
      <c r="DS204" s="294">
        <v>0.85</v>
      </c>
      <c r="DT204" s="294">
        <v>0.85</v>
      </c>
      <c r="DU204" s="294">
        <v>0.85</v>
      </c>
      <c r="DV204" s="294">
        <v>0.85</v>
      </c>
      <c r="DW204" s="294">
        <v>0.85</v>
      </c>
      <c r="DX204" s="294">
        <v>0.85</v>
      </c>
      <c r="DY204" s="294">
        <v>0.85</v>
      </c>
      <c r="DZ204" s="294">
        <v>0.85</v>
      </c>
      <c r="EA204" s="294">
        <v>0.85</v>
      </c>
      <c r="EB204" s="294">
        <v>0.88</v>
      </c>
      <c r="EC204" s="294">
        <v>0.85</v>
      </c>
      <c r="ED204" s="294">
        <v>0.88</v>
      </c>
      <c r="EE204" s="294">
        <v>0.85</v>
      </c>
      <c r="EF204" s="294">
        <v>0.88</v>
      </c>
      <c r="EG204" s="294">
        <v>0.88</v>
      </c>
      <c r="EH204" s="294">
        <v>0.88</v>
      </c>
      <c r="EI204" s="294">
        <v>0.88</v>
      </c>
      <c r="EJ204" s="294"/>
      <c r="EK204" s="294"/>
      <c r="EL204" s="294"/>
      <c r="EM204" s="294"/>
    </row>
    <row r="205" spans="2:143" ht="12.75" customHeight="1" x14ac:dyDescent="0.2">
      <c r="B205" t="s">
        <v>476</v>
      </c>
      <c r="DK205" s="243">
        <f t="shared" ref="DK205:EI205" si="734">DK204*DK97</f>
        <v>3689</v>
      </c>
      <c r="DL205" s="243">
        <f t="shared" si="734"/>
        <v>3816.5</v>
      </c>
      <c r="DM205" s="243">
        <f t="shared" si="734"/>
        <v>4384.3</v>
      </c>
      <c r="DN205" s="243">
        <f t="shared" si="734"/>
        <v>5332.9</v>
      </c>
      <c r="DO205" s="243">
        <f t="shared" si="734"/>
        <v>6109.8</v>
      </c>
      <c r="DP205" s="243">
        <f t="shared" si="734"/>
        <v>6541.5999999999995</v>
      </c>
      <c r="DQ205" s="243">
        <f t="shared" si="734"/>
        <v>7277.7</v>
      </c>
      <c r="DR205" s="243">
        <f t="shared" si="734"/>
        <v>9089.9</v>
      </c>
      <c r="DS205" s="243">
        <f t="shared" si="734"/>
        <v>10160.9</v>
      </c>
      <c r="DT205" s="243">
        <f t="shared" si="734"/>
        <v>12623.35</v>
      </c>
      <c r="DU205" s="243">
        <f t="shared" si="734"/>
        <v>14578.35</v>
      </c>
      <c r="DV205" s="243">
        <f t="shared" si="734"/>
        <v>16589.45</v>
      </c>
      <c r="DW205" s="243">
        <f t="shared" si="734"/>
        <v>18808.8</v>
      </c>
      <c r="DX205" s="243">
        <f t="shared" si="734"/>
        <v>18973.7</v>
      </c>
      <c r="DY205" s="243">
        <f t="shared" si="734"/>
        <v>19776.95</v>
      </c>
      <c r="DZ205" s="243">
        <f t="shared" si="734"/>
        <v>21136.1</v>
      </c>
      <c r="EA205" s="243">
        <f t="shared" si="734"/>
        <v>20881.95</v>
      </c>
      <c r="EB205" s="243">
        <f t="shared" si="734"/>
        <v>19817.599999999999</v>
      </c>
      <c r="EC205" s="243">
        <f t="shared" si="734"/>
        <v>18924.399999999998</v>
      </c>
      <c r="ED205" s="243">
        <f t="shared" si="734"/>
        <v>21443.84</v>
      </c>
      <c r="EE205" s="243">
        <f t="shared" si="734"/>
        <v>21992.899999999998</v>
      </c>
      <c r="EF205" s="243">
        <f t="shared" si="734"/>
        <v>24750</v>
      </c>
      <c r="EG205" s="243">
        <f t="shared" si="734"/>
        <v>28493.352800000001</v>
      </c>
      <c r="EH205" s="243">
        <f t="shared" si="734"/>
        <v>28543.487720000001</v>
      </c>
      <c r="EI205" s="243">
        <f t="shared" si="734"/>
        <v>24716.61016</v>
      </c>
      <c r="EJ205" s="243"/>
      <c r="EK205" s="243"/>
      <c r="EL205" s="243"/>
      <c r="EM205" s="243"/>
    </row>
    <row r="206" spans="2:143" ht="12.75" customHeight="1" x14ac:dyDescent="0.2">
      <c r="B206" t="s">
        <v>477</v>
      </c>
      <c r="DK206" s="294">
        <v>0.68</v>
      </c>
      <c r="DL206" s="294">
        <v>0.68</v>
      </c>
      <c r="DM206" s="294">
        <v>0.68</v>
      </c>
      <c r="DN206" s="294">
        <v>0.68</v>
      </c>
      <c r="DO206" s="294">
        <v>0.68</v>
      </c>
      <c r="DP206" s="294">
        <v>0.68</v>
      </c>
      <c r="DQ206" s="294">
        <v>0.68</v>
      </c>
      <c r="DR206" s="294">
        <v>0.68</v>
      </c>
      <c r="DS206" s="294">
        <v>0.68</v>
      </c>
      <c r="DT206" s="294">
        <v>0.68</v>
      </c>
      <c r="DU206" s="294">
        <v>0.68</v>
      </c>
      <c r="DV206" s="294">
        <v>0.68</v>
      </c>
      <c r="DW206" s="294">
        <v>0.68</v>
      </c>
      <c r="DX206" s="294">
        <v>0.68</v>
      </c>
      <c r="DY206" s="294">
        <v>0.68</v>
      </c>
      <c r="DZ206" s="294">
        <v>0.68</v>
      </c>
      <c r="EA206" s="294">
        <v>0.68</v>
      </c>
      <c r="EB206" s="294">
        <v>0.69</v>
      </c>
      <c r="EC206" s="294">
        <v>0.69</v>
      </c>
      <c r="ED206" s="294">
        <v>0.69</v>
      </c>
      <c r="EE206" s="294">
        <v>0.66</v>
      </c>
      <c r="EF206" s="294">
        <v>0.69</v>
      </c>
      <c r="EG206" s="294">
        <v>0.69</v>
      </c>
      <c r="EH206" s="294">
        <v>0.69</v>
      </c>
      <c r="EI206" s="294">
        <v>0.69</v>
      </c>
      <c r="EJ206" s="294"/>
      <c r="EK206" s="294"/>
      <c r="EL206" s="294"/>
      <c r="EM206" s="294"/>
    </row>
    <row r="207" spans="2:143" ht="12.75" customHeight="1" x14ac:dyDescent="0.2">
      <c r="B207" t="s">
        <v>478</v>
      </c>
      <c r="DK207" s="243">
        <f t="shared" ref="DK207:EI207" si="735">DK206*DK104</f>
        <v>3150.44</v>
      </c>
      <c r="DL207" s="243">
        <f t="shared" si="735"/>
        <v>3280.32</v>
      </c>
      <c r="DM207" s="243">
        <f t="shared" si="735"/>
        <v>3621.0000000000005</v>
      </c>
      <c r="DN207" s="243">
        <f t="shared" si="735"/>
        <v>4581.1600000000008</v>
      </c>
      <c r="DO207" s="243">
        <f t="shared" si="735"/>
        <v>5486.2400000000007</v>
      </c>
      <c r="DP207" s="243">
        <f t="shared" si="735"/>
        <v>5735.8</v>
      </c>
      <c r="DQ207" s="243">
        <f t="shared" si="735"/>
        <v>5826.92</v>
      </c>
      <c r="DR207" s="243">
        <f t="shared" si="735"/>
        <v>6740.84</v>
      </c>
      <c r="DS207" s="243">
        <f t="shared" si="735"/>
        <v>6991.0800000000008</v>
      </c>
      <c r="DT207" s="243">
        <f t="shared" si="735"/>
        <v>7609.88</v>
      </c>
      <c r="DU207" s="243">
        <f t="shared" si="735"/>
        <v>8557.8000000000011</v>
      </c>
      <c r="DV207" s="243">
        <f t="shared" si="735"/>
        <v>10141.52</v>
      </c>
      <c r="DW207" s="243">
        <f t="shared" si="735"/>
        <v>11483.160000000002</v>
      </c>
      <c r="DX207" s="243">
        <f t="shared" si="735"/>
        <v>12985.28</v>
      </c>
      <c r="DY207" s="243">
        <f t="shared" si="735"/>
        <v>13792.44</v>
      </c>
      <c r="DZ207" s="243">
        <f t="shared" si="735"/>
        <v>14780.480000000001</v>
      </c>
      <c r="EA207" s="243">
        <f t="shared" si="735"/>
        <v>15725.68</v>
      </c>
      <c r="EB207" s="243">
        <f t="shared" si="735"/>
        <v>16266.06</v>
      </c>
      <c r="EC207" s="243">
        <f t="shared" si="735"/>
        <v>16974.689999999999</v>
      </c>
      <c r="ED207" s="243">
        <f t="shared" si="735"/>
        <v>17787.509999999998</v>
      </c>
      <c r="EE207" s="243">
        <f t="shared" si="735"/>
        <v>18101.16</v>
      </c>
      <c r="EF207" s="243">
        <f t="shared" si="735"/>
        <v>19658.099999999999</v>
      </c>
      <c r="EG207" s="243">
        <f t="shared" si="735"/>
        <v>19926.430649999998</v>
      </c>
      <c r="EH207" s="243">
        <f t="shared" si="735"/>
        <v>20202.036987749998</v>
      </c>
      <c r="EI207" s="243">
        <f t="shared" si="735"/>
        <v>20485.113759281252</v>
      </c>
      <c r="EJ207" s="243"/>
      <c r="EK207" s="243"/>
      <c r="EL207" s="243"/>
      <c r="EM207" s="243"/>
    </row>
    <row r="208" spans="2:143" ht="12.75" customHeight="1" x14ac:dyDescent="0.2">
      <c r="B208" t="s">
        <v>479</v>
      </c>
      <c r="DK208" s="294">
        <v>0.5</v>
      </c>
      <c r="DL208" s="294">
        <v>0.5</v>
      </c>
      <c r="DM208" s="294">
        <v>0.5</v>
      </c>
      <c r="DN208" s="294">
        <v>0.5</v>
      </c>
      <c r="DO208" s="294">
        <v>0.5</v>
      </c>
      <c r="DP208" s="294">
        <v>0.5</v>
      </c>
      <c r="DQ208" s="294">
        <v>0.5</v>
      </c>
      <c r="DR208" s="294">
        <v>0.5</v>
      </c>
      <c r="DS208" s="294">
        <v>0.5</v>
      </c>
      <c r="DT208" s="294">
        <v>0.5</v>
      </c>
      <c r="DU208" s="294">
        <v>0.5</v>
      </c>
      <c r="DV208" s="294">
        <v>0.5</v>
      </c>
      <c r="DW208" s="294">
        <v>0.5</v>
      </c>
      <c r="DX208" s="294">
        <v>0.5</v>
      </c>
      <c r="DY208" s="294">
        <v>0.5</v>
      </c>
      <c r="DZ208" s="294">
        <v>0.5</v>
      </c>
      <c r="EA208" s="294">
        <v>0.5</v>
      </c>
      <c r="EB208" s="294">
        <v>0.52</v>
      </c>
      <c r="EC208" s="294">
        <v>0.51</v>
      </c>
      <c r="ED208" s="294">
        <v>0.52</v>
      </c>
      <c r="EE208" s="294">
        <v>0.53</v>
      </c>
      <c r="EF208" s="294">
        <v>0.52</v>
      </c>
      <c r="EG208" s="294">
        <v>0.52</v>
      </c>
      <c r="EH208" s="294">
        <v>0.52</v>
      </c>
      <c r="EI208" s="294">
        <v>0.52</v>
      </c>
      <c r="EJ208" s="294"/>
      <c r="EK208" s="294"/>
      <c r="EL208" s="294"/>
      <c r="EM208" s="294"/>
    </row>
    <row r="209" spans="2:143" ht="12.75" customHeight="1" x14ac:dyDescent="0.2">
      <c r="B209" t="s">
        <v>480</v>
      </c>
      <c r="DK209" s="243">
        <f t="shared" ref="DK209:EI209" si="736">DK208*DK111</f>
        <v>2390</v>
      </c>
      <c r="DL209" s="243">
        <f t="shared" si="736"/>
        <v>2412</v>
      </c>
      <c r="DM209" s="243">
        <f t="shared" si="736"/>
        <v>2625.5</v>
      </c>
      <c r="DN209" s="243">
        <f t="shared" si="736"/>
        <v>2915.5</v>
      </c>
      <c r="DO209" s="243">
        <f t="shared" si="736"/>
        <v>3182</v>
      </c>
      <c r="DP209" s="243">
        <f t="shared" si="736"/>
        <v>3249</v>
      </c>
      <c r="DQ209" s="243">
        <f t="shared" si="736"/>
        <v>3263</v>
      </c>
      <c r="DR209" s="243">
        <f t="shared" si="736"/>
        <v>3432</v>
      </c>
      <c r="DS209" s="243">
        <f t="shared" si="736"/>
        <v>3452</v>
      </c>
      <c r="DT209" s="243">
        <f t="shared" si="736"/>
        <v>3481</v>
      </c>
      <c r="DU209" s="243">
        <f t="shared" si="736"/>
        <v>3282</v>
      </c>
      <c r="DV209" s="243">
        <f t="shared" si="736"/>
        <v>3715.5</v>
      </c>
      <c r="DW209" s="243">
        <f t="shared" si="736"/>
        <v>4166.5</v>
      </c>
      <c r="DX209" s="243">
        <f t="shared" si="736"/>
        <v>4548</v>
      </c>
      <c r="DY209" s="243">
        <f t="shared" si="736"/>
        <v>4887</v>
      </c>
      <c r="DZ209" s="243">
        <f t="shared" si="736"/>
        <v>7246.5</v>
      </c>
      <c r="EA209" s="243">
        <f t="shared" si="736"/>
        <v>8027</v>
      </c>
      <c r="EB209" s="243">
        <f t="shared" si="736"/>
        <v>8217.56</v>
      </c>
      <c r="EC209" s="243">
        <f t="shared" si="736"/>
        <v>7440.9000000000005</v>
      </c>
      <c r="ED209" s="243">
        <f t="shared" si="736"/>
        <v>7739.16</v>
      </c>
      <c r="EE209" s="243">
        <f t="shared" si="736"/>
        <v>7656.9100000000008</v>
      </c>
      <c r="EF209" s="243">
        <f t="shared" si="736"/>
        <v>7642.4400000000005</v>
      </c>
      <c r="EG209" s="243">
        <f t="shared" si="736"/>
        <v>7795.2888000000003</v>
      </c>
      <c r="EH209" s="243">
        <f t="shared" si="736"/>
        <v>7951.1945760000008</v>
      </c>
      <c r="EI209" s="243">
        <f t="shared" si="736"/>
        <v>8110.2184675200015</v>
      </c>
      <c r="EJ209" s="243"/>
      <c r="EK209" s="243"/>
      <c r="EL209" s="243"/>
      <c r="EM209" s="243"/>
    </row>
    <row r="210" spans="2:143" ht="12.75" customHeight="1" x14ac:dyDescent="0.2">
      <c r="B210" t="s">
        <v>481</v>
      </c>
      <c r="DK210" s="243">
        <f t="shared" ref="DK210:EH210" si="737">DK209+DK207+DK205</f>
        <v>9229.44</v>
      </c>
      <c r="DL210" s="243">
        <f t="shared" si="737"/>
        <v>9508.82</v>
      </c>
      <c r="DM210" s="243">
        <f t="shared" si="737"/>
        <v>10630.8</v>
      </c>
      <c r="DN210" s="243">
        <f t="shared" si="737"/>
        <v>12829.560000000001</v>
      </c>
      <c r="DO210" s="243">
        <f t="shared" si="737"/>
        <v>14778.04</v>
      </c>
      <c r="DP210" s="243">
        <f t="shared" si="737"/>
        <v>15526.399999999998</v>
      </c>
      <c r="DQ210" s="243">
        <f t="shared" si="737"/>
        <v>16367.619999999999</v>
      </c>
      <c r="DR210" s="243">
        <f t="shared" si="737"/>
        <v>19262.739999999998</v>
      </c>
      <c r="DS210" s="243">
        <f t="shared" si="737"/>
        <v>20603.980000000003</v>
      </c>
      <c r="DT210" s="243">
        <f t="shared" si="737"/>
        <v>23714.230000000003</v>
      </c>
      <c r="DU210" s="243">
        <f t="shared" si="737"/>
        <v>26418.15</v>
      </c>
      <c r="DV210" s="243">
        <f t="shared" si="737"/>
        <v>30446.47</v>
      </c>
      <c r="DW210" s="243">
        <f t="shared" si="737"/>
        <v>34458.46</v>
      </c>
      <c r="DX210" s="243">
        <f t="shared" si="737"/>
        <v>36506.979999999996</v>
      </c>
      <c r="DY210" s="243">
        <f t="shared" si="737"/>
        <v>38456.39</v>
      </c>
      <c r="DZ210" s="243">
        <f t="shared" si="737"/>
        <v>43163.08</v>
      </c>
      <c r="EA210" s="243">
        <f>EA209+EA207+EA205</f>
        <v>44634.630000000005</v>
      </c>
      <c r="EB210" s="243">
        <f>EB209+EB207+EB205</f>
        <v>44301.22</v>
      </c>
      <c r="EC210" s="243">
        <f t="shared" si="737"/>
        <v>43339.99</v>
      </c>
      <c r="ED210" s="243">
        <f t="shared" si="737"/>
        <v>46970.509999999995</v>
      </c>
      <c r="EE210" s="243">
        <f t="shared" si="737"/>
        <v>47750.97</v>
      </c>
      <c r="EF210" s="243">
        <f t="shared" si="737"/>
        <v>52050.54</v>
      </c>
      <c r="EG210" s="243">
        <f t="shared" si="737"/>
        <v>56215.072249999997</v>
      </c>
      <c r="EH210" s="243">
        <f t="shared" si="737"/>
        <v>56696.719283750004</v>
      </c>
      <c r="EI210" s="243">
        <f>EI209+EI207+EI205</f>
        <v>53311.942386801253</v>
      </c>
      <c r="EJ210" s="243"/>
      <c r="EK210" s="243"/>
      <c r="EL210" s="243"/>
      <c r="EM210" s="243"/>
    </row>
    <row r="211" spans="2:143" ht="12.75" customHeight="1" x14ac:dyDescent="0.2">
      <c r="B211" t="s">
        <v>482</v>
      </c>
      <c r="DK211" s="243">
        <f t="shared" ref="DK211:EI211" si="738">DK58</f>
        <v>9075</v>
      </c>
      <c r="DL211" s="243">
        <f t="shared" si="738"/>
        <v>9347</v>
      </c>
      <c r="DM211" s="243">
        <f t="shared" si="738"/>
        <v>10435</v>
      </c>
      <c r="DN211" s="243">
        <f t="shared" si="738"/>
        <v>12607</v>
      </c>
      <c r="DO211" s="243">
        <f t="shared" si="738"/>
        <v>14602</v>
      </c>
      <c r="DP211" s="243">
        <f t="shared" si="738"/>
        <v>15477</v>
      </c>
      <c r="DQ211" s="243">
        <f t="shared" si="738"/>
        <v>16221</v>
      </c>
      <c r="DR211" s="243">
        <f t="shared" si="738"/>
        <v>19029</v>
      </c>
      <c r="DS211" s="243">
        <f t="shared" si="738"/>
        <v>20278</v>
      </c>
      <c r="DT211" s="243">
        <f t="shared" si="738"/>
        <v>23468</v>
      </c>
      <c r="DU211" s="243">
        <f t="shared" si="738"/>
        <v>26464.9</v>
      </c>
      <c r="DV211" s="243">
        <f t="shared" si="738"/>
        <v>30189.4</v>
      </c>
      <c r="DW211" s="243">
        <f t="shared" si="738"/>
        <v>34695</v>
      </c>
      <c r="DX211" s="243">
        <f t="shared" si="738"/>
        <v>35544</v>
      </c>
      <c r="DY211" s="243">
        <f t="shared" si="738"/>
        <v>38267</v>
      </c>
      <c r="DZ211" s="243">
        <f t="shared" si="738"/>
        <v>43344</v>
      </c>
      <c r="EA211" s="243">
        <f t="shared" si="738"/>
        <v>45236</v>
      </c>
      <c r="EB211" s="243">
        <f t="shared" si="738"/>
        <v>43563</v>
      </c>
      <c r="EC211" s="243">
        <f t="shared" si="738"/>
        <v>42663</v>
      </c>
      <c r="ED211" s="243">
        <f t="shared" si="738"/>
        <v>48029</v>
      </c>
      <c r="EE211" s="243">
        <f t="shared" si="738"/>
        <v>46089</v>
      </c>
      <c r="EF211" s="243">
        <f t="shared" si="738"/>
        <v>48970</v>
      </c>
      <c r="EG211" s="243">
        <f t="shared" si="738"/>
        <v>52611.55814999999</v>
      </c>
      <c r="EH211" s="243">
        <f t="shared" si="738"/>
        <v>53133.349794749993</v>
      </c>
      <c r="EI211" s="243">
        <f t="shared" si="738"/>
        <v>50626.819132721241</v>
      </c>
      <c r="EJ211" s="243"/>
      <c r="EK211" s="243"/>
      <c r="EL211" s="243"/>
      <c r="EM211" s="243"/>
    </row>
    <row r="212" spans="2:143" ht="12.75" customHeight="1" x14ac:dyDescent="0.2">
      <c r="DK212" s="294">
        <f t="shared" ref="DK212:EI212" si="739">DK210/DK211-1</f>
        <v>1.7018181818181821E-2</v>
      </c>
      <c r="DL212" s="294">
        <f t="shared" si="739"/>
        <v>1.7312506686637308E-2</v>
      </c>
      <c r="DM212" s="294">
        <f t="shared" si="739"/>
        <v>1.8763775754671697E-2</v>
      </c>
      <c r="DN212" s="294">
        <f t="shared" si="739"/>
        <v>1.7653684461013786E-2</v>
      </c>
      <c r="DO212" s="294">
        <f t="shared" si="739"/>
        <v>1.205588275578684E-2</v>
      </c>
      <c r="DP212" s="294">
        <f t="shared" si="739"/>
        <v>3.1918330425790842E-3</v>
      </c>
      <c r="DQ212" s="294">
        <f t="shared" si="739"/>
        <v>9.0389001911101996E-3</v>
      </c>
      <c r="DR212" s="294">
        <f t="shared" si="739"/>
        <v>1.2283356981449334E-2</v>
      </c>
      <c r="DS212" s="294">
        <f t="shared" si="739"/>
        <v>1.6075549856988003E-2</v>
      </c>
      <c r="DT212" s="294">
        <f t="shared" si="739"/>
        <v>1.0492159536390044E-2</v>
      </c>
      <c r="DU212" s="294">
        <f t="shared" si="739"/>
        <v>-1.7664907103370764E-3</v>
      </c>
      <c r="DV212" s="294">
        <f t="shared" si="739"/>
        <v>8.5152404486343869E-3</v>
      </c>
      <c r="DW212" s="294">
        <f t="shared" si="739"/>
        <v>-6.8176970745064125E-3</v>
      </c>
      <c r="DX212" s="294">
        <f t="shared" si="739"/>
        <v>2.7092617600720015E-2</v>
      </c>
      <c r="DY212" s="294">
        <f t="shared" si="739"/>
        <v>4.9491729166122322E-3</v>
      </c>
      <c r="DZ212" s="294">
        <f t="shared" si="739"/>
        <v>-4.1740494647470872E-3</v>
      </c>
      <c r="EA212" s="294">
        <f>EA210/EA211-1</f>
        <v>-1.3294057830046779E-2</v>
      </c>
      <c r="EB212" s="294">
        <f t="shared" si="739"/>
        <v>1.694603218327484E-2</v>
      </c>
      <c r="EC212" s="294">
        <f t="shared" si="739"/>
        <v>1.5868316808475669E-2</v>
      </c>
      <c r="ED212" s="294">
        <f t="shared" si="739"/>
        <v>-2.2038560036644617E-2</v>
      </c>
      <c r="EE212" s="294">
        <f t="shared" si="739"/>
        <v>3.6060014320119738E-2</v>
      </c>
      <c r="EF212" s="294">
        <f t="shared" si="739"/>
        <v>6.2906677557688306E-2</v>
      </c>
      <c r="EG212" s="294">
        <f t="shared" si="739"/>
        <v>6.8492822237389062E-2</v>
      </c>
      <c r="EH212" s="294">
        <f t="shared" si="739"/>
        <v>6.7064649655348862E-2</v>
      </c>
      <c r="EI212" s="294">
        <f t="shared" si="739"/>
        <v>5.3037565860908575E-2</v>
      </c>
      <c r="EJ212" s="294"/>
      <c r="EK212" s="294"/>
      <c r="EL212" s="294"/>
      <c r="EM212" s="294"/>
    </row>
    <row r="214" spans="2:143" ht="12.75" customHeight="1" x14ac:dyDescent="0.2">
      <c r="DI214" s="294">
        <f>DI216/DH216-1</f>
        <v>0.25562659846547309</v>
      </c>
      <c r="DJ214" s="294">
        <f>DJ216/DI216-1</f>
        <v>0.42657093390365608</v>
      </c>
      <c r="DK214" s="294">
        <f t="shared" ref="DK214:EC214" si="740">DK216/DJ216-1</f>
        <v>0.10113332143494569</v>
      </c>
      <c r="DL214" s="294">
        <f t="shared" si="740"/>
        <v>-0.14917377809113974</v>
      </c>
      <c r="DM214" s="294">
        <f t="shared" si="740"/>
        <v>9.9994284952279466E-2</v>
      </c>
      <c r="DN214" s="294">
        <f t="shared" si="740"/>
        <v>0.48981677115444544</v>
      </c>
      <c r="DO214" s="294">
        <f t="shared" si="740"/>
        <v>0.41138041267073544</v>
      </c>
      <c r="DP214" s="294">
        <f t="shared" si="740"/>
        <v>0.22817796959164505</v>
      </c>
      <c r="DQ214" s="294">
        <f t="shared" si="740"/>
        <v>0.25775560294531852</v>
      </c>
      <c r="DR214" s="294">
        <f t="shared" si="740"/>
        <v>0.25347366625078638</v>
      </c>
      <c r="DS214" s="294">
        <f t="shared" si="740"/>
        <v>-5.0775434507048245E-2</v>
      </c>
      <c r="DT214" s="294">
        <f t="shared" si="740"/>
        <v>0.16366952414667701</v>
      </c>
      <c r="DU214" s="294">
        <f t="shared" si="740"/>
        <v>0.10976544298581725</v>
      </c>
      <c r="DV214" s="294">
        <f t="shared" si="740"/>
        <v>-8.7398719572496786E-2</v>
      </c>
      <c r="DW214" s="294">
        <f t="shared" si="740"/>
        <v>6.251758568506216E-2</v>
      </c>
      <c r="DX214" s="294">
        <f t="shared" si="740"/>
        <v>0.15754186945319226</v>
      </c>
      <c r="DY214" s="294">
        <f t="shared" si="740"/>
        <v>-3.8345903015332472E-2</v>
      </c>
      <c r="DZ214" s="294">
        <f t="shared" si="740"/>
        <v>2.8381984183115661E-2</v>
      </c>
      <c r="EA214" s="294">
        <f t="shared" si="740"/>
        <v>1.4634786808528588E-2</v>
      </c>
      <c r="EB214" s="294">
        <f t="shared" si="740"/>
        <v>-0.10975444434174453</v>
      </c>
      <c r="EC214" s="294">
        <f t="shared" si="740"/>
        <v>0.10686215811204125</v>
      </c>
      <c r="ED214" s="294">
        <f>RATE(20,0,DH216,-EC216)</f>
        <v>0.12326505798646253</v>
      </c>
    </row>
    <row r="215" spans="2:143" ht="12.75" customHeight="1" x14ac:dyDescent="0.2">
      <c r="B215" t="s">
        <v>1406</v>
      </c>
      <c r="DH215" s="283">
        <v>5.2266000000000004</v>
      </c>
      <c r="DI215" s="283">
        <v>6.5</v>
      </c>
      <c r="DJ215" s="283">
        <v>8.2030999999999992</v>
      </c>
      <c r="DK215" s="283">
        <v>10.7813</v>
      </c>
      <c r="DL215" s="283">
        <v>8.9062999999999999</v>
      </c>
      <c r="DM215" s="283">
        <v>9.1875</v>
      </c>
      <c r="DN215" s="283">
        <v>13.4375</v>
      </c>
      <c r="DO215" s="283">
        <v>20.9375</v>
      </c>
      <c r="DP215" s="283">
        <v>24.875</v>
      </c>
      <c r="DQ215" s="283">
        <v>32</v>
      </c>
      <c r="DR215" s="283">
        <v>39.031300000000002</v>
      </c>
      <c r="DS215" s="283">
        <v>34.25</v>
      </c>
      <c r="DT215" s="283">
        <v>41.625</v>
      </c>
      <c r="DU215" s="283">
        <v>41.85</v>
      </c>
      <c r="DV215" s="283">
        <v>48.73</v>
      </c>
      <c r="DW215" s="283">
        <v>49.5</v>
      </c>
      <c r="DX215" s="283">
        <v>60.04</v>
      </c>
      <c r="DY215" s="283">
        <v>56.8</v>
      </c>
      <c r="DZ215" s="283">
        <v>59.77</v>
      </c>
      <c r="EA215" s="283">
        <v>55.33</v>
      </c>
      <c r="EB215" s="283">
        <v>46.6</v>
      </c>
      <c r="EC215" s="283">
        <v>58.3</v>
      </c>
    </row>
    <row r="216" spans="2:143" ht="12.75" customHeight="1" x14ac:dyDescent="0.2">
      <c r="B216" t="s">
        <v>483</v>
      </c>
      <c r="DH216" s="283">
        <v>6.2560000000000002</v>
      </c>
      <c r="DI216" s="283">
        <v>7.8552</v>
      </c>
      <c r="DJ216" s="283">
        <v>11.206</v>
      </c>
      <c r="DK216" s="283">
        <v>12.3393</v>
      </c>
      <c r="DL216" s="283">
        <v>10.4986</v>
      </c>
      <c r="DM216" s="283">
        <v>11.548400000000001</v>
      </c>
      <c r="DN216" s="283">
        <v>17.204999999999998</v>
      </c>
      <c r="DO216" s="283">
        <v>24.282800000000002</v>
      </c>
      <c r="DP216" s="283">
        <v>29.823599999999999</v>
      </c>
      <c r="DQ216" s="283">
        <v>37.510800000000003</v>
      </c>
      <c r="DR216" s="283">
        <v>47.018799999999999</v>
      </c>
      <c r="DS216" s="283">
        <v>44.631399999999999</v>
      </c>
      <c r="DT216" s="283">
        <v>51.936199999999999</v>
      </c>
      <c r="DU216" s="283">
        <v>57.637</v>
      </c>
      <c r="DV216" s="283">
        <v>52.599600000000002</v>
      </c>
      <c r="DW216" s="283">
        <v>55.887999999999998</v>
      </c>
      <c r="DX216" s="283">
        <v>64.692700000000002</v>
      </c>
      <c r="DY216" s="283">
        <v>62.212000000000003</v>
      </c>
      <c r="DZ216" s="283">
        <v>63.977699999999999</v>
      </c>
      <c r="EA216" s="283">
        <v>64.914000000000001</v>
      </c>
      <c r="EB216" s="283">
        <v>57.789400000000001</v>
      </c>
      <c r="EC216" s="283">
        <v>63.9649</v>
      </c>
    </row>
    <row r="217" spans="2:143" ht="12.75" customHeight="1" x14ac:dyDescent="0.2">
      <c r="B217" t="s">
        <v>264</v>
      </c>
      <c r="DH217" s="243">
        <f t="shared" ref="DH217:EC217" si="741">DH216*DH69</f>
        <v>16670.988800000003</v>
      </c>
      <c r="DI217" s="243">
        <f t="shared" si="741"/>
        <v>20772.29088</v>
      </c>
      <c r="DJ217" s="243">
        <f t="shared" si="741"/>
        <v>34395.965343999997</v>
      </c>
      <c r="DK217" s="243">
        <f t="shared" si="741"/>
        <v>37875.0371352</v>
      </c>
      <c r="DL217" s="243">
        <f t="shared" si="741"/>
        <v>32225.326716799998</v>
      </c>
      <c r="DM217" s="243">
        <f t="shared" si="741"/>
        <v>35448.506703999999</v>
      </c>
      <c r="DN217" s="243">
        <f t="shared" si="741"/>
        <v>52813.293839999998</v>
      </c>
      <c r="DO217" s="243">
        <f t="shared" si="741"/>
        <v>74539.648454400012</v>
      </c>
      <c r="DP217" s="243">
        <f t="shared" si="741"/>
        <v>91547.954092800006</v>
      </c>
      <c r="DQ217" s="243">
        <f t="shared" si="741"/>
        <v>115144.95219840002</v>
      </c>
      <c r="DR217" s="243">
        <f t="shared" si="741"/>
        <v>144339.8168416</v>
      </c>
      <c r="DS217" s="243">
        <f t="shared" si="741"/>
        <v>137011.3462388</v>
      </c>
      <c r="DT217" s="243">
        <f t="shared" si="741"/>
        <v>162032.73808040001</v>
      </c>
      <c r="DU217" s="243">
        <f t="shared" si="741"/>
        <v>171083.618915</v>
      </c>
      <c r="DV217" s="243">
        <f t="shared" si="741"/>
        <v>156114.1926108</v>
      </c>
      <c r="DW217" s="243">
        <f t="shared" si="741"/>
        <v>166044.53342399999</v>
      </c>
      <c r="DX217" s="243">
        <f t="shared" si="741"/>
        <v>192427.01291060002</v>
      </c>
      <c r="DY217" s="243">
        <f t="shared" si="741"/>
        <v>184209.73200000002</v>
      </c>
      <c r="DZ217" s="243">
        <f t="shared" si="741"/>
        <v>186317.45738250003</v>
      </c>
      <c r="EA217" s="243">
        <f t="shared" si="741"/>
        <v>184096.10400000002</v>
      </c>
      <c r="EB217" s="243">
        <f t="shared" si="741"/>
        <v>161251.207555</v>
      </c>
      <c r="EC217" s="243">
        <f t="shared" si="741"/>
        <v>178482.85959250003</v>
      </c>
    </row>
    <row r="218" spans="2:143" ht="12.75" customHeight="1" x14ac:dyDescent="0.2">
      <c r="B218" t="s">
        <v>1407</v>
      </c>
      <c r="DH218" s="304">
        <f t="shared" ref="DH218:EC218" si="742">DH215/DH68</f>
        <v>12.872313937153422</v>
      </c>
      <c r="DI218" s="304">
        <f t="shared" si="742"/>
        <v>13.783961507618285</v>
      </c>
      <c r="DJ218" s="304">
        <f t="shared" si="742"/>
        <v>17.233943883915124</v>
      </c>
      <c r="DK218" s="304">
        <f t="shared" si="742"/>
        <v>20.364807521969229</v>
      </c>
      <c r="DL218" s="304">
        <f t="shared" si="742"/>
        <v>15.298142682932287</v>
      </c>
      <c r="DM218" s="304">
        <f t="shared" si="742"/>
        <v>14.058615403788634</v>
      </c>
      <c r="DN218" s="304">
        <f t="shared" si="742"/>
        <v>17.165374531835209</v>
      </c>
      <c r="DO218" s="304">
        <f t="shared" si="742"/>
        <v>22.262125043297541</v>
      </c>
      <c r="DP218" s="304">
        <f t="shared" si="742"/>
        <v>23.117618528610354</v>
      </c>
      <c r="DQ218" s="304">
        <f t="shared" si="742"/>
        <v>25.607074035453596</v>
      </c>
      <c r="DR218" s="304">
        <f t="shared" si="742"/>
        <v>28.754387746964241</v>
      </c>
      <c r="DS218" s="304">
        <f t="shared" si="742"/>
        <v>21.809186579547813</v>
      </c>
      <c r="DT218" s="304">
        <f t="shared" si="742"/>
        <v>22.494963320630522</v>
      </c>
      <c r="DU218" s="304">
        <f t="shared" si="742"/>
        <v>16.409005537998198</v>
      </c>
      <c r="DV218" s="304">
        <f t="shared" si="742"/>
        <v>16.781458773090129</v>
      </c>
      <c r="DW218" s="304">
        <f t="shared" si="742"/>
        <v>15.820313952237523</v>
      </c>
      <c r="DX218" s="304">
        <f t="shared" si="742"/>
        <v>18.303541982166649</v>
      </c>
      <c r="DY218" s="304">
        <f t="shared" si="742"/>
        <v>15.106871463217461</v>
      </c>
      <c r="DZ218" s="304">
        <f t="shared" si="742"/>
        <v>14.207609394682637</v>
      </c>
      <c r="EA218" s="304">
        <f t="shared" si="742"/>
        <v>12.163078831098366</v>
      </c>
      <c r="EB218" s="304">
        <f t="shared" si="742"/>
        <v>7.7497478916470488</v>
      </c>
      <c r="EC218" s="304">
        <f t="shared" si="742"/>
        <v>12.373617365178369</v>
      </c>
    </row>
    <row r="219" spans="2:143" ht="12.75" customHeight="1" x14ac:dyDescent="0.2">
      <c r="B219" t="s">
        <v>1408</v>
      </c>
      <c r="DH219" s="304">
        <f t="shared" ref="DH219:EC219" si="743">DH217/DH67</f>
        <v>15.407568207024033</v>
      </c>
      <c r="DI219" s="304">
        <f t="shared" si="743"/>
        <v>16.65781145148356</v>
      </c>
      <c r="DJ219" s="304">
        <f t="shared" si="743"/>
        <v>23.542755197809718</v>
      </c>
      <c r="DK219" s="304">
        <f t="shared" si="743"/>
        <v>23.307715160123077</v>
      </c>
      <c r="DL219" s="304">
        <f t="shared" si="743"/>
        <v>18.033199058086176</v>
      </c>
      <c r="DM219" s="304">
        <f t="shared" si="743"/>
        <v>17.671239633100697</v>
      </c>
      <c r="DN219" s="304">
        <f t="shared" si="743"/>
        <v>21.978066516853932</v>
      </c>
      <c r="DO219" s="304">
        <f t="shared" si="743"/>
        <v>25.819067701558716</v>
      </c>
      <c r="DP219" s="304">
        <f t="shared" si="743"/>
        <v>27.716607354768396</v>
      </c>
      <c r="DQ219" s="304">
        <f t="shared" si="743"/>
        <v>30.016932272784153</v>
      </c>
      <c r="DR219" s="304">
        <f t="shared" si="743"/>
        <v>34.638784939188866</v>
      </c>
      <c r="DS219" s="304">
        <f t="shared" si="743"/>
        <v>28.419694303837378</v>
      </c>
      <c r="DT219" s="304">
        <f t="shared" si="743"/>
        <v>28.067337273583927</v>
      </c>
      <c r="DU219" s="304">
        <f t="shared" si="743"/>
        <v>22.598945094231826</v>
      </c>
      <c r="DV219" s="304">
        <f t="shared" si="743"/>
        <v>18.114057436507935</v>
      </c>
      <c r="DW219" s="304">
        <f t="shared" si="743"/>
        <v>17.861933457831324</v>
      </c>
      <c r="DX219" s="304">
        <f t="shared" si="743"/>
        <v>19.721944543466233</v>
      </c>
      <c r="DY219" s="304">
        <f t="shared" si="743"/>
        <v>16.546279708973323</v>
      </c>
      <c r="DZ219" s="304">
        <f t="shared" si="743"/>
        <v>15.207799423961642</v>
      </c>
      <c r="EA219" s="304">
        <f t="shared" si="743"/>
        <v>14.269909619409349</v>
      </c>
      <c r="EB219" s="304">
        <f t="shared" si="743"/>
        <v>9.6105854250975948</v>
      </c>
      <c r="EC219" s="304">
        <f t="shared" si="743"/>
        <v>13.575938205864459</v>
      </c>
    </row>
    <row r="220" spans="2:143" ht="12.75" customHeight="1" x14ac:dyDescent="0.2">
      <c r="DH220" s="304"/>
      <c r="DI220" s="304"/>
      <c r="DJ220" s="304"/>
    </row>
    <row r="221" spans="2:143" ht="12.75" customHeight="1" x14ac:dyDescent="0.2">
      <c r="B221" t="s">
        <v>484</v>
      </c>
    </row>
    <row r="222" spans="2:143" ht="12.75" customHeight="1" x14ac:dyDescent="0.2">
      <c r="B222" t="s">
        <v>485</v>
      </c>
    </row>
    <row r="223" spans="2:143" ht="12.75" customHeight="1" x14ac:dyDescent="0.2">
      <c r="B223" t="s">
        <v>486</v>
      </c>
    </row>
    <row r="225" spans="2:128" ht="12.75" customHeight="1" x14ac:dyDescent="0.2">
      <c r="B225" t="s">
        <v>1052</v>
      </c>
      <c r="G225" s="247">
        <f>K225/1.35</f>
        <v>1220</v>
      </c>
      <c r="H225" s="247">
        <f>L225/1.47</f>
        <v>1256.4625850340137</v>
      </c>
      <c r="I225" s="247">
        <f>M225/1.53</f>
        <v>1232.2875816993464</v>
      </c>
      <c r="J225" s="247">
        <f>N225/1.21</f>
        <v>1301.9834710743803</v>
      </c>
      <c r="K225" s="247">
        <v>1647</v>
      </c>
      <c r="L225" s="247">
        <v>1847</v>
      </c>
      <c r="M225" s="247">
        <v>1885.4</v>
      </c>
      <c r="N225" s="247">
        <v>1575.4</v>
      </c>
      <c r="O225" s="247">
        <v>2070</v>
      </c>
      <c r="P225" s="247">
        <v>2283</v>
      </c>
      <c r="Q225" s="247">
        <v>2134</v>
      </c>
      <c r="R225" s="247">
        <v>1957.5</v>
      </c>
      <c r="S225" s="247">
        <v>2356</v>
      </c>
      <c r="T225" s="247">
        <v>2722</v>
      </c>
      <c r="U225" s="247">
        <v>2511</v>
      </c>
      <c r="V225" s="247">
        <v>2651</v>
      </c>
      <c r="W225" s="247">
        <v>2958</v>
      </c>
      <c r="X225" s="247">
        <v>2934</v>
      </c>
      <c r="Y225" s="247">
        <v>2939</v>
      </c>
      <c r="Z225" s="247">
        <v>3088</v>
      </c>
      <c r="AA225" s="247">
        <v>3263</v>
      </c>
      <c r="AB225" s="247">
        <v>3278</v>
      </c>
      <c r="AC225" s="247">
        <v>3284.6990821500003</v>
      </c>
      <c r="AD225" s="247">
        <v>3445.9594690500003</v>
      </c>
      <c r="AE225" s="247">
        <v>3643</v>
      </c>
      <c r="AF225" s="247">
        <v>3642.9836656400007</v>
      </c>
      <c r="AG225" s="247">
        <v>3694</v>
      </c>
      <c r="AH225" s="247">
        <v>3980</v>
      </c>
      <c r="AI225" s="247">
        <v>3783</v>
      </c>
      <c r="AJ225" s="247">
        <v>3594.5647360624998</v>
      </c>
      <c r="AK225" s="247">
        <v>3526.6955764586251</v>
      </c>
      <c r="AL225" s="247">
        <v>3573.027514656625</v>
      </c>
      <c r="AM225" s="247">
        <v>3701</v>
      </c>
      <c r="AN225" s="247">
        <v>3682</v>
      </c>
      <c r="AU225" s="247">
        <v>4070</v>
      </c>
      <c r="AV225" s="247">
        <v>3793</v>
      </c>
      <c r="AY225" s="247">
        <v>3674</v>
      </c>
      <c r="AZ225" s="247">
        <v>3172</v>
      </c>
      <c r="DQ225" s="247">
        <v>6106</v>
      </c>
      <c r="DR225" s="247">
        <v>6955</v>
      </c>
      <c r="DS225" s="247">
        <v>8445</v>
      </c>
      <c r="DT225" s="247">
        <v>10240</v>
      </c>
      <c r="DU225" s="247">
        <v>11919</v>
      </c>
      <c r="DV225" s="247">
        <v>13272</v>
      </c>
      <c r="DW225" s="247">
        <v>14960</v>
      </c>
      <c r="DX225" s="247">
        <v>14477</v>
      </c>
    </row>
    <row r="226" spans="2:128" ht="12.75" customHeight="1" x14ac:dyDescent="0.2">
      <c r="B226" t="s">
        <v>1053</v>
      </c>
      <c r="G226" s="247">
        <f>K226/1.13</f>
        <v>929.2035398230089</v>
      </c>
      <c r="H226" s="247">
        <f>L226/1.12</f>
        <v>991.07142857142844</v>
      </c>
      <c r="I226" s="247">
        <f>M226/1.1</f>
        <v>955.45454545454538</v>
      </c>
      <c r="J226" s="247">
        <f>N226/1.05</f>
        <v>1013.3333333333333</v>
      </c>
      <c r="K226" s="247">
        <v>1050</v>
      </c>
      <c r="L226" s="247">
        <v>1110</v>
      </c>
      <c r="M226" s="247">
        <v>1051</v>
      </c>
      <c r="N226" s="247">
        <v>1064</v>
      </c>
      <c r="O226" s="247">
        <v>1093</v>
      </c>
      <c r="P226" s="247">
        <v>1100</v>
      </c>
      <c r="Q226" s="247">
        <v>1034</v>
      </c>
      <c r="R226" s="247">
        <v>989.5</v>
      </c>
      <c r="S226" s="247">
        <v>1133</v>
      </c>
      <c r="T226" s="247">
        <v>1142</v>
      </c>
      <c r="U226" s="247">
        <v>1166</v>
      </c>
      <c r="V226" s="247">
        <v>1169</v>
      </c>
      <c r="W226" s="247">
        <v>1223</v>
      </c>
      <c r="X226" s="247">
        <v>1324</v>
      </c>
      <c r="Y226" s="247">
        <v>1338</v>
      </c>
      <c r="Z226" s="247">
        <v>1347</v>
      </c>
      <c r="AA226" s="247">
        <v>1403</v>
      </c>
      <c r="AB226" s="247">
        <v>1606</v>
      </c>
      <c r="AC226" s="247">
        <v>1548.85</v>
      </c>
      <c r="AD226" s="247">
        <v>1686.4</v>
      </c>
      <c r="AE226" s="247">
        <v>1733</v>
      </c>
      <c r="AF226" s="247">
        <v>1784</v>
      </c>
      <c r="AG226" s="247">
        <v>1791</v>
      </c>
      <c r="AH226" s="247">
        <v>1860</v>
      </c>
      <c r="AI226" s="247">
        <v>1972</v>
      </c>
      <c r="AJ226" s="247">
        <v>2033</v>
      </c>
      <c r="AK226" s="247">
        <v>1930</v>
      </c>
      <c r="AL226" s="247">
        <v>1909</v>
      </c>
      <c r="AM226" s="247">
        <v>1925</v>
      </c>
      <c r="AN226" s="247">
        <v>2128</v>
      </c>
      <c r="AU226" s="247">
        <v>2359</v>
      </c>
      <c r="AV226" s="247">
        <v>2547</v>
      </c>
      <c r="AY226" s="247">
        <v>2106</v>
      </c>
      <c r="AZ226" s="247">
        <v>2326</v>
      </c>
      <c r="DQ226" s="247">
        <v>3886</v>
      </c>
      <c r="DR226" s="247">
        <v>4275</v>
      </c>
      <c r="DS226" s="247">
        <v>4217</v>
      </c>
      <c r="DT226" s="247">
        <v>4611</v>
      </c>
      <c r="DU226" s="247">
        <v>5232</v>
      </c>
      <c r="DV226" s="247">
        <v>6244</v>
      </c>
      <c r="DW226" s="247">
        <v>7168</v>
      </c>
      <c r="DX226" s="247">
        <v>7844</v>
      </c>
    </row>
    <row r="227" spans="2:128" ht="12.75" customHeight="1" x14ac:dyDescent="0.2">
      <c r="B227" t="s">
        <v>1054</v>
      </c>
      <c r="G227" s="247">
        <f>G226+G225</f>
        <v>2149.2035398230091</v>
      </c>
      <c r="H227" s="247">
        <f>H226+H225</f>
        <v>2247.5340136054419</v>
      </c>
      <c r="I227" s="247">
        <f>I226+I225</f>
        <v>2187.7421271538919</v>
      </c>
      <c r="J227" s="247">
        <f>J226+J225</f>
        <v>2315.3168044077138</v>
      </c>
      <c r="K227" s="247">
        <v>2697</v>
      </c>
      <c r="L227" s="247">
        <v>2957</v>
      </c>
      <c r="M227" s="247">
        <v>2936.4</v>
      </c>
      <c r="N227" s="247">
        <v>2639.4</v>
      </c>
      <c r="O227" s="247">
        <v>3163</v>
      </c>
      <c r="P227" s="247">
        <v>3383</v>
      </c>
      <c r="Q227" s="247">
        <v>3168</v>
      </c>
      <c r="R227" s="247">
        <v>2947</v>
      </c>
      <c r="S227" s="247">
        <f t="shared" ref="S227:AN227" si="744">S97</f>
        <v>3489</v>
      </c>
      <c r="T227" s="247">
        <f t="shared" si="744"/>
        <v>3864.4</v>
      </c>
      <c r="U227" s="247">
        <f t="shared" si="744"/>
        <v>3677.4</v>
      </c>
      <c r="V227" s="247">
        <f t="shared" si="744"/>
        <v>3820</v>
      </c>
      <c r="W227" s="247">
        <f t="shared" si="744"/>
        <v>4181</v>
      </c>
      <c r="X227" s="247">
        <f t="shared" si="744"/>
        <v>4258</v>
      </c>
      <c r="Y227" s="247">
        <f t="shared" si="744"/>
        <v>4277</v>
      </c>
      <c r="Z227" s="247">
        <f t="shared" si="744"/>
        <v>4435</v>
      </c>
      <c r="AA227" s="247">
        <f t="shared" si="744"/>
        <v>4666</v>
      </c>
      <c r="AB227" s="247">
        <f t="shared" si="744"/>
        <v>4884</v>
      </c>
      <c r="AC227" s="247">
        <f t="shared" si="744"/>
        <v>4835</v>
      </c>
      <c r="AD227" s="247">
        <f t="shared" si="744"/>
        <v>5134</v>
      </c>
      <c r="AE227" s="247">
        <f t="shared" si="744"/>
        <v>5376</v>
      </c>
      <c r="AF227" s="247">
        <f t="shared" si="744"/>
        <v>5296</v>
      </c>
      <c r="AG227" s="247">
        <f t="shared" si="744"/>
        <v>4940</v>
      </c>
      <c r="AH227" s="247">
        <f t="shared" si="744"/>
        <v>5242</v>
      </c>
      <c r="AI227" s="247">
        <f t="shared" si="744"/>
        <v>5178</v>
      </c>
      <c r="AJ227" s="247">
        <f t="shared" si="744"/>
        <v>4986</v>
      </c>
      <c r="AK227" s="247">
        <f t="shared" si="744"/>
        <v>4833</v>
      </c>
      <c r="AL227" s="247">
        <f t="shared" si="744"/>
        <v>4790</v>
      </c>
      <c r="AM227" s="247">
        <f t="shared" si="744"/>
        <v>5626</v>
      </c>
      <c r="AN227" s="247">
        <f t="shared" si="744"/>
        <v>5810</v>
      </c>
      <c r="AU227" s="247">
        <f>AU97</f>
        <v>6363</v>
      </c>
      <c r="AV227" s="247">
        <f>AV97</f>
        <v>6340</v>
      </c>
      <c r="AY227" s="247">
        <f>AY97</f>
        <v>5780</v>
      </c>
      <c r="AZ227" s="247">
        <f>AZ97</f>
        <v>5498</v>
      </c>
      <c r="DQ227" s="243">
        <f t="shared" ref="DQ227:DX227" si="745">DQ226+DQ225</f>
        <v>9992</v>
      </c>
      <c r="DR227" s="247">
        <f t="shared" si="745"/>
        <v>11230</v>
      </c>
      <c r="DS227" s="247">
        <f t="shared" si="745"/>
        <v>12662</v>
      </c>
      <c r="DT227" s="247">
        <f t="shared" si="745"/>
        <v>14851</v>
      </c>
      <c r="DU227" s="247">
        <f t="shared" si="745"/>
        <v>17151</v>
      </c>
      <c r="DV227" s="247">
        <f t="shared" si="745"/>
        <v>19516</v>
      </c>
      <c r="DW227" s="247">
        <f t="shared" si="745"/>
        <v>22128</v>
      </c>
      <c r="DX227" s="247">
        <f t="shared" si="745"/>
        <v>22321</v>
      </c>
    </row>
    <row r="228" spans="2:128" ht="12.75" customHeight="1" x14ac:dyDescent="0.2">
      <c r="B228" t="s">
        <v>1055</v>
      </c>
      <c r="K228" s="247">
        <v>1289</v>
      </c>
      <c r="L228" s="247">
        <v>1315</v>
      </c>
      <c r="M228" s="247">
        <v>1331</v>
      </c>
      <c r="N228" s="247">
        <v>1361</v>
      </c>
      <c r="O228" s="247">
        <v>1311</v>
      </c>
      <c r="P228" s="247">
        <v>1360</v>
      </c>
      <c r="Q228" s="247">
        <v>1390</v>
      </c>
      <c r="R228" s="247">
        <v>1445</v>
      </c>
      <c r="S228" s="247">
        <v>1463.2</v>
      </c>
      <c r="T228" s="247">
        <v>1530</v>
      </c>
      <c r="U228" s="247">
        <v>1569</v>
      </c>
      <c r="V228" s="247">
        <v>1574</v>
      </c>
      <c r="W228" s="247">
        <v>1663</v>
      </c>
      <c r="X228" s="247">
        <v>1758</v>
      </c>
      <c r="Y228" s="247">
        <v>1740</v>
      </c>
      <c r="Z228" s="247">
        <v>1770</v>
      </c>
      <c r="AA228" s="247">
        <v>1747.6</v>
      </c>
      <c r="AB228" s="247">
        <v>1903</v>
      </c>
      <c r="AC228" s="247">
        <v>2145.4</v>
      </c>
      <c r="AD228" s="247">
        <v>2237</v>
      </c>
      <c r="AE228" s="247">
        <v>2194</v>
      </c>
      <c r="AF228" s="247">
        <v>2037.9</v>
      </c>
      <c r="AG228" s="247">
        <v>2073</v>
      </c>
      <c r="AH228" s="247">
        <v>2280</v>
      </c>
      <c r="AI228" s="247">
        <v>2361</v>
      </c>
      <c r="AJ228" s="247">
        <v>2378</v>
      </c>
      <c r="AK228" s="247">
        <v>2365</v>
      </c>
      <c r="AL228" s="247">
        <v>2390</v>
      </c>
      <c r="AM228" s="247">
        <v>2520</v>
      </c>
      <c r="AN228" s="247">
        <v>2590</v>
      </c>
      <c r="AU228" s="247">
        <v>2588</v>
      </c>
      <c r="AV228" s="247">
        <v>2723</v>
      </c>
      <c r="AY228" s="247">
        <v>2652</v>
      </c>
      <c r="AZ228" s="247">
        <v>2776</v>
      </c>
      <c r="DR228" s="247">
        <v>5296</v>
      </c>
      <c r="DS228" s="247">
        <v>5506</v>
      </c>
      <c r="DT228" s="247">
        <v>6136</v>
      </c>
      <c r="DU228" s="247">
        <v>6931</v>
      </c>
      <c r="DV228" s="247">
        <v>8033</v>
      </c>
      <c r="DW228" s="247">
        <v>8585</v>
      </c>
      <c r="DX228" s="247">
        <v>9494</v>
      </c>
    </row>
    <row r="229" spans="2:128" ht="12.75" customHeight="1" x14ac:dyDescent="0.2">
      <c r="B229" t="s">
        <v>1056</v>
      </c>
      <c r="K229" s="247">
        <v>1145</v>
      </c>
      <c r="L229" s="247">
        <v>1140</v>
      </c>
      <c r="M229" s="247">
        <v>1114</v>
      </c>
      <c r="N229" s="247">
        <v>1220</v>
      </c>
      <c r="O229" s="247">
        <v>1214</v>
      </c>
      <c r="P229" s="247">
        <v>1220</v>
      </c>
      <c r="Q229" s="247">
        <v>1158</v>
      </c>
      <c r="R229" s="247">
        <v>1183</v>
      </c>
      <c r="S229" s="247">
        <v>1272</v>
      </c>
      <c r="T229" s="247">
        <v>1255</v>
      </c>
      <c r="U229" s="247">
        <v>1202</v>
      </c>
      <c r="V229" s="247">
        <v>1281</v>
      </c>
      <c r="W229" s="247">
        <v>1295</v>
      </c>
      <c r="X229" s="247">
        <v>1408</v>
      </c>
      <c r="Y229" s="247">
        <v>1401</v>
      </c>
      <c r="Z229" s="247">
        <v>1548</v>
      </c>
      <c r="AA229" s="247">
        <v>1615.6</v>
      </c>
      <c r="AB229" s="247">
        <v>1726</v>
      </c>
      <c r="AC229" s="247">
        <v>1634</v>
      </c>
      <c r="AD229" s="247">
        <v>1904</v>
      </c>
      <c r="AE229" s="247">
        <v>1942</v>
      </c>
      <c r="AF229" s="247">
        <v>2019.4</v>
      </c>
      <c r="AG229" s="247">
        <v>1971</v>
      </c>
      <c r="AH229" s="247">
        <v>2370</v>
      </c>
      <c r="AI229" s="247">
        <v>2436</v>
      </c>
      <c r="AJ229" s="247">
        <v>2478</v>
      </c>
      <c r="AK229" s="247">
        <v>2257</v>
      </c>
      <c r="AL229" s="247">
        <v>2431</v>
      </c>
      <c r="AM229" s="247">
        <v>2491</v>
      </c>
      <c r="AN229" s="247">
        <v>2565</v>
      </c>
      <c r="AU229" s="247">
        <v>3113</v>
      </c>
      <c r="AV229" s="247">
        <v>3351</v>
      </c>
      <c r="AY229" s="247">
        <v>2883</v>
      </c>
      <c r="AZ229" s="247">
        <v>3111</v>
      </c>
      <c r="DR229" s="247">
        <v>4619</v>
      </c>
      <c r="DS229" s="247">
        <v>4775</v>
      </c>
      <c r="DT229" s="247">
        <v>5010</v>
      </c>
      <c r="DU229" s="247">
        <v>5652</v>
      </c>
      <c r="DV229" s="247">
        <v>6880</v>
      </c>
      <c r="DW229" s="247">
        <v>8302</v>
      </c>
      <c r="DX229" s="247">
        <v>9602</v>
      </c>
    </row>
    <row r="230" spans="2:128" ht="12.75" customHeight="1" x14ac:dyDescent="0.2">
      <c r="B230" t="s">
        <v>103</v>
      </c>
      <c r="K230" s="247">
        <v>2434</v>
      </c>
      <c r="L230" s="247">
        <v>2455</v>
      </c>
      <c r="M230" s="247">
        <v>2445</v>
      </c>
      <c r="N230" s="247">
        <v>2581</v>
      </c>
      <c r="O230" s="247">
        <v>2525</v>
      </c>
      <c r="P230" s="247">
        <v>2580</v>
      </c>
      <c r="Q230" s="247">
        <v>2548</v>
      </c>
      <c r="R230" s="247">
        <v>2628</v>
      </c>
      <c r="S230" s="243">
        <f t="shared" ref="S230:AN230" si="746">S104</f>
        <v>2735.2</v>
      </c>
      <c r="T230" s="243">
        <f t="shared" si="746"/>
        <v>2785</v>
      </c>
      <c r="U230" s="243">
        <f t="shared" si="746"/>
        <v>2771</v>
      </c>
      <c r="V230" s="243">
        <f t="shared" si="746"/>
        <v>2855</v>
      </c>
      <c r="W230" s="243">
        <f t="shared" si="746"/>
        <v>2958</v>
      </c>
      <c r="X230" s="243">
        <f t="shared" si="746"/>
        <v>3166</v>
      </c>
      <c r="Y230" s="243">
        <f t="shared" si="746"/>
        <v>3141</v>
      </c>
      <c r="Z230" s="243">
        <f t="shared" si="746"/>
        <v>3318</v>
      </c>
      <c r="AA230" s="243">
        <f t="shared" si="746"/>
        <v>3364</v>
      </c>
      <c r="AB230" s="243">
        <f t="shared" si="746"/>
        <v>3629</v>
      </c>
      <c r="AC230" s="243">
        <f t="shared" si="746"/>
        <v>3779</v>
      </c>
      <c r="AD230" s="243">
        <f t="shared" si="746"/>
        <v>4141</v>
      </c>
      <c r="AE230" s="243">
        <f t="shared" si="746"/>
        <v>4136</v>
      </c>
      <c r="AF230" s="243">
        <f t="shared" si="746"/>
        <v>4057</v>
      </c>
      <c r="AG230" s="243">
        <f t="shared" si="746"/>
        <v>4044</v>
      </c>
      <c r="AH230" s="243">
        <f t="shared" si="746"/>
        <v>4650</v>
      </c>
      <c r="AI230" s="243">
        <f t="shared" si="746"/>
        <v>4797</v>
      </c>
      <c r="AJ230" s="243">
        <f t="shared" si="746"/>
        <v>4856</v>
      </c>
      <c r="AK230" s="243">
        <f t="shared" si="746"/>
        <v>4622</v>
      </c>
      <c r="AL230" s="243">
        <f t="shared" si="746"/>
        <v>4821</v>
      </c>
      <c r="AM230" s="243">
        <f t="shared" si="746"/>
        <v>5011</v>
      </c>
      <c r="AN230" s="243">
        <f t="shared" si="746"/>
        <v>5155</v>
      </c>
      <c r="AU230" s="243">
        <f>AU104</f>
        <v>5701</v>
      </c>
      <c r="AV230" s="243">
        <f>AV104</f>
        <v>6074</v>
      </c>
      <c r="AY230" s="243">
        <f>AY104</f>
        <v>5535</v>
      </c>
      <c r="AZ230" s="243">
        <f>AZ104</f>
        <v>5887</v>
      </c>
      <c r="DR230" s="247">
        <v>9915</v>
      </c>
      <c r="DS230" s="247">
        <v>10281</v>
      </c>
      <c r="DT230" s="247">
        <f>DT229+DT228</f>
        <v>11146</v>
      </c>
      <c r="DU230" s="247">
        <f>DU229+DU228</f>
        <v>12583</v>
      </c>
      <c r="DV230" s="247">
        <f>DV229+DV228</f>
        <v>14913</v>
      </c>
      <c r="DW230" s="247">
        <f>DW229+DW228</f>
        <v>16887</v>
      </c>
      <c r="DX230" s="247">
        <f>DX229+DX228</f>
        <v>19096</v>
      </c>
    </row>
    <row r="231" spans="2:128" ht="12.75" customHeight="1" x14ac:dyDescent="0.2">
      <c r="B231" t="s">
        <v>1057</v>
      </c>
      <c r="K231" s="247">
        <v>927</v>
      </c>
      <c r="L231" s="247">
        <v>873</v>
      </c>
      <c r="M231" s="247">
        <v>921</v>
      </c>
      <c r="N231" s="247">
        <v>948</v>
      </c>
      <c r="O231" s="247">
        <v>943</v>
      </c>
      <c r="P231" s="247">
        <v>902</v>
      </c>
      <c r="Q231" s="247">
        <v>939</v>
      </c>
      <c r="R231" s="247">
        <v>976</v>
      </c>
      <c r="S231" s="247">
        <v>896</v>
      </c>
      <c r="T231" s="247">
        <v>808</v>
      </c>
      <c r="U231" s="247">
        <v>896</v>
      </c>
      <c r="V231" s="247">
        <v>848.5</v>
      </c>
      <c r="W231" s="247">
        <v>900</v>
      </c>
      <c r="X231" s="247">
        <v>907</v>
      </c>
      <c r="Y231" s="247">
        <v>910</v>
      </c>
      <c r="Z231" s="247">
        <v>888</v>
      </c>
      <c r="AA231" s="247">
        <v>1000</v>
      </c>
      <c r="AB231" s="247">
        <v>931</v>
      </c>
      <c r="AC231" s="247">
        <v>984.3</v>
      </c>
      <c r="AD231" s="247">
        <v>1053</v>
      </c>
      <c r="AE231" s="247">
        <v>1081</v>
      </c>
      <c r="AF231" s="247">
        <v>987</v>
      </c>
      <c r="AG231" s="247">
        <v>1023</v>
      </c>
      <c r="AH231" s="247">
        <v>1134</v>
      </c>
      <c r="AI231" s="247">
        <v>1114</v>
      </c>
      <c r="AJ231" s="247">
        <v>1092</v>
      </c>
      <c r="AK231" s="247">
        <v>1075</v>
      </c>
      <c r="AL231" s="247">
        <v>1124</v>
      </c>
      <c r="AM231" s="247">
        <v>1150</v>
      </c>
      <c r="AN231" s="247">
        <v>1103</v>
      </c>
      <c r="AO231" s="247"/>
      <c r="AP231" s="247"/>
      <c r="AQ231" s="247"/>
      <c r="AR231" s="247"/>
      <c r="AS231" s="247"/>
      <c r="AT231" s="247"/>
      <c r="AU231" s="247">
        <v>1819</v>
      </c>
      <c r="AV231" s="247">
        <v>1694</v>
      </c>
      <c r="AW231" s="247"/>
      <c r="AX231" s="247"/>
      <c r="AY231" s="247">
        <v>1726</v>
      </c>
      <c r="AZ231" s="247">
        <v>1708</v>
      </c>
      <c r="DR231" s="247">
        <v>3669</v>
      </c>
      <c r="DS231" s="247">
        <v>3760</v>
      </c>
      <c r="DT231" s="247">
        <v>3449</v>
      </c>
      <c r="DU231" s="247">
        <v>3605</v>
      </c>
      <c r="DV231" s="247">
        <v>3968</v>
      </c>
      <c r="DW231" s="247">
        <v>4225</v>
      </c>
      <c r="DX231" s="247">
        <v>4405</v>
      </c>
    </row>
    <row r="232" spans="2:128" ht="12.75" customHeight="1" x14ac:dyDescent="0.2">
      <c r="B232" t="s">
        <v>1058</v>
      </c>
      <c r="K232" s="247">
        <v>801</v>
      </c>
      <c r="L232" s="247">
        <v>814</v>
      </c>
      <c r="M232" s="247">
        <v>783</v>
      </c>
      <c r="N232" s="247">
        <v>796</v>
      </c>
      <c r="O232" s="247">
        <v>809</v>
      </c>
      <c r="P232" s="247">
        <v>805</v>
      </c>
      <c r="Q232" s="247">
        <v>783</v>
      </c>
      <c r="R232" s="247">
        <v>747</v>
      </c>
      <c r="S232" s="247">
        <v>735</v>
      </c>
      <c r="T232" s="247">
        <v>722</v>
      </c>
      <c r="U232" s="247">
        <v>713</v>
      </c>
      <c r="V232" s="247">
        <v>701.5</v>
      </c>
      <c r="W232" s="247">
        <v>704</v>
      </c>
      <c r="X232" s="247">
        <v>742</v>
      </c>
      <c r="Y232" s="247">
        <v>751</v>
      </c>
      <c r="Z232" s="247">
        <v>762</v>
      </c>
      <c r="AA232" s="247">
        <v>791</v>
      </c>
      <c r="AB232" s="247">
        <v>888</v>
      </c>
      <c r="AC232" s="247">
        <v>856.7</v>
      </c>
      <c r="AD232" s="247">
        <v>926</v>
      </c>
      <c r="AE232" s="247">
        <v>966</v>
      </c>
      <c r="AF232" s="247">
        <v>1013</v>
      </c>
      <c r="AG232" s="247">
        <v>1001</v>
      </c>
      <c r="AH232" s="247">
        <v>1128</v>
      </c>
      <c r="AI232" s="247">
        <v>1166</v>
      </c>
      <c r="AJ232" s="247">
        <v>1186</v>
      </c>
      <c r="AK232" s="247">
        <v>1156</v>
      </c>
      <c r="AL232" s="247">
        <v>1183</v>
      </c>
      <c r="AM232" s="247">
        <v>1205</v>
      </c>
      <c r="AN232" s="247">
        <v>1295</v>
      </c>
      <c r="AO232" s="247"/>
      <c r="AP232" s="247"/>
      <c r="AQ232" s="247"/>
      <c r="AR232" s="247"/>
      <c r="AS232" s="247"/>
      <c r="AT232" s="247"/>
      <c r="AU232" s="247">
        <v>2245</v>
      </c>
      <c r="AV232" s="247">
        <v>2342</v>
      </c>
      <c r="AW232" s="247"/>
      <c r="AX232" s="247"/>
      <c r="AY232" s="247">
        <v>1982</v>
      </c>
      <c r="AZ232" s="247">
        <v>2146</v>
      </c>
      <c r="DR232" s="247">
        <v>3194</v>
      </c>
      <c r="DS232" s="247">
        <v>3144</v>
      </c>
      <c r="DT232" s="247">
        <v>2872</v>
      </c>
      <c r="DU232" s="247">
        <v>2959</v>
      </c>
      <c r="DV232" s="247">
        <v>3462</v>
      </c>
      <c r="DW232" s="247">
        <v>4108</v>
      </c>
      <c r="DX232" s="247">
        <v>4691</v>
      </c>
    </row>
    <row r="233" spans="2:128" ht="12.75" customHeight="1" x14ac:dyDescent="0.2">
      <c r="B233" t="s">
        <v>1021</v>
      </c>
      <c r="K233" s="247">
        <v>1728</v>
      </c>
      <c r="L233" s="247">
        <v>1687</v>
      </c>
      <c r="M233" s="247">
        <v>1704</v>
      </c>
      <c r="N233" s="247">
        <v>1744</v>
      </c>
      <c r="O233" s="247">
        <v>1752</v>
      </c>
      <c r="P233" s="247">
        <v>1707</v>
      </c>
      <c r="Q233" s="247">
        <v>1722</v>
      </c>
      <c r="R233" s="247">
        <v>1723</v>
      </c>
      <c r="S233" s="247">
        <v>1631</v>
      </c>
      <c r="T233" s="247">
        <v>1530</v>
      </c>
      <c r="U233" s="247">
        <v>1609</v>
      </c>
      <c r="V233" s="247">
        <v>1550</v>
      </c>
      <c r="W233" s="247">
        <v>1604</v>
      </c>
      <c r="X233" s="247">
        <v>1649</v>
      </c>
      <c r="Y233" s="247">
        <v>1661</v>
      </c>
      <c r="Z233" s="247">
        <v>1650</v>
      </c>
      <c r="AA233" s="247">
        <v>1791</v>
      </c>
      <c r="AB233" s="247">
        <v>1819</v>
      </c>
      <c r="AC233" s="247">
        <v>1841</v>
      </c>
      <c r="AD233" s="247">
        <v>1979</v>
      </c>
      <c r="AE233" s="247">
        <v>2047</v>
      </c>
      <c r="AF233" s="247">
        <v>2000</v>
      </c>
      <c r="AG233" s="247">
        <v>2024</v>
      </c>
      <c r="AH233" s="247">
        <v>2262</v>
      </c>
      <c r="AI233" s="247">
        <v>2280</v>
      </c>
      <c r="AJ233" s="247">
        <v>2278</v>
      </c>
      <c r="AK233" s="247">
        <v>2231</v>
      </c>
      <c r="AL233" s="247">
        <v>2307</v>
      </c>
      <c r="AM233" s="247">
        <v>2355</v>
      </c>
      <c r="AN233" s="247">
        <v>2398</v>
      </c>
      <c r="AO233" s="247">
        <f t="shared" ref="AO233:BB233" si="747">AO111</f>
        <v>2456</v>
      </c>
      <c r="AP233" s="247">
        <f t="shared" si="747"/>
        <v>2565</v>
      </c>
      <c r="AQ233" s="247">
        <f t="shared" si="747"/>
        <v>3496</v>
      </c>
      <c r="AR233" s="247">
        <f t="shared" si="747"/>
        <v>3564</v>
      </c>
      <c r="AS233" s="247">
        <f t="shared" si="747"/>
        <v>3623</v>
      </c>
      <c r="AT233" s="247">
        <f t="shared" si="747"/>
        <v>3810</v>
      </c>
      <c r="AU233" s="247">
        <f t="shared" si="747"/>
        <v>4064</v>
      </c>
      <c r="AV233" s="247">
        <f t="shared" si="747"/>
        <v>4036</v>
      </c>
      <c r="AW233" s="247">
        <f t="shared" si="747"/>
        <v>4099</v>
      </c>
      <c r="AX233" s="247">
        <f t="shared" si="747"/>
        <v>3855</v>
      </c>
      <c r="AY233" s="247">
        <f t="shared" si="747"/>
        <v>3711</v>
      </c>
      <c r="AZ233" s="247">
        <f t="shared" si="747"/>
        <v>3854</v>
      </c>
      <c r="BA233" s="247">
        <f t="shared" si="747"/>
        <v>3989</v>
      </c>
      <c r="BB233" s="247">
        <f t="shared" si="747"/>
        <v>4249</v>
      </c>
      <c r="BC233" s="247"/>
      <c r="BD233" s="247"/>
      <c r="BE233" s="247"/>
      <c r="BF233" s="247"/>
      <c r="BG233" s="247"/>
      <c r="BH233" s="247"/>
      <c r="BI233" s="247"/>
      <c r="BJ233" s="247"/>
      <c r="BK233" s="247"/>
      <c r="BL233" s="247"/>
      <c r="BM233" s="247"/>
      <c r="BN233" s="247"/>
      <c r="BO233" s="247"/>
      <c r="BP233" s="247"/>
      <c r="BQ233" s="247"/>
      <c r="BR233" s="247"/>
      <c r="BS233" s="247"/>
      <c r="BT233" s="247"/>
      <c r="BU233" s="247"/>
      <c r="BV233" s="247"/>
      <c r="BW233" s="247"/>
      <c r="BX233" s="247"/>
      <c r="BY233" s="247"/>
      <c r="BZ233" s="247"/>
      <c r="CA233" s="247"/>
      <c r="CB233" s="247"/>
      <c r="CC233" s="247"/>
      <c r="CD233" s="247"/>
      <c r="CE233" s="247"/>
      <c r="CF233" s="247"/>
      <c r="CG233" s="247"/>
      <c r="CH233" s="247"/>
      <c r="CI233" s="247"/>
      <c r="CJ233" s="247"/>
      <c r="CK233" s="247"/>
      <c r="CL233" s="247"/>
      <c r="CM233" s="247"/>
      <c r="CN233" s="247"/>
      <c r="CO233" s="247"/>
      <c r="CP233" s="247"/>
      <c r="CQ233" s="247"/>
      <c r="CR233" s="247"/>
      <c r="CS233" s="247"/>
      <c r="CT233" s="247"/>
      <c r="CU233" s="247"/>
      <c r="CV233" s="247"/>
      <c r="CW233" s="247"/>
      <c r="CX233" s="247"/>
      <c r="CY233" s="247"/>
      <c r="CZ233" s="247"/>
      <c r="DA233" s="247"/>
      <c r="DB233" s="247"/>
      <c r="DC233" s="247"/>
      <c r="DD233" s="247"/>
      <c r="DE233" s="247"/>
      <c r="DF233" s="247"/>
      <c r="DR233" s="247">
        <v>6863</v>
      </c>
      <c r="DS233" s="247">
        <v>6904</v>
      </c>
      <c r="DT233" s="247">
        <f>DT232+DT231</f>
        <v>6321</v>
      </c>
      <c r="DU233" s="247">
        <f>DU232+DU231</f>
        <v>6564</v>
      </c>
      <c r="DV233" s="247">
        <f>DV232+DV231</f>
        <v>7430</v>
      </c>
      <c r="DW233" s="247">
        <f>DW232+DW231</f>
        <v>8333</v>
      </c>
      <c r="DX233" s="247">
        <f>DX232+DX231</f>
        <v>9096</v>
      </c>
    </row>
    <row r="236" spans="2:128" ht="12.75" customHeight="1" x14ac:dyDescent="0.2">
      <c r="B236" t="s">
        <v>1374</v>
      </c>
      <c r="AQ236" s="283">
        <v>1.3110999999999999</v>
      </c>
      <c r="AR236" s="283">
        <v>1.3483000000000001</v>
      </c>
      <c r="AS236" s="283">
        <v>1.3746</v>
      </c>
      <c r="AT236" s="283">
        <v>1.4483999999999999</v>
      </c>
      <c r="AU236" s="283">
        <v>1.4985999999999999</v>
      </c>
      <c r="AV236" s="283">
        <v>1.5633999999999999</v>
      </c>
      <c r="AW236" s="283">
        <v>1.5051000000000001</v>
      </c>
      <c r="AX236" s="283">
        <v>1.3214999999999999</v>
      </c>
      <c r="AY236" s="283">
        <v>1.3077000000000001</v>
      </c>
      <c r="AZ236" s="283">
        <v>1.3625</v>
      </c>
      <c r="BA236" s="283">
        <v>1.4298</v>
      </c>
      <c r="BB236" s="283">
        <v>1.4763999999999999</v>
      </c>
      <c r="BC236" s="283">
        <v>1.3844000000000001</v>
      </c>
      <c r="BD236" s="283">
        <v>1.3220000000000001</v>
      </c>
    </row>
    <row r="237" spans="2:128" ht="12.75" customHeight="1" x14ac:dyDescent="0.2">
      <c r="B237" t="s">
        <v>1373</v>
      </c>
      <c r="AU237" s="294">
        <f t="shared" ref="AU237:BC237" si="748">AU236/AQ236-1</f>
        <v>0.14300968652276724</v>
      </c>
      <c r="AV237" s="294">
        <f t="shared" si="748"/>
        <v>0.15953422828747299</v>
      </c>
      <c r="AW237" s="294">
        <f t="shared" si="748"/>
        <v>9.4936708860759556E-2</v>
      </c>
      <c r="AX237" s="294">
        <f t="shared" si="748"/>
        <v>-8.7613918806959457E-2</v>
      </c>
      <c r="AY237" s="294">
        <f t="shared" si="748"/>
        <v>-0.12738555985586542</v>
      </c>
      <c r="AZ237" s="294">
        <f t="shared" si="748"/>
        <v>-0.12850198285787373</v>
      </c>
      <c r="BA237" s="294">
        <f t="shared" si="748"/>
        <v>-5.002989834562499E-2</v>
      </c>
      <c r="BB237" s="294">
        <f t="shared" si="748"/>
        <v>0.11721528566023465</v>
      </c>
      <c r="BC237" s="294">
        <f t="shared" si="748"/>
        <v>5.8652596161199E-2</v>
      </c>
      <c r="BD237" s="294">
        <f>BD236/AZ236-1</f>
        <v>-2.9724770642201803E-2</v>
      </c>
    </row>
    <row r="238" spans="2:128" ht="12.75" customHeight="1" x14ac:dyDescent="0.2">
      <c r="B238" t="s">
        <v>1197</v>
      </c>
      <c r="AU238" s="294">
        <f t="shared" ref="AU238:BC238" si="749">+AU121</f>
        <v>5.0999999999999997E-2</v>
      </c>
      <c r="AV238" s="294">
        <f t="shared" si="749"/>
        <v>5.6000000000000001E-2</v>
      </c>
      <c r="AW238" s="294">
        <f t="shared" si="749"/>
        <v>3.1E-2</v>
      </c>
      <c r="AX238" s="294">
        <f t="shared" si="749"/>
        <v>-3.9E-2</v>
      </c>
      <c r="AY238" s="294">
        <f t="shared" si="749"/>
        <v>-0.06</v>
      </c>
      <c r="AZ238" s="294">
        <f t="shared" si="749"/>
        <v>-0.06</v>
      </c>
      <c r="BA238" s="294">
        <f t="shared" si="749"/>
        <v>-2.5000000000000001E-2</v>
      </c>
      <c r="BB238" s="294">
        <f t="shared" si="749"/>
        <v>4.4999999999999998E-2</v>
      </c>
      <c r="BC238" s="294">
        <f t="shared" si="749"/>
        <v>4.1000000000000002E-2</v>
      </c>
    </row>
    <row r="239" spans="2:128" ht="12.75" customHeight="1" x14ac:dyDescent="0.2">
      <c r="AU239" s="294"/>
      <c r="AV239" s="294"/>
      <c r="AW239" s="294"/>
      <c r="AX239" s="294"/>
      <c r="AY239" s="294"/>
      <c r="AZ239" s="294"/>
      <c r="BA239" s="294"/>
      <c r="BB239" s="294"/>
      <c r="BC239" s="294"/>
    </row>
    <row r="240" spans="2:128" ht="12.75" customHeight="1" x14ac:dyDescent="0.2">
      <c r="B240" t="s">
        <v>1375</v>
      </c>
      <c r="AQ240" s="243">
        <f t="shared" ref="AQ240:BD240" si="750">AQ56</f>
        <v>15087</v>
      </c>
      <c r="AR240" s="243">
        <f t="shared" si="750"/>
        <v>15142</v>
      </c>
      <c r="AS240" s="243">
        <f t="shared" si="750"/>
        <v>15007</v>
      </c>
      <c r="AT240" s="243">
        <f t="shared" si="750"/>
        <v>15957</v>
      </c>
      <c r="AU240" s="243">
        <f t="shared" si="750"/>
        <v>16194</v>
      </c>
      <c r="AV240" s="243">
        <f t="shared" si="750"/>
        <v>16450</v>
      </c>
      <c r="AW240" s="243">
        <f t="shared" si="750"/>
        <v>15921</v>
      </c>
      <c r="AX240" s="243">
        <f t="shared" si="750"/>
        <v>15182</v>
      </c>
      <c r="AY240" s="243">
        <f t="shared" si="750"/>
        <v>15026</v>
      </c>
      <c r="AZ240" s="243">
        <f t="shared" si="750"/>
        <v>15239</v>
      </c>
      <c r="BA240" s="243">
        <f t="shared" si="750"/>
        <v>15081</v>
      </c>
      <c r="BB240" s="243">
        <f t="shared" si="750"/>
        <v>16551</v>
      </c>
      <c r="BC240" s="243">
        <f t="shared" si="750"/>
        <v>15631</v>
      </c>
      <c r="BD240" s="243">
        <f t="shared" si="750"/>
        <v>15389</v>
      </c>
    </row>
    <row r="241" spans="2:56" ht="12.75" customHeight="1" x14ac:dyDescent="0.2">
      <c r="B241" t="s">
        <v>1376</v>
      </c>
      <c r="AU241" s="294">
        <f>AU240/AQ240-1</f>
        <v>7.3374428315768458E-2</v>
      </c>
      <c r="AV241" s="294">
        <f t="shared" ref="AV241:BD241" si="751">AV240/AR240-1</f>
        <v>8.6382248051776411E-2</v>
      </c>
      <c r="AW241" s="294">
        <f t="shared" si="751"/>
        <v>6.0904911041513854E-2</v>
      </c>
      <c r="AX241" s="294">
        <f t="shared" si="751"/>
        <v>-4.8568026571410683E-2</v>
      </c>
      <c r="AY241" s="294">
        <f t="shared" si="751"/>
        <v>-7.2125478572310775E-2</v>
      </c>
      <c r="AZ241" s="294">
        <f t="shared" si="751"/>
        <v>-7.3617021276595751E-2</v>
      </c>
      <c r="BA241" s="294">
        <f t="shared" si="751"/>
        <v>-5.27605049934049E-2</v>
      </c>
      <c r="BB241" s="294">
        <f t="shared" si="751"/>
        <v>9.017257278355939E-2</v>
      </c>
      <c r="BC241" s="294">
        <f t="shared" si="751"/>
        <v>4.026354319180081E-2</v>
      </c>
      <c r="BD241" s="294">
        <f t="shared" si="751"/>
        <v>9.8431655620447867E-3</v>
      </c>
    </row>
    <row r="242" spans="2:56" ht="12.75" customHeight="1" x14ac:dyDescent="0.2">
      <c r="B242" t="s">
        <v>1377</v>
      </c>
      <c r="AQ242" s="294">
        <f t="shared" ref="AQ242:AY242" si="752">+AQ119</f>
        <v>0</v>
      </c>
      <c r="AR242" s="294">
        <f t="shared" si="752"/>
        <v>0.108</v>
      </c>
      <c r="AS242" s="294">
        <f t="shared" si="752"/>
        <v>9.7000000000000003E-2</v>
      </c>
      <c r="AT242" s="294">
        <f t="shared" si="752"/>
        <v>0.11899999999999999</v>
      </c>
      <c r="AU242" s="294">
        <f t="shared" si="752"/>
        <v>2.5999999999999999E-2</v>
      </c>
      <c r="AV242" s="294">
        <f t="shared" si="752"/>
        <v>3.038224805177641E-2</v>
      </c>
      <c r="AW242" s="294">
        <f t="shared" si="752"/>
        <v>2.9904911041513854E-2</v>
      </c>
      <c r="AX242" s="294">
        <f t="shared" si="752"/>
        <v>-0.01</v>
      </c>
      <c r="AY242" s="294">
        <f t="shared" si="752"/>
        <v>-1.2E-2</v>
      </c>
      <c r="AZ242" s="294">
        <f>+AZ119</f>
        <v>-1.3617021276595753E-2</v>
      </c>
      <c r="BA242" s="294">
        <f>+BA119</f>
        <v>-2.7760504993404898E-2</v>
      </c>
      <c r="BB242" s="294">
        <f>+BB119</f>
        <v>4.5172572783559392E-2</v>
      </c>
      <c r="BC242" s="294">
        <f>+BC119</f>
        <v>-1E-3</v>
      </c>
      <c r="BD242"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8"/>
  <sheetViews>
    <sheetView zoomScaleNormal="100" workbookViewId="0">
      <selection activeCell="C21" sqref="C21"/>
    </sheetView>
  </sheetViews>
  <sheetFormatPr defaultColWidth="9.140625" defaultRowHeight="12.75" x14ac:dyDescent="0.2"/>
  <cols>
    <col min="1" max="1" width="5.28515625" customWidth="1"/>
    <col min="2" max="2" width="14" customWidth="1"/>
  </cols>
  <sheetData>
    <row r="1" spans="1:3" x14ac:dyDescent="0.2">
      <c r="A1" s="2" t="s">
        <v>156</v>
      </c>
    </row>
    <row r="2" spans="1:3" x14ac:dyDescent="0.2">
      <c r="B2" t="s">
        <v>487</v>
      </c>
      <c r="C2" t="s">
        <v>1014</v>
      </c>
    </row>
    <row r="3" spans="1:3" x14ac:dyDescent="0.2">
      <c r="B3" t="s">
        <v>488</v>
      </c>
      <c r="C3" t="s">
        <v>1177</v>
      </c>
    </row>
    <row r="4" spans="1:3" x14ac:dyDescent="0.2">
      <c r="B4" t="s">
        <v>491</v>
      </c>
      <c r="C4" t="s">
        <v>1178</v>
      </c>
    </row>
    <row r="5" spans="1:3" x14ac:dyDescent="0.2">
      <c r="B5" t="s">
        <v>497</v>
      </c>
      <c r="C5" t="s">
        <v>1826</v>
      </c>
    </row>
    <row r="6" spans="1:3" x14ac:dyDescent="0.2">
      <c r="B6" t="s">
        <v>161</v>
      </c>
      <c r="C6" t="s">
        <v>1816</v>
      </c>
    </row>
    <row r="7" spans="1:3" x14ac:dyDescent="0.2">
      <c r="C7" t="s">
        <v>1817</v>
      </c>
    </row>
    <row r="8" spans="1:3" x14ac:dyDescent="0.2">
      <c r="B8" t="s">
        <v>165</v>
      </c>
      <c r="C8" t="s">
        <v>18</v>
      </c>
    </row>
    <row r="9" spans="1:3" x14ac:dyDescent="0.2">
      <c r="B9" t="s">
        <v>773</v>
      </c>
      <c r="C9" t="s">
        <v>1030</v>
      </c>
    </row>
    <row r="10" spans="1:3" x14ac:dyDescent="0.2">
      <c r="B10" t="s">
        <v>767</v>
      </c>
      <c r="C10" t="s">
        <v>1031</v>
      </c>
    </row>
    <row r="11" spans="1:3" x14ac:dyDescent="0.2">
      <c r="B11" t="s">
        <v>538</v>
      </c>
      <c r="C11" t="s">
        <v>1179</v>
      </c>
    </row>
    <row r="12" spans="1:3" x14ac:dyDescent="0.2">
      <c r="B12" t="s">
        <v>906</v>
      </c>
      <c r="C12" t="s">
        <v>960</v>
      </c>
    </row>
    <row r="13" spans="1:3" x14ac:dyDescent="0.2">
      <c r="B13" t="s">
        <v>167</v>
      </c>
      <c r="C13" t="s">
        <v>1075</v>
      </c>
    </row>
    <row r="14" spans="1:3" x14ac:dyDescent="0.2">
      <c r="B14" t="s">
        <v>533</v>
      </c>
    </row>
    <row r="15" spans="1:3" x14ac:dyDescent="0.2">
      <c r="C15" s="184" t="s">
        <v>1829</v>
      </c>
    </row>
    <row r="16" spans="1:3" x14ac:dyDescent="0.2">
      <c r="C16" t="s">
        <v>1830</v>
      </c>
    </row>
    <row r="17" spans="3:3" x14ac:dyDescent="0.2">
      <c r="C17" t="s">
        <v>1827</v>
      </c>
    </row>
    <row r="18" spans="3:3" x14ac:dyDescent="0.2">
      <c r="C18" t="s">
        <v>1828</v>
      </c>
    </row>
    <row r="20" spans="3:3" x14ac:dyDescent="0.2">
      <c r="C20" s="184" t="s">
        <v>1834</v>
      </c>
    </row>
    <row r="21" spans="3:3" x14ac:dyDescent="0.2">
      <c r="C21" t="s">
        <v>1831</v>
      </c>
    </row>
    <row r="22" spans="3:3" x14ac:dyDescent="0.2">
      <c r="C22" t="s">
        <v>1832</v>
      </c>
    </row>
    <row r="23" spans="3:3" x14ac:dyDescent="0.2">
      <c r="C23" t="s">
        <v>1833</v>
      </c>
    </row>
    <row r="25" spans="3:3" x14ac:dyDescent="0.2">
      <c r="C25" s="184" t="s">
        <v>175</v>
      </c>
    </row>
    <row r="26" spans="3:3" x14ac:dyDescent="0.2">
      <c r="C26" t="s">
        <v>177</v>
      </c>
    </row>
    <row r="27" spans="3:3" x14ac:dyDescent="0.2">
      <c r="C27" t="s">
        <v>176</v>
      </c>
    </row>
    <row r="29" spans="3:3" x14ac:dyDescent="0.2">
      <c r="C29" s="184" t="s">
        <v>796</v>
      </c>
    </row>
    <row r="30" spans="3:3" x14ac:dyDescent="0.2">
      <c r="C30" t="s">
        <v>1027</v>
      </c>
    </row>
    <row r="31" spans="3:3" x14ac:dyDescent="0.2">
      <c r="C31" t="s">
        <v>1028</v>
      </c>
    </row>
    <row r="33" spans="3:3" x14ac:dyDescent="0.2">
      <c r="C33" t="s">
        <v>622</v>
      </c>
    </row>
    <row r="35" spans="3:3" x14ac:dyDescent="0.2">
      <c r="C35" s="184" t="s">
        <v>22</v>
      </c>
    </row>
    <row r="38" spans="3:3" x14ac:dyDescent="0.2">
      <c r="C38" s="184" t="s">
        <v>853</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3.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Ponvory</vt:lpstr>
      <vt:lpstr>Xarelto</vt:lpstr>
      <vt:lpstr>Tecvayli</vt:lpstr>
      <vt:lpstr>Invega</vt:lpstr>
      <vt:lpstr>Sustenna</vt:lpstr>
      <vt:lpstr>Simponi</vt:lpstr>
      <vt:lpstr>Consta</vt:lpstr>
      <vt:lpstr>Procrit</vt:lpstr>
      <vt:lpstr>Velcade</vt:lpstr>
      <vt:lpstr>Topamax</vt:lpstr>
      <vt:lpstr>Prezista</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Interventional</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2022-10-31T06:01:19Z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