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1A295DB-1F05-4044-8F00-F947199A1E80}" xr6:coauthVersionLast="47" xr6:coauthVersionMax="47" xr10:uidLastSave="{00000000-0000-0000-0000-000000000000}"/>
  <bookViews>
    <workbookView xWindow="1170" yWindow="1170" windowWidth="38700" windowHeight="15345" activeTab="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6" l="1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B15" i="1"/>
  <c r="B14" i="1"/>
  <c r="B10" i="1"/>
  <c r="J393" i="1" l="1"/>
  <c r="F393" i="1" s="1"/>
  <c r="G393" i="1"/>
  <c r="H393" i="1" l="1"/>
  <c r="J92" i="1"/>
  <c r="F92" i="1" s="1"/>
  <c r="G92" i="1"/>
  <c r="H92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0" i="1" l="1"/>
  <c r="F111" i="1" l="1"/>
  <c r="G91" i="1"/>
  <c r="J91" i="1"/>
  <c r="F91" i="1" s="1"/>
  <c r="G28" i="1"/>
  <c r="G27" i="1"/>
  <c r="H91" i="1" l="1"/>
  <c r="G116" i="1"/>
  <c r="J116" i="1"/>
  <c r="F116" i="1" s="1"/>
  <c r="G146" i="1"/>
  <c r="J146" i="1"/>
  <c r="F146" i="1" s="1"/>
  <c r="H116" i="1" l="1"/>
  <c r="H146" i="1"/>
  <c r="J145" i="1"/>
  <c r="F145" i="1" s="1"/>
  <c r="G145" i="1"/>
  <c r="F12" i="5" a="1"/>
  <c r="F12" i="5" s="1"/>
  <c r="G285" i="1"/>
  <c r="J285" i="1"/>
  <c r="F285" i="1" s="1"/>
  <c r="G286" i="1"/>
  <c r="J286" i="1"/>
  <c r="E286" i="1"/>
  <c r="H145" i="1" l="1"/>
  <c r="F286" i="1"/>
  <c r="H286" i="1" s="1"/>
  <c r="H28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8" i="1"/>
  <c r="Q25" i="6" l="1"/>
  <c r="F25" i="6" s="1"/>
  <c r="G61" i="1" l="1"/>
  <c r="J61" i="1"/>
  <c r="F61" i="1" s="1"/>
  <c r="H61" i="1" l="1"/>
  <c r="J117" i="1"/>
  <c r="F117" i="1" s="1"/>
  <c r="G117" i="1"/>
  <c r="K28" i="1"/>
  <c r="H117" i="1" l="1"/>
  <c r="G97" i="1"/>
  <c r="J97" i="1"/>
  <c r="F97" i="1" s="1"/>
  <c r="H97" i="1" l="1"/>
  <c r="J56" i="1"/>
  <c r="F56" i="1" s="1"/>
  <c r="G58" i="1" l="1"/>
  <c r="J58" i="1"/>
  <c r="F58" i="1" s="1"/>
  <c r="H58" i="1" l="1"/>
  <c r="G22" i="1"/>
  <c r="F22" i="1"/>
  <c r="H22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8" i="1"/>
  <c r="J98" i="1"/>
  <c r="F98" i="1" s="1"/>
  <c r="G59" i="1"/>
  <c r="J59" i="1"/>
  <c r="F59" i="1" s="1"/>
  <c r="G93" i="1"/>
  <c r="J93" i="1"/>
  <c r="F93" i="1" s="1"/>
  <c r="H98" i="1" l="1"/>
  <c r="H41" i="1"/>
  <c r="H40" i="1"/>
  <c r="H59" i="1"/>
  <c r="H93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6" i="1" l="1"/>
  <c r="G16" i="1"/>
  <c r="G94" i="1" l="1"/>
  <c r="J94" i="1"/>
  <c r="F94" i="1" s="1"/>
  <c r="H94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7" i="1"/>
  <c r="F7" i="1" s="1"/>
  <c r="G7" i="1"/>
  <c r="H7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6" i="1"/>
  <c r="H16" i="1" s="1"/>
  <c r="B6" i="1" l="1"/>
  <c r="B7" i="1" s="1"/>
  <c r="F45" i="1"/>
  <c r="H45" i="1" s="1"/>
  <c r="B8" i="1" l="1"/>
  <c r="B9" i="1" s="1"/>
  <c r="H55" i="1"/>
  <c r="J39" i="1"/>
  <c r="F39" i="1" s="1"/>
  <c r="G39" i="1"/>
  <c r="G29" i="1"/>
  <c r="J29" i="1"/>
  <c r="F29" i="1" s="1"/>
  <c r="G11" i="1"/>
  <c r="J11" i="1"/>
  <c r="F11" i="1" s="1"/>
  <c r="G10" i="1"/>
  <c r="J10" i="1"/>
  <c r="F10" i="1" s="1"/>
  <c r="H39" i="1" l="1"/>
  <c r="H11" i="1"/>
  <c r="H10" i="1"/>
  <c r="G32" i="1"/>
  <c r="J32" i="1"/>
  <c r="F32" i="1" s="1"/>
  <c r="H32" i="1" l="1"/>
  <c r="H29" i="1" l="1"/>
  <c r="G31" i="1"/>
  <c r="J31" i="1"/>
  <c r="F31" i="1" s="1" a="1"/>
  <c r="F31" i="1" s="1"/>
  <c r="G23" i="1"/>
  <c r="J23" i="1"/>
  <c r="F23" i="1" s="1"/>
  <c r="H31" i="1" l="1"/>
  <c r="H23" i="1"/>
  <c r="G34" i="1"/>
  <c r="J34" i="1"/>
  <c r="F34" i="1" s="1"/>
  <c r="H34" i="1" l="1"/>
  <c r="G35" i="1"/>
  <c r="J35" i="1" l="1"/>
  <c r="G183" i="1" l="1"/>
  <c r="J183" i="1"/>
  <c r="F183" i="1" s="1"/>
  <c r="J95" i="1"/>
  <c r="F95" i="1" s="1"/>
  <c r="G95" i="1"/>
  <c r="G118" i="1"/>
  <c r="J118" i="1"/>
  <c r="F118" i="1" s="1"/>
  <c r="H183" i="1" l="1"/>
  <c r="H118" i="1"/>
  <c r="H95" i="1"/>
  <c r="J28" i="1"/>
  <c r="F28" i="1" s="1"/>
  <c r="H28" i="1" s="1"/>
  <c r="J27" i="1"/>
  <c r="F27" i="1" s="1"/>
  <c r="H27" i="1" s="1"/>
  <c r="G25" i="1"/>
  <c r="G24" i="1"/>
  <c r="J24" i="1"/>
  <c r="J25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1" i="1" l="1"/>
  <c r="B12" i="1" s="1"/>
  <c r="H43" i="1"/>
  <c r="J30" i="1"/>
  <c r="F30" i="1" s="1"/>
  <c r="G30" i="1"/>
  <c r="J21" i="1"/>
  <c r="H30" i="1" l="1"/>
  <c r="J26" i="1"/>
  <c r="F26" i="1" s="1"/>
  <c r="J18" i="1" l="1"/>
  <c r="J15" i="1" l="1"/>
  <c r="F15" i="1" s="1"/>
  <c r="G12" i="1" l="1"/>
  <c r="G17" i="1" l="1"/>
  <c r="J17" i="1"/>
  <c r="F17" i="1" s="1"/>
  <c r="J12" i="1" l="1"/>
  <c r="F12" i="1" l="1"/>
  <c r="F25" i="1" l="1"/>
  <c r="F24" i="1"/>
  <c r="K25" i="1"/>
  <c r="K2" i="1" s="1"/>
  <c r="G19" i="1" l="1"/>
  <c r="F35" i="1"/>
  <c r="J19" i="1"/>
  <c r="F19" i="1" s="1"/>
  <c r="H19" i="1" l="1"/>
  <c r="G195" i="1"/>
  <c r="J195" i="1"/>
  <c r="F195" i="1" s="1"/>
  <c r="G64" i="1"/>
  <c r="J64" i="1"/>
  <c r="F64" i="1" s="1"/>
  <c r="H64" i="1" l="1"/>
  <c r="H195" i="1"/>
  <c r="J20" i="1"/>
  <c r="F20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8" i="1" l="1"/>
  <c r="G62" i="1" l="1"/>
  <c r="J62" i="1"/>
  <c r="F62" i="1" s="1"/>
  <c r="H62" i="1" l="1"/>
  <c r="G182" i="1"/>
  <c r="F182" i="1"/>
  <c r="H182" i="1" l="1"/>
  <c r="H51" i="1" l="1"/>
  <c r="G96" i="1"/>
  <c r="F96" i="1"/>
  <c r="G180" i="1"/>
  <c r="F180" i="1"/>
  <c r="F21" i="1"/>
  <c r="G21" i="1"/>
  <c r="H96" i="1" l="1"/>
  <c r="H180" i="1"/>
  <c r="H21" i="1"/>
  <c r="G44" i="1"/>
  <c r="H44" i="1" s="1"/>
  <c r="G206" i="1"/>
  <c r="F206" i="1"/>
  <c r="H35" i="1" l="1"/>
  <c r="H206" i="1"/>
  <c r="G56" i="1"/>
  <c r="G20" i="1"/>
  <c r="H56" i="1" l="1"/>
  <c r="H20" i="1"/>
  <c r="F8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6" i="1"/>
  <c r="G18" i="1"/>
  <c r="F18" i="1"/>
  <c r="G15" i="1"/>
  <c r="H5" i="1"/>
  <c r="H8" i="1"/>
  <c r="H26" i="1" l="1"/>
  <c r="H211" i="1"/>
  <c r="H25" i="1"/>
  <c r="H12" i="1"/>
  <c r="H210" i="1"/>
  <c r="H212" i="1"/>
  <c r="H18" i="1"/>
  <c r="H207" i="1"/>
  <c r="H24" i="1"/>
  <c r="H208" i="1"/>
  <c r="H15" i="1"/>
  <c r="H203" i="1"/>
  <c r="H205" i="1"/>
  <c r="H14" i="1"/>
  <c r="H17" i="1"/>
  <c r="H209" i="1"/>
  <c r="H4" i="1" l="1"/>
  <c r="B3" i="5" l="1"/>
  <c r="B13" i="1" l="1"/>
  <c r="B16" i="1" s="1"/>
  <c r="B17" i="1" s="1"/>
  <c r="B18" i="1" s="1"/>
  <c r="B19" i="1" s="1"/>
  <c r="B20" i="1" s="1"/>
  <c r="B21" i="1" s="1"/>
  <c r="B22" i="1" s="1"/>
  <c r="B23" i="1" s="1"/>
  <c r="B24" i="1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A25" i="4" l="1"/>
  <c r="B37" i="1"/>
  <c r="B38" i="1" l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4" i="5"/>
  <c r="B58" i="1" l="1"/>
  <c r="B59" i="1" s="1"/>
  <c r="B60" i="1" s="1"/>
  <c r="B61" i="1" s="1"/>
  <c r="B62" i="1" s="1"/>
  <c r="B8" i="5"/>
  <c r="B9" i="5" s="1"/>
  <c r="B63" i="1" l="1"/>
  <c r="B64" i="1" s="1"/>
  <c r="A26" i="4"/>
  <c r="B65" i="1" l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10" i="5" l="1"/>
  <c r="B78" i="1"/>
  <c r="B79" i="1" s="1"/>
  <c r="A27" i="4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l="1"/>
  <c r="B177" i="1" s="1"/>
  <c r="A28" i="4"/>
  <c r="B108" i="1" l="1"/>
  <c r="B109" i="1" s="1"/>
  <c r="B110" i="1" s="1"/>
  <c r="B111" i="1" s="1"/>
  <c r="B112" i="1" s="1"/>
  <c r="A29" i="4" l="1"/>
  <c r="B113" i="1"/>
  <c r="B114" i="1" s="1"/>
  <c r="B115" i="1" s="1"/>
  <c r="A30" i="4" l="1"/>
  <c r="B116" i="1" s="1"/>
  <c r="B117" i="1" s="1"/>
  <c r="B118" i="1" s="1"/>
  <c r="B119" i="1" s="1"/>
  <c r="B120" i="1" s="1"/>
  <c r="B121" i="1" s="1"/>
  <c r="B122" i="1" s="1"/>
  <c r="A31" i="4"/>
  <c r="B123" i="1" l="1"/>
  <c r="B124" i="1" s="1"/>
  <c r="B125" i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A32" i="4"/>
  <c r="B138" i="1" l="1"/>
  <c r="B139" i="1" s="1"/>
  <c r="B140" i="1" s="1"/>
  <c r="B141" i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l="1"/>
  <c r="B154" i="1" s="1"/>
  <c r="A33" i="4"/>
  <c r="B155" i="1" s="1"/>
  <c r="B156" i="1" s="1"/>
  <c r="B157" i="1" s="1"/>
  <c r="B92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l="1"/>
  <c r="B205" i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l="1"/>
  <c r="A35" i="4"/>
  <c r="B312" i="1" s="1"/>
  <c r="B313" i="1" s="1"/>
  <c r="B314" i="1" s="1"/>
  <c r="B315" i="1" s="1"/>
  <c r="B316" i="1" s="1"/>
  <c r="B317" i="1" s="1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<sst xmlns="http://schemas.openxmlformats.org/spreadsheetml/2006/main" count="1647" uniqueCount="1145">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</sst>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102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103" Type="http://schemas.openxmlformats.org/officeDocument/2006/relationships/calcChain" Target="calcChain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9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tyles" Target="styles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externalLink" Target="externalLinks/externalLink91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3"/>
  <sheetViews>
    <sheetView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72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906686.73824400001</v>
      </c>
      <c r="G4" s="6">
        <f>+[1]Main!$J$5-[1]Main!$J$6</f>
        <v>-20548</v>
      </c>
      <c r="H4" s="6">
        <f t="shared" ref="H4:H22" si="0">F4-G4</f>
        <v>927234.73824400001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t="s">
        <v>341</v>
      </c>
      <c r="B5" s="1">
        <v>2</v>
      </c>
      <c r="C5" s="5" t="s">
        <v>26</v>
      </c>
      <c r="D5" s="1" t="s">
        <v>27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1070</v>
      </c>
      <c r="J5" s="6">
        <f>+[2]Main!$J$3</f>
        <v>4471</v>
      </c>
      <c r="K5" s="9">
        <v>45460</v>
      </c>
      <c r="AC5" s="1">
        <v>1923</v>
      </c>
    </row>
    <row r="6" spans="1:30" x14ac:dyDescent="0.2">
      <c r="A6" t="s">
        <v>341</v>
      </c>
      <c r="B6" s="1">
        <f>+B5</f>
        <v>2</v>
      </c>
      <c r="C6" s="5" t="s">
        <v>26</v>
      </c>
      <c r="D6" t="s">
        <v>324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v>45460</v>
      </c>
      <c r="AC6" s="39" t="s">
        <v>1098</v>
      </c>
    </row>
    <row r="7" spans="1:30" x14ac:dyDescent="0.2">
      <c r="A7" s="1" t="s">
        <v>341</v>
      </c>
      <c r="B7" s="1">
        <f>B6+1</f>
        <v>3</v>
      </c>
      <c r="C7" s="5" t="s">
        <v>17</v>
      </c>
      <c r="D7" s="1" t="s">
        <v>18</v>
      </c>
      <c r="E7" s="7">
        <v>195.73</v>
      </c>
      <c r="F7" s="6">
        <f>+E7*J7</f>
        <v>345633.30077512999</v>
      </c>
      <c r="G7" s="6">
        <f>+[3]Main!$K$5-[3]Main!$K$6</f>
        <v>-55627</v>
      </c>
      <c r="H7" s="6">
        <f>F7-G7</f>
        <v>401260.30077512999</v>
      </c>
      <c r="I7" s="3" t="s">
        <v>662</v>
      </c>
      <c r="J7" s="6">
        <f>+[3]Main!$K$3</f>
        <v>1765.8677809999999</v>
      </c>
      <c r="K7" s="9">
        <v>45505</v>
      </c>
      <c r="L7" s="9"/>
      <c r="M7" s="9"/>
      <c r="N7" s="9"/>
      <c r="O7" s="9"/>
      <c r="P7" s="9"/>
    </row>
    <row r="8" spans="1:30" x14ac:dyDescent="0.2">
      <c r="A8" s="1" t="s">
        <v>341</v>
      </c>
      <c r="B8" s="1">
        <f>+B7+1</f>
        <v>4</v>
      </c>
      <c r="C8" s="5" t="s">
        <v>14</v>
      </c>
      <c r="D8" s="1" t="s">
        <v>15</v>
      </c>
      <c r="E8" s="7">
        <v>161.28</v>
      </c>
      <c r="F8" s="6">
        <f>E8*[4]Main!$Q$3</f>
        <v>391910.40000000002</v>
      </c>
      <c r="G8" s="6">
        <f>+[4]Main!$Q$5-[4]Main!$Q$6</f>
        <v>-7414</v>
      </c>
      <c r="H8" s="6">
        <f>F8-G8</f>
        <v>399324.4</v>
      </c>
      <c r="I8" s="3" t="s">
        <v>1070</v>
      </c>
      <c r="J8" s="6">
        <f>+[4]Main!$Q$3</f>
        <v>2430</v>
      </c>
      <c r="K8" s="9">
        <v>45453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+B8+1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+B9+1</f>
        <v>6</v>
      </c>
      <c r="C10" s="5" t="s">
        <v>38</v>
      </c>
      <c r="D10" s="1" t="s">
        <v>39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307</v>
      </c>
      <c r="J10" s="6">
        <f>+[6]Main!$K$3</f>
        <v>1560</v>
      </c>
      <c r="K10" s="9">
        <v>45524</v>
      </c>
    </row>
    <row r="11" spans="1:30" x14ac:dyDescent="0.2">
      <c r="A11" t="s">
        <v>341</v>
      </c>
      <c r="B11" s="1">
        <f>+B10</f>
        <v>6</v>
      </c>
      <c r="C11" s="5" t="s">
        <v>38</v>
      </c>
      <c r="D11" s="1" t="s">
        <v>425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">
        <v>307</v>
      </c>
      <c r="J11" s="6">
        <f>+[6]Main!$K$3</f>
        <v>1560</v>
      </c>
      <c r="K11" s="9">
        <v>45524</v>
      </c>
    </row>
    <row r="12" spans="1:30" x14ac:dyDescent="0.2">
      <c r="A12" t="s">
        <v>341</v>
      </c>
      <c r="B12" s="1">
        <f>+B11+1</f>
        <v>7</v>
      </c>
      <c r="C12" s="5" t="s">
        <v>30</v>
      </c>
      <c r="D12" s="1" t="s">
        <v>31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1101</v>
      </c>
      <c r="J12" s="6">
        <f>+[7]Main!$K$3</f>
        <v>2046</v>
      </c>
      <c r="K12" s="9">
        <v>45526</v>
      </c>
    </row>
    <row r="13" spans="1:30" x14ac:dyDescent="0.2">
      <c r="A13" t="s">
        <v>341</v>
      </c>
      <c r="B13" s="1">
        <f>+B12</f>
        <v>7</v>
      </c>
      <c r="C13" s="5" t="s">
        <v>30</v>
      </c>
      <c r="D13" t="s">
        <v>430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1101</v>
      </c>
      <c r="J13" s="6">
        <f>+[7]Main!$K$3</f>
        <v>2046</v>
      </c>
      <c r="K13" s="9">
        <f>+K12</f>
        <v>45526</v>
      </c>
    </row>
    <row r="14" spans="1:30" x14ac:dyDescent="0.2">
      <c r="A14" t="s">
        <v>341</v>
      </c>
      <c r="B14" s="1">
        <f t="shared" ref="B14:B24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23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 t="s">
        <v>341</v>
      </c>
      <c r="B15" s="1">
        <f t="shared" si="2"/>
        <v>9</v>
      </c>
      <c r="C15" s="5" t="s">
        <v>34</v>
      </c>
      <c r="D15" s="1" t="s">
        <v>35</v>
      </c>
      <c r="E15" s="7">
        <v>326</v>
      </c>
      <c r="F15" s="6">
        <f>+E15*J15</f>
        <v>175714</v>
      </c>
      <c r="G15" s="6">
        <f>[9]Main!$J$5-[9]Main!$J$6</f>
        <v>-29600</v>
      </c>
      <c r="H15" s="6">
        <f t="shared" si="1"/>
        <v>205314</v>
      </c>
      <c r="I15" s="3" t="s">
        <v>307</v>
      </c>
      <c r="J15" s="6">
        <f>+[9]Main!$J$3</f>
        <v>539</v>
      </c>
      <c r="K15" s="9">
        <v>45524</v>
      </c>
    </row>
    <row r="16" spans="1:30" x14ac:dyDescent="0.2">
      <c r="A16" t="s">
        <v>341</v>
      </c>
      <c r="B16" s="1">
        <f t="shared" si="2"/>
        <v>10</v>
      </c>
      <c r="C16" s="5" t="s">
        <v>24</v>
      </c>
      <c r="D16" s="1" t="s">
        <v>25</v>
      </c>
      <c r="E16" s="7">
        <v>28.72</v>
      </c>
      <c r="F16" s="6">
        <f>+J16*E16</f>
        <v>164220.96</v>
      </c>
      <c r="G16" s="6">
        <f>+[10]Main!$K$5-[10]Main!$K$6</f>
        <v>13342</v>
      </c>
      <c r="H16" s="6">
        <f t="shared" si="0"/>
        <v>150878.96</v>
      </c>
      <c r="I16" s="3" t="s">
        <v>427</v>
      </c>
      <c r="J16" s="6">
        <f>+[10]Main!$K$3</f>
        <v>5718</v>
      </c>
      <c r="K16" s="9">
        <v>45525</v>
      </c>
      <c r="L16" s="9"/>
      <c r="M16" s="9"/>
      <c r="N16" s="9"/>
      <c r="O16" s="9"/>
      <c r="P16" s="9"/>
    </row>
    <row r="17" spans="1:29" x14ac:dyDescent="0.2">
      <c r="A17" t="s">
        <v>341</v>
      </c>
      <c r="B17" s="1">
        <f t="shared" si="2"/>
        <v>11</v>
      </c>
      <c r="C17" s="5" t="s">
        <v>32</v>
      </c>
      <c r="D17" s="1" t="s">
        <v>33</v>
      </c>
      <c r="E17" s="3">
        <v>47.21</v>
      </c>
      <c r="F17" s="6">
        <f>+E17*J17</f>
        <v>95713.326353380005</v>
      </c>
      <c r="G17" s="6">
        <f>+[11]Main!$K$5-[11]Main!$K$6</f>
        <v>-45379</v>
      </c>
      <c r="H17" s="6">
        <f t="shared" si="0"/>
        <v>141092.32635337999</v>
      </c>
      <c r="I17" s="3" t="s">
        <v>1101</v>
      </c>
      <c r="J17" s="6">
        <f>+[11]Main!$K$3</f>
        <v>2027.395178</v>
      </c>
      <c r="K17" s="9">
        <v>45523</v>
      </c>
    </row>
    <row r="18" spans="1:29" x14ac:dyDescent="0.2">
      <c r="A18" t="s">
        <v>341</v>
      </c>
      <c r="B18" s="1">
        <f t="shared" si="2"/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-13530.900000000001</v>
      </c>
      <c r="H18" s="6">
        <f t="shared" si="0"/>
        <v>136629.30000000002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 t="shared" si="2"/>
        <v>13</v>
      </c>
      <c r="C19" s="5" t="s">
        <v>52</v>
      </c>
      <c r="D19" s="1" t="s">
        <v>53</v>
      </c>
      <c r="E19" s="7">
        <v>1187.72</v>
      </c>
      <c r="F19" s="6">
        <f>+E19*J19</f>
        <v>129848.12086703999</v>
      </c>
      <c r="G19" s="6">
        <f>+[13]Main!$J$5-[13]Main!$J$6</f>
        <v>12353.3</v>
      </c>
      <c r="H19" s="6">
        <f>F19-G19</f>
        <v>117494.82086703999</v>
      </c>
      <c r="I19" s="3" t="s">
        <v>528</v>
      </c>
      <c r="J19" s="6">
        <f>+[13]Main!$J$3</f>
        <v>109.325532</v>
      </c>
      <c r="K19" s="9">
        <v>44989</v>
      </c>
    </row>
    <row r="20" spans="1:29" x14ac:dyDescent="0.2">
      <c r="A20" t="s">
        <v>341</v>
      </c>
      <c r="B20" s="1">
        <f t="shared" si="2"/>
        <v>14</v>
      </c>
      <c r="C20" s="5" t="s">
        <v>46</v>
      </c>
      <c r="D20" s="1" t="s">
        <v>47</v>
      </c>
      <c r="E20" s="7">
        <v>75.81</v>
      </c>
      <c r="F20" s="6">
        <f>+E20*J20</f>
        <v>94610.880000000005</v>
      </c>
      <c r="G20" s="6">
        <f>+[14]Main!$J$5-[14]Main!$J$6</f>
        <v>-18040</v>
      </c>
      <c r="H20" s="6">
        <f t="shared" si="0"/>
        <v>112650.88</v>
      </c>
      <c r="I20" s="3" t="s">
        <v>427</v>
      </c>
      <c r="J20" s="6">
        <f>+[14]Main!$J$3</f>
        <v>1248</v>
      </c>
      <c r="K20" s="9">
        <v>45525</v>
      </c>
    </row>
    <row r="21" spans="1:29" x14ac:dyDescent="0.2">
      <c r="A21" t="s">
        <v>341</v>
      </c>
      <c r="B21" s="1">
        <f t="shared" si="2"/>
        <v>15</v>
      </c>
      <c r="C21" s="5" t="s">
        <v>48</v>
      </c>
      <c r="D21" s="1" t="s">
        <v>49</v>
      </c>
      <c r="E21" s="7">
        <v>482.41</v>
      </c>
      <c r="F21" s="6">
        <f>+E21*[15]Main!$M$3</f>
        <v>124487.53442267</v>
      </c>
      <c r="G21" s="6">
        <f>+[15]Main!$M$5-[15]Main!$M$6</f>
        <v>14552.699999999999</v>
      </c>
      <c r="H21" s="6">
        <f t="shared" si="0"/>
        <v>109934.83442267</v>
      </c>
      <c r="I21" s="3" t="s">
        <v>1070</v>
      </c>
      <c r="J21" s="6">
        <f>+[15]Main!$M$3</f>
        <v>258.05338699999999</v>
      </c>
      <c r="K21" s="9">
        <v>45435</v>
      </c>
    </row>
    <row r="22" spans="1:29" x14ac:dyDescent="0.2">
      <c r="A22" t="s">
        <v>341</v>
      </c>
      <c r="B22" s="1">
        <f t="shared" si="2"/>
        <v>16</v>
      </c>
      <c r="C22" s="5" t="s">
        <v>43</v>
      </c>
      <c r="D22" s="1" t="s">
        <v>44</v>
      </c>
      <c r="E22" s="15">
        <v>184</v>
      </c>
      <c r="F22" s="6">
        <f>+E22*J22</f>
        <v>80040</v>
      </c>
      <c r="G22" s="6">
        <f>([16]Main!$J$5-[16]Main!$J$6)*EUR</f>
        <v>-10099.890000000001</v>
      </c>
      <c r="H22" s="6">
        <f t="shared" si="0"/>
        <v>90139.89</v>
      </c>
      <c r="I22" s="3" t="s">
        <v>427</v>
      </c>
      <c r="J22" s="3">
        <v>435</v>
      </c>
      <c r="K22" s="9">
        <v>44984</v>
      </c>
    </row>
    <row r="23" spans="1:29" x14ac:dyDescent="0.2">
      <c r="A23" t="s">
        <v>341</v>
      </c>
      <c r="B23" s="1">
        <f t="shared" si="2"/>
        <v>17</v>
      </c>
      <c r="C23" s="5" t="s">
        <v>260</v>
      </c>
      <c r="D23" t="s">
        <v>261</v>
      </c>
      <c r="E23" s="15">
        <v>53.42</v>
      </c>
      <c r="F23" s="6">
        <f>+E23*J23*EUR</f>
        <v>58253.772804000007</v>
      </c>
      <c r="G23" s="6">
        <f>([17]Main!$J$5-[17]Main!$J$6)</f>
        <v>-36077</v>
      </c>
      <c r="H23" s="6">
        <f>+F23-G23</f>
        <v>94330.772804000007</v>
      </c>
      <c r="I23" s="3" t="s">
        <v>662</v>
      </c>
      <c r="J23" s="6">
        <f>+[17]Main!$J$3</f>
        <v>982.42</v>
      </c>
      <c r="K23" s="9">
        <v>45076</v>
      </c>
    </row>
    <row r="24" spans="1:29" x14ac:dyDescent="0.2">
      <c r="A24" t="s">
        <v>341</v>
      </c>
      <c r="B24" s="1">
        <f t="shared" si="2"/>
        <v>18</v>
      </c>
      <c r="C24" s="5" t="s">
        <v>40</v>
      </c>
      <c r="D24" s="1" t="s">
        <v>41</v>
      </c>
      <c r="E24" s="7">
        <v>41</v>
      </c>
      <c r="F24" s="6">
        <f>+E24*J24/2</f>
        <v>83414.5</v>
      </c>
      <c r="G24" s="6">
        <f>+[18]Main!$J$6-[18]Main!$J$7</f>
        <v>-14961</v>
      </c>
      <c r="H24" s="6">
        <f>F24-G24</f>
        <v>98375.5</v>
      </c>
      <c r="I24" s="3" t="s">
        <v>307</v>
      </c>
      <c r="J24" s="6">
        <f>+[18]Main!$J$4</f>
        <v>4069</v>
      </c>
      <c r="K24" s="9">
        <v>44987</v>
      </c>
    </row>
    <row r="25" spans="1:29" x14ac:dyDescent="0.2">
      <c r="A25" t="s">
        <v>341</v>
      </c>
      <c r="B25" s="1">
        <f>+B24</f>
        <v>18</v>
      </c>
      <c r="C25" s="5" t="s">
        <v>40</v>
      </c>
      <c r="D25" s="1" t="s">
        <v>42</v>
      </c>
      <c r="E25" s="16">
        <v>1598</v>
      </c>
      <c r="F25" s="6">
        <f>+E25*J25/100*GBP</f>
        <v>84529.406000000003</v>
      </c>
      <c r="G25" s="6">
        <f>+[18]Main!$J$6-[18]Main!$J$7</f>
        <v>-14961</v>
      </c>
      <c r="H25" s="6">
        <f>F25-G25</f>
        <v>99490.406000000003</v>
      </c>
      <c r="I25" s="3" t="s">
        <v>307</v>
      </c>
      <c r="J25" s="6">
        <f>+J24</f>
        <v>4069</v>
      </c>
      <c r="K25" s="9">
        <f>+K24</f>
        <v>44987</v>
      </c>
    </row>
    <row r="26" spans="1:29" x14ac:dyDescent="0.2">
      <c r="A26" t="s">
        <v>341</v>
      </c>
      <c r="B26" s="1">
        <f>+B25+1</f>
        <v>19</v>
      </c>
      <c r="C26" s="5" t="s">
        <v>45</v>
      </c>
      <c r="D26" s="1" t="s">
        <v>429</v>
      </c>
      <c r="E26" s="7">
        <v>255.99</v>
      </c>
      <c r="F26" s="6">
        <f>+E26*J26*AUD</f>
        <v>80631.350300600418</v>
      </c>
      <c r="G26" s="6">
        <f>[19]Main!$J$5-[19]Main!$J$6</f>
        <v>778.60000000000036</v>
      </c>
      <c r="H26" s="6">
        <f>F26-G26</f>
        <v>79852.750300600412</v>
      </c>
      <c r="I26" s="3" t="s">
        <v>307</v>
      </c>
      <c r="J26" s="6">
        <f>+[19]Main!$J$3</f>
        <v>470.117188</v>
      </c>
      <c r="K26" s="9">
        <v>45079</v>
      </c>
    </row>
    <row r="27" spans="1:29" x14ac:dyDescent="0.2">
      <c r="A27" t="s">
        <v>341</v>
      </c>
      <c r="B27" s="1">
        <f>+B26+1</f>
        <v>20</v>
      </c>
      <c r="C27" s="5" t="s">
        <v>62</v>
      </c>
      <c r="D27" s="1" t="s">
        <v>63</v>
      </c>
      <c r="E27" s="3">
        <v>13.18</v>
      </c>
      <c r="F27" s="6">
        <f>+E27*2*J27</f>
        <v>40905.674696000002</v>
      </c>
      <c r="G27" s="6">
        <f>([20]Main!$K$6-[20]Main!$K$7)/JPY</f>
        <v>-28706.271944922548</v>
      </c>
      <c r="H27" s="6">
        <f>+F27-G27</f>
        <v>69611.946640922542</v>
      </c>
      <c r="I27" s="3" t="s">
        <v>662</v>
      </c>
      <c r="J27" s="6">
        <f>+[20]Main!$K$4</f>
        <v>1551.8086000000001</v>
      </c>
      <c r="K27" s="9">
        <v>45067</v>
      </c>
    </row>
    <row r="28" spans="1:29" x14ac:dyDescent="0.2">
      <c r="A28" t="s">
        <v>341</v>
      </c>
      <c r="B28" s="1">
        <f>+B27</f>
        <v>20</v>
      </c>
      <c r="C28" s="5" t="s">
        <v>62</v>
      </c>
      <c r="D28" s="1" t="s">
        <v>342</v>
      </c>
      <c r="E28" s="17">
        <v>4470</v>
      </c>
      <c r="F28" s="6">
        <f>+E28*J28/JPY</f>
        <v>47756.175160068851</v>
      </c>
      <c r="G28" s="6">
        <f>([20]Main!$K$6-[20]Main!$K$7)/JPY</f>
        <v>-28706.271944922548</v>
      </c>
      <c r="H28" s="6">
        <f>+F28-G28</f>
        <v>76462.447104991399</v>
      </c>
      <c r="I28" s="3" t="s">
        <v>662</v>
      </c>
      <c r="J28" s="6">
        <f>+[20]Main!$K$4</f>
        <v>1551.8086000000001</v>
      </c>
      <c r="K28" s="9">
        <f>K27</f>
        <v>45067</v>
      </c>
    </row>
    <row r="29" spans="1:29" x14ac:dyDescent="0.2">
      <c r="A29" s="1" t="s">
        <v>341</v>
      </c>
      <c r="B29" s="1">
        <f>+B19+1</f>
        <v>14</v>
      </c>
      <c r="C29" s="5" t="s">
        <v>84</v>
      </c>
      <c r="D29" s="1" t="s">
        <v>85</v>
      </c>
      <c r="E29" s="17">
        <v>4150</v>
      </c>
      <c r="F29" s="6">
        <f>+E29*J29/JPY</f>
        <v>54772.417314285711</v>
      </c>
      <c r="G29" s="6">
        <f>([21]Main!$M$5-[21]Main!$M$6)</f>
        <v>780.00599999999986</v>
      </c>
      <c r="H29" s="6">
        <f>+F29-G29</f>
        <v>53992.41131428571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ref="B30:B40" si="3">+B29+1</f>
        <v>15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3"/>
        <v>16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3"/>
        <v>17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3"/>
        <v>18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3"/>
        <v>19</v>
      </c>
      <c r="C34" s="14" t="s">
        <v>56</v>
      </c>
      <c r="D34" s="1" t="s">
        <v>57</v>
      </c>
      <c r="E34" s="17">
        <v>3626</v>
      </c>
      <c r="F34" s="6">
        <f>+E34*J34/JPY</f>
        <v>41067.256286843374</v>
      </c>
      <c r="G34" s="6">
        <f>([26]Main!$J$5-[26]Main!$J$6)/JPY</f>
        <v>3766.7263339070569</v>
      </c>
      <c r="H34" s="6">
        <f>+F34-G34</f>
        <v>37300.529952936318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3"/>
        <v>20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3"/>
        <v>21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3"/>
        <v>22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3"/>
        <v>23</v>
      </c>
      <c r="C38" s="5" t="s">
        <v>82</v>
      </c>
      <c r="D38" s="1" t="s">
        <v>83</v>
      </c>
      <c r="E38" s="17">
        <v>1978</v>
      </c>
      <c r="F38" s="6">
        <f>+E38*J38/JPY</f>
        <v>24820.161886402755</v>
      </c>
      <c r="G38" s="6">
        <f>([30]Main!$K$5-[30]Main!$K$6)/JPY</f>
        <v>1427.0981067125645</v>
      </c>
      <c r="H38" s="6">
        <f>+F38-G38</f>
        <v>23393.06377969019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3"/>
        <v>24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4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3"/>
        <v>25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3568.2563338301043</v>
      </c>
      <c r="H40" s="6">
        <f t="shared" si="4"/>
        <v>22059.083148769896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25</v>
      </c>
      <c r="C41" s="5" t="s">
        <v>60</v>
      </c>
      <c r="D41" t="s">
        <v>525</v>
      </c>
      <c r="E41" s="6">
        <v>2703</v>
      </c>
      <c r="F41" s="6">
        <f>+E41*J41/DKK</f>
        <v>26518.114641728764</v>
      </c>
      <c r="G41" s="6">
        <f>([32]Main!$K$7-[32]Main!$K$8)/DKK</f>
        <v>3568.2563338301043</v>
      </c>
      <c r="H41" s="6">
        <f t="shared" si="4"/>
        <v>22949.858307898659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26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4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27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28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4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5">B44+1</f>
        <v>29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4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5"/>
        <v>30</v>
      </c>
      <c r="C46" s="5" t="s">
        <v>279</v>
      </c>
      <c r="D46" t="s">
        <v>280</v>
      </c>
      <c r="E46" s="17">
        <v>8704</v>
      </c>
      <c r="F46" s="6">
        <f>+E46*J46/JPY</f>
        <v>17183.044296041306</v>
      </c>
      <c r="H46" s="6">
        <f>F46-G46</f>
        <v>17183.044296041306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5"/>
        <v>31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5"/>
        <v>32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4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5"/>
        <v>33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5"/>
        <v>34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5"/>
        <v>35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6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5"/>
        <v>36</v>
      </c>
      <c r="C52" s="5" t="s">
        <v>68</v>
      </c>
      <c r="D52" s="1" t="s">
        <v>69</v>
      </c>
      <c r="E52" s="17">
        <v>4360</v>
      </c>
      <c r="F52" s="6">
        <f>+E52*J52/JPY</f>
        <v>16285.240837452668</v>
      </c>
      <c r="G52" s="6">
        <f>([42]Main!$L$5-[42]Main!$L$6)/JPY</f>
        <v>5497.5834767642</v>
      </c>
      <c r="H52" s="6">
        <f t="shared" si="6"/>
        <v>10787.657360688467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5"/>
        <v>37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6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5"/>
        <v>38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5"/>
        <v>39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6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5"/>
        <v>40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5"/>
        <v>41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6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5"/>
        <v>42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-817.5150000000001</v>
      </c>
      <c r="H58" s="6">
        <f>+F58-G58</f>
        <v>8921.1147949999995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5"/>
        <v>43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5"/>
        <v>44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6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5"/>
        <v>45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5"/>
        <v>46</v>
      </c>
      <c r="C62" s="5" t="s">
        <v>302</v>
      </c>
      <c r="D62" t="s">
        <v>303</v>
      </c>
      <c r="E62" s="22">
        <v>1721.48</v>
      </c>
      <c r="F62" s="6">
        <f>+E62*J62/100*GBP</f>
        <v>5214.3629200000005</v>
      </c>
      <c r="G62" s="6">
        <f>+[51]Main!$K$5-[51]Main!$K$6</f>
        <v>-337</v>
      </c>
      <c r="H62" s="6">
        <f>+F62-G62</f>
        <v>5551.3629200000005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5"/>
        <v>47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5"/>
        <v>48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5"/>
        <v>49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5"/>
        <v>50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5"/>
        <v>51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7">B67+1</f>
        <v>52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7"/>
        <v>53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7"/>
        <v>54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7"/>
        <v>55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7"/>
        <v>56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7"/>
        <v>57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7"/>
        <v>58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7"/>
        <v>59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7" si="8">B75+1</f>
        <v>60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8"/>
        <v>61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8"/>
        <v>62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8"/>
        <v>63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8"/>
        <v>64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8"/>
        <v>65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8"/>
        <v>66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8"/>
        <v>67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8"/>
        <v>68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8"/>
        <v>69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8"/>
        <v>70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8"/>
        <v>71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8"/>
        <v>72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8"/>
        <v>73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8"/>
        <v>74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8"/>
        <v>75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8" si="9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s="1" t="s">
        <v>341</v>
      </c>
      <c r="B92" s="1">
        <f>B157+1</f>
        <v>139</v>
      </c>
      <c r="C92" s="5" t="s">
        <v>219</v>
      </c>
      <c r="D92" s="1" t="s">
        <v>220</v>
      </c>
      <c r="E92" s="3">
        <v>10.61</v>
      </c>
      <c r="F92" s="6">
        <f>+E92*J92</f>
        <v>3220.2821819199999</v>
      </c>
      <c r="G92" s="6">
        <f>+[58]Main!$I$5-[58]Main!$I$6</f>
        <v>417.97200000000004</v>
      </c>
      <c r="H92" s="6">
        <f>+F92-G92</f>
        <v>2802.3101819199996</v>
      </c>
      <c r="I92" s="3" t="s">
        <v>1101</v>
      </c>
      <c r="J92" s="6">
        <f>+[58]Main!$I$3</f>
        <v>303.51387199999999</v>
      </c>
      <c r="K92" s="9">
        <v>45525</v>
      </c>
    </row>
    <row r="93" spans="1:11" x14ac:dyDescent="0.2">
      <c r="A93" t="s">
        <v>341</v>
      </c>
      <c r="B93" s="1">
        <f>B91+1</f>
        <v>76</v>
      </c>
      <c r="C93" s="5" t="s">
        <v>114</v>
      </c>
      <c r="D93" s="1" t="s">
        <v>115</v>
      </c>
      <c r="E93" s="3">
        <v>29.12</v>
      </c>
      <c r="F93" s="6">
        <f>+E93*J93</f>
        <v>3086.8866246400003</v>
      </c>
      <c r="G93" s="6">
        <f>+[59]Main!$L$5-[59]Main!$L$6</f>
        <v>482.26800000000003</v>
      </c>
      <c r="H93" s="6">
        <f t="shared" si="9"/>
        <v>2604.6186246400002</v>
      </c>
      <c r="I93" s="3" t="s">
        <v>427</v>
      </c>
      <c r="J93" s="6">
        <f>+[59]Main!$L$3</f>
        <v>106.00572200000001</v>
      </c>
      <c r="K93" s="9">
        <v>44963</v>
      </c>
    </row>
    <row r="94" spans="1:11" x14ac:dyDescent="0.2">
      <c r="A94" t="s">
        <v>341</v>
      </c>
      <c r="B94" s="1">
        <f t="shared" si="8"/>
        <v>77</v>
      </c>
      <c r="C94" s="5" t="s">
        <v>147</v>
      </c>
      <c r="D94" s="1" t="s">
        <v>148</v>
      </c>
      <c r="E94" s="3">
        <v>26.48</v>
      </c>
      <c r="F94" s="6">
        <f>+E94*J94</f>
        <v>2554.6579999999999</v>
      </c>
      <c r="G94" s="6">
        <f>+[60]Main!$J$5-[60]Main!$J$6</f>
        <v>953.38400000000013</v>
      </c>
      <c r="H94" s="6">
        <f t="shared" si="9"/>
        <v>1601.2739999999999</v>
      </c>
      <c r="I94" s="3" t="s">
        <v>450</v>
      </c>
      <c r="J94" s="6">
        <f>+[60]Main!$J$3</f>
        <v>96.474999999999994</v>
      </c>
      <c r="K94" s="9">
        <v>44955</v>
      </c>
    </row>
    <row r="95" spans="1:11" x14ac:dyDescent="0.2">
      <c r="A95" t="s">
        <v>341</v>
      </c>
      <c r="B95" s="1">
        <f t="shared" si="8"/>
        <v>78</v>
      </c>
      <c r="C95" s="5" t="s">
        <v>161</v>
      </c>
      <c r="D95" s="1" t="s">
        <v>162</v>
      </c>
      <c r="E95" s="7">
        <v>46.19</v>
      </c>
      <c r="F95" s="6">
        <f>+E95*J95</f>
        <v>3249.6786968599999</v>
      </c>
      <c r="G95" s="6">
        <f>+[61]Main!$K$5-[61]Main!$K$6</f>
        <v>1178.8610000000001</v>
      </c>
      <c r="H95" s="6">
        <f t="shared" si="9"/>
        <v>2070.8176968600001</v>
      </c>
      <c r="I95" s="3" t="s">
        <v>307</v>
      </c>
      <c r="J95" s="6">
        <f>+[61]Main!$K$3</f>
        <v>70.354594000000006</v>
      </c>
      <c r="K95" s="9">
        <v>44827</v>
      </c>
    </row>
    <row r="96" spans="1:11" x14ac:dyDescent="0.2">
      <c r="A96" t="s">
        <v>341</v>
      </c>
      <c r="B96" s="1">
        <f t="shared" si="8"/>
        <v>79</v>
      </c>
      <c r="C96" s="5" t="s">
        <v>159</v>
      </c>
      <c r="D96" s="1" t="s">
        <v>160</v>
      </c>
      <c r="E96" s="3">
        <v>9.18</v>
      </c>
      <c r="F96" s="6">
        <f>+E96*[62]Main!$N$3</f>
        <v>2859.4049160599998</v>
      </c>
      <c r="G96" s="6">
        <f>+[62]Main!$N$5-[62]Main!$N$6</f>
        <v>869.93499999999995</v>
      </c>
      <c r="H96" s="6">
        <f t="shared" si="9"/>
        <v>1989.4699160599998</v>
      </c>
      <c r="I96" s="3" t="s">
        <v>16</v>
      </c>
    </row>
    <row r="97" spans="1:29" x14ac:dyDescent="0.2">
      <c r="A97" t="s">
        <v>341</v>
      </c>
      <c r="B97" s="1">
        <f t="shared" si="8"/>
        <v>80</v>
      </c>
      <c r="C97" s="5" t="s">
        <v>122</v>
      </c>
      <c r="D97" s="1" t="s">
        <v>123</v>
      </c>
      <c r="E97" s="7">
        <v>47</v>
      </c>
      <c r="F97" s="6">
        <f>E97*J97</f>
        <v>3696.3939130000003</v>
      </c>
      <c r="G97" s="6">
        <f>[63]Main!$N$5-[63]Main!$N$6</f>
        <v>1868.4480000000001</v>
      </c>
      <c r="H97" s="6">
        <f t="shared" si="9"/>
        <v>1827.9459130000002</v>
      </c>
      <c r="I97" s="3" t="s">
        <v>528</v>
      </c>
      <c r="J97" s="6">
        <f>[63]Main!$N$3</f>
        <v>78.646679000000006</v>
      </c>
      <c r="K97" s="9">
        <v>44994</v>
      </c>
    </row>
    <row r="98" spans="1:29" x14ac:dyDescent="0.2">
      <c r="A98" t="s">
        <v>341</v>
      </c>
      <c r="B98" s="1">
        <f t="shared" si="8"/>
        <v>81</v>
      </c>
      <c r="C98" s="5" t="s">
        <v>98</v>
      </c>
      <c r="D98" s="1" t="s">
        <v>99</v>
      </c>
      <c r="E98" s="3">
        <v>20.34</v>
      </c>
      <c r="F98" s="6">
        <f>+E98*J98</f>
        <v>1539.4211638199999</v>
      </c>
      <c r="G98" s="6">
        <f>+[64]Main!$M$5-[64]Main!$M$6</f>
        <v>306.53399999999999</v>
      </c>
      <c r="H98" s="6">
        <f t="shared" si="9"/>
        <v>1232.8871638199998</v>
      </c>
      <c r="I98" s="3" t="s">
        <v>427</v>
      </c>
      <c r="J98" s="6">
        <f>+[64]Main!$M$3</f>
        <v>75.684422999999995</v>
      </c>
      <c r="K98" s="9">
        <v>44963</v>
      </c>
    </row>
    <row r="99" spans="1:29" x14ac:dyDescent="0.2">
      <c r="A99" t="s">
        <v>341</v>
      </c>
      <c r="B99" s="1">
        <f t="shared" si="8"/>
        <v>82</v>
      </c>
      <c r="C99" s="1" t="s">
        <v>116</v>
      </c>
      <c r="D99" s="1" t="s">
        <v>117</v>
      </c>
      <c r="E99" s="3">
        <v>33.17</v>
      </c>
    </row>
    <row r="100" spans="1:29" x14ac:dyDescent="0.2">
      <c r="A100" s="1" t="s">
        <v>341</v>
      </c>
      <c r="B100" s="1">
        <f t="shared" si="8"/>
        <v>83</v>
      </c>
      <c r="C100" s="1" t="s">
        <v>118</v>
      </c>
      <c r="D100" s="1" t="s">
        <v>119</v>
      </c>
      <c r="E100" s="3">
        <v>53.21</v>
      </c>
    </row>
    <row r="101" spans="1:29" x14ac:dyDescent="0.2">
      <c r="A101" t="s">
        <v>341</v>
      </c>
      <c r="B101" s="1">
        <f t="shared" si="8"/>
        <v>84</v>
      </c>
      <c r="C101" t="s">
        <v>696</v>
      </c>
      <c r="D101" t="s">
        <v>697</v>
      </c>
    </row>
    <row r="102" spans="1:29" x14ac:dyDescent="0.2">
      <c r="A102" t="s">
        <v>341</v>
      </c>
      <c r="B102" s="1">
        <f t="shared" si="8"/>
        <v>85</v>
      </c>
      <c r="C102" s="1" t="s">
        <v>127</v>
      </c>
      <c r="D102" s="1" t="s">
        <v>128</v>
      </c>
      <c r="E102" s="3">
        <v>19.510000000000002</v>
      </c>
      <c r="F102" s="6">
        <v>3220</v>
      </c>
    </row>
    <row r="103" spans="1:29" x14ac:dyDescent="0.2">
      <c r="A103" t="s">
        <v>341</v>
      </c>
      <c r="B103" s="1">
        <f t="shared" si="8"/>
        <v>86</v>
      </c>
      <c r="C103" s="1" t="s">
        <v>131</v>
      </c>
      <c r="D103" s="1" t="s">
        <v>132</v>
      </c>
      <c r="E103" s="3">
        <v>54.94</v>
      </c>
      <c r="F103" s="6">
        <v>4170</v>
      </c>
    </row>
    <row r="104" spans="1:29" x14ac:dyDescent="0.2">
      <c r="A104" t="s">
        <v>341</v>
      </c>
      <c r="B104" s="1">
        <f t="shared" si="8"/>
        <v>87</v>
      </c>
      <c r="C104" t="s">
        <v>1090</v>
      </c>
      <c r="D104" t="s">
        <v>1091</v>
      </c>
      <c r="F104" s="6"/>
    </row>
    <row r="105" spans="1:29" x14ac:dyDescent="0.2">
      <c r="A105" t="s">
        <v>341</v>
      </c>
      <c r="B105" s="1">
        <f t="shared" si="8"/>
        <v>88</v>
      </c>
      <c r="C105" s="1" t="s">
        <v>133</v>
      </c>
      <c r="D105" s="1" t="s">
        <v>134</v>
      </c>
      <c r="E105" s="3">
        <v>38.840000000000003</v>
      </c>
      <c r="F105" s="6"/>
    </row>
    <row r="106" spans="1:29" x14ac:dyDescent="0.2">
      <c r="A106"/>
      <c r="B106" s="1">
        <f t="shared" si="8"/>
        <v>89</v>
      </c>
      <c r="C106" s="1" t="s">
        <v>141</v>
      </c>
      <c r="D106" s="1" t="s">
        <v>142</v>
      </c>
      <c r="E106" s="3">
        <v>60.72</v>
      </c>
      <c r="F106" s="6"/>
    </row>
    <row r="107" spans="1:29" x14ac:dyDescent="0.2">
      <c r="A107" s="1" t="s">
        <v>341</v>
      </c>
      <c r="B107" s="1">
        <f t="shared" si="8"/>
        <v>90</v>
      </c>
      <c r="C107" t="s">
        <v>700</v>
      </c>
      <c r="D107" t="s">
        <v>701</v>
      </c>
      <c r="E107" s="7"/>
      <c r="F107" s="6"/>
    </row>
    <row r="108" spans="1:29" x14ac:dyDescent="0.2">
      <c r="A108" t="s">
        <v>341</v>
      </c>
      <c r="B108" s="1">
        <f>B177+1</f>
        <v>92</v>
      </c>
      <c r="C108" t="s">
        <v>313</v>
      </c>
      <c r="D108" t="s">
        <v>314</v>
      </c>
      <c r="E108" s="3">
        <v>4.26</v>
      </c>
      <c r="F108" s="6"/>
      <c r="AC108" s="1">
        <v>2011</v>
      </c>
    </row>
    <row r="109" spans="1:29" x14ac:dyDescent="0.2">
      <c r="A109" t="s">
        <v>341</v>
      </c>
      <c r="B109" s="1">
        <f t="shared" ref="B109:B140" si="10">B108+1</f>
        <v>93</v>
      </c>
      <c r="C109" s="1" t="s">
        <v>149</v>
      </c>
      <c r="D109" s="1" t="s">
        <v>150</v>
      </c>
      <c r="E109" s="7">
        <v>32</v>
      </c>
      <c r="F109" s="6">
        <v>5000</v>
      </c>
    </row>
    <row r="110" spans="1:29" x14ac:dyDescent="0.2">
      <c r="A110" s="1" t="s">
        <v>341</v>
      </c>
      <c r="B110" s="1">
        <f t="shared" si="10"/>
        <v>94</v>
      </c>
      <c r="C110" s="1" t="s">
        <v>151</v>
      </c>
      <c r="D110" s="1" t="s">
        <v>152</v>
      </c>
      <c r="E110" s="3">
        <v>53.29</v>
      </c>
      <c r="F110" s="6">
        <v>3560</v>
      </c>
    </row>
    <row r="111" spans="1:29" x14ac:dyDescent="0.2">
      <c r="A111" t="s">
        <v>341</v>
      </c>
      <c r="B111" s="1">
        <f t="shared" si="10"/>
        <v>95</v>
      </c>
      <c r="C111" t="s">
        <v>695</v>
      </c>
      <c r="D111" t="s">
        <v>1016</v>
      </c>
      <c r="E111" s="3">
        <v>35.46</v>
      </c>
      <c r="F111" s="6">
        <f>30500/DKK</f>
        <v>4545.454545454545</v>
      </c>
    </row>
    <row r="112" spans="1:29" x14ac:dyDescent="0.2">
      <c r="A112" t="s">
        <v>341</v>
      </c>
      <c r="B112" s="1">
        <f t="shared" si="10"/>
        <v>96</v>
      </c>
      <c r="C112" s="1" t="s">
        <v>167</v>
      </c>
      <c r="D112" s="1" t="s">
        <v>168</v>
      </c>
      <c r="E112" s="7">
        <v>11.53</v>
      </c>
      <c r="F112" s="6">
        <v>3240</v>
      </c>
    </row>
    <row r="113" spans="1:11" x14ac:dyDescent="0.2">
      <c r="A113" t="s">
        <v>341</v>
      </c>
      <c r="B113" s="1">
        <f t="shared" si="10"/>
        <v>97</v>
      </c>
      <c r="C113" s="1" t="s">
        <v>169</v>
      </c>
      <c r="D113" s="1" t="s">
        <v>170</v>
      </c>
      <c r="E113" s="3">
        <v>55.33</v>
      </c>
      <c r="F113" s="6">
        <v>3280</v>
      </c>
    </row>
    <row r="114" spans="1:11" x14ac:dyDescent="0.2">
      <c r="A114" t="s">
        <v>341</v>
      </c>
      <c r="B114" s="1">
        <f t="shared" si="10"/>
        <v>98</v>
      </c>
      <c r="C114" s="1" t="s">
        <v>155</v>
      </c>
      <c r="D114" s="1" t="s">
        <v>156</v>
      </c>
      <c r="E114" s="3">
        <v>41.92</v>
      </c>
      <c r="F114" s="6">
        <v>2510</v>
      </c>
    </row>
    <row r="115" spans="1:11" x14ac:dyDescent="0.2">
      <c r="A115" t="s">
        <v>341</v>
      </c>
      <c r="B115" s="1">
        <f t="shared" si="10"/>
        <v>99</v>
      </c>
      <c r="C115" s="1" t="s">
        <v>157</v>
      </c>
      <c r="D115" s="1" t="s">
        <v>158</v>
      </c>
      <c r="E115" s="3">
        <v>29.49</v>
      </c>
      <c r="F115" s="6">
        <v>2880</v>
      </c>
    </row>
    <row r="116" spans="1:11" x14ac:dyDescent="0.2">
      <c r="A116" t="s">
        <v>341</v>
      </c>
      <c r="B116" s="1">
        <f t="shared" si="10"/>
        <v>100</v>
      </c>
      <c r="C116" s="5" t="s">
        <v>798</v>
      </c>
      <c r="D116" t="s">
        <v>799</v>
      </c>
      <c r="E116" s="7">
        <v>26.7</v>
      </c>
      <c r="F116" s="6">
        <f>E116*J116</f>
        <v>1793.6009888999999</v>
      </c>
      <c r="G116" s="6">
        <f>[65]Main!$O$5-[65]Main!$O$6</f>
        <v>345.67399999999998</v>
      </c>
      <c r="H116" s="6">
        <f>+F116-G116</f>
        <v>1447.9269889</v>
      </c>
      <c r="I116" s="3" t="s">
        <v>662</v>
      </c>
      <c r="J116" s="6">
        <f>[65]Main!$O$3</f>
        <v>67.176067000000003</v>
      </c>
      <c r="K116" s="9">
        <v>45067</v>
      </c>
    </row>
    <row r="117" spans="1:11" x14ac:dyDescent="0.2">
      <c r="A117" t="s">
        <v>341</v>
      </c>
      <c r="B117" s="1">
        <f t="shared" si="10"/>
        <v>101</v>
      </c>
      <c r="C117" s="5" t="s">
        <v>184</v>
      </c>
      <c r="D117" s="1" t="s">
        <v>185</v>
      </c>
      <c r="E117" s="7">
        <v>43</v>
      </c>
      <c r="F117" s="6">
        <f>E117*J117</f>
        <v>2567.8571440000001</v>
      </c>
      <c r="G117" s="6">
        <f>[66]Main!$K$5-[66]Main!$K$6</f>
        <v>1272.4940000000001</v>
      </c>
      <c r="H117" s="6">
        <f>F117-G117</f>
        <v>1295.3631439999999</v>
      </c>
      <c r="I117" s="3" t="s">
        <v>528</v>
      </c>
      <c r="J117" s="6">
        <f>[66]Main!$K$3</f>
        <v>59.717607999999998</v>
      </c>
      <c r="K117" s="9">
        <v>44999</v>
      </c>
    </row>
    <row r="118" spans="1:11" x14ac:dyDescent="0.2">
      <c r="A118" t="s">
        <v>341</v>
      </c>
      <c r="B118" s="1">
        <f t="shared" si="10"/>
        <v>102</v>
      </c>
      <c r="C118" s="5" t="s">
        <v>382</v>
      </c>
      <c r="D118" t="s">
        <v>383</v>
      </c>
      <c r="E118" s="3">
        <v>24.73</v>
      </c>
      <c r="F118" s="6">
        <f>+E118*J118</f>
        <v>1436.0261408599999</v>
      </c>
      <c r="G118" s="6">
        <f>+[67]Main!$J$5-[67]Main!$J$6</f>
        <v>566.44900000000007</v>
      </c>
      <c r="H118" s="6">
        <f>+F118-G118</f>
        <v>869.57714085999987</v>
      </c>
      <c r="I118" s="3" t="s">
        <v>307</v>
      </c>
      <c r="J118" s="6">
        <f>+[67]Main!$J$3</f>
        <v>58.068182</v>
      </c>
      <c r="K118" s="9">
        <v>44824</v>
      </c>
    </row>
    <row r="119" spans="1:11" x14ac:dyDescent="0.2">
      <c r="A119" t="s">
        <v>341</v>
      </c>
      <c r="B119" s="1">
        <f t="shared" si="10"/>
        <v>103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1:11" x14ac:dyDescent="0.2">
      <c r="A120"/>
      <c r="B120" s="1">
        <f t="shared" si="10"/>
        <v>104</v>
      </c>
      <c r="C120" s="1" t="s">
        <v>534</v>
      </c>
      <c r="D120" t="s">
        <v>126</v>
      </c>
      <c r="F120" s="6"/>
    </row>
    <row r="121" spans="1:11" x14ac:dyDescent="0.2">
      <c r="A121" t="s">
        <v>341</v>
      </c>
      <c r="B121" s="1">
        <f t="shared" si="10"/>
        <v>105</v>
      </c>
      <c r="C121" s="1" t="s">
        <v>176</v>
      </c>
      <c r="D121" s="1" t="s">
        <v>177</v>
      </c>
      <c r="E121" s="7">
        <v>20.010000000000002</v>
      </c>
      <c r="F121" s="6">
        <v>2150</v>
      </c>
    </row>
    <row r="122" spans="1:11" x14ac:dyDescent="0.2">
      <c r="A122" s="1" t="s">
        <v>341</v>
      </c>
      <c r="B122" s="1">
        <f t="shared" si="10"/>
        <v>106</v>
      </c>
      <c r="C122" s="1" t="s">
        <v>517</v>
      </c>
      <c r="D122" t="s">
        <v>518</v>
      </c>
      <c r="E122" s="7">
        <v>14.79</v>
      </c>
      <c r="F122" s="6">
        <v>2160</v>
      </c>
    </row>
    <row r="123" spans="1:11" x14ac:dyDescent="0.2">
      <c r="A123" t="s">
        <v>341</v>
      </c>
      <c r="B123" s="1">
        <f t="shared" si="10"/>
        <v>107</v>
      </c>
      <c r="C123" s="1" t="s">
        <v>178</v>
      </c>
      <c r="D123" s="1" t="s">
        <v>179</v>
      </c>
      <c r="E123" s="3">
        <v>19.010000000000002</v>
      </c>
      <c r="F123" s="6">
        <v>2580</v>
      </c>
    </row>
    <row r="124" spans="1:11" x14ac:dyDescent="0.2">
      <c r="A124" t="s">
        <v>341</v>
      </c>
      <c r="B124" s="1">
        <f t="shared" si="10"/>
        <v>108</v>
      </c>
      <c r="C124" t="s">
        <v>693</v>
      </c>
      <c r="D124" t="s">
        <v>694</v>
      </c>
      <c r="E124" s="7">
        <v>306</v>
      </c>
      <c r="F124" s="6">
        <v>5000</v>
      </c>
    </row>
    <row r="125" spans="1:11" x14ac:dyDescent="0.2">
      <c r="A125" t="s">
        <v>341</v>
      </c>
      <c r="B125" s="1">
        <f t="shared" si="10"/>
        <v>109</v>
      </c>
      <c r="C125" s="1" t="s">
        <v>207</v>
      </c>
      <c r="D125" s="1" t="s">
        <v>208</v>
      </c>
      <c r="E125" s="7">
        <v>57.1</v>
      </c>
      <c r="F125" s="6">
        <v>2590</v>
      </c>
    </row>
    <row r="126" spans="1:11" x14ac:dyDescent="0.2">
      <c r="A126" t="s">
        <v>341</v>
      </c>
      <c r="B126" s="1">
        <f t="shared" si="10"/>
        <v>110</v>
      </c>
      <c r="C126" s="1" t="s">
        <v>182</v>
      </c>
      <c r="D126" s="1" t="s">
        <v>183</v>
      </c>
      <c r="E126" s="3">
        <v>48.73</v>
      </c>
      <c r="F126" s="6">
        <v>2540</v>
      </c>
    </row>
    <row r="127" spans="1:11" x14ac:dyDescent="0.2">
      <c r="A127" t="s">
        <v>341</v>
      </c>
      <c r="B127" s="1">
        <f t="shared" si="10"/>
        <v>111</v>
      </c>
      <c r="C127" s="1" t="s">
        <v>195</v>
      </c>
      <c r="D127" s="1" t="s">
        <v>196</v>
      </c>
      <c r="E127" s="3">
        <v>37.96</v>
      </c>
      <c r="F127" s="6">
        <v>2360</v>
      </c>
    </row>
    <row r="128" spans="1:11" x14ac:dyDescent="0.2">
      <c r="A128" t="s">
        <v>341</v>
      </c>
      <c r="B128" s="1">
        <f t="shared" si="10"/>
        <v>112</v>
      </c>
      <c r="C128" s="1" t="s">
        <v>298</v>
      </c>
      <c r="D128" s="1" t="s">
        <v>188</v>
      </c>
      <c r="E128" s="3">
        <v>10.85</v>
      </c>
      <c r="F128" s="6">
        <v>2020</v>
      </c>
    </row>
    <row r="129" spans="1:6" x14ac:dyDescent="0.2">
      <c r="A129" t="s">
        <v>341</v>
      </c>
      <c r="B129" s="1">
        <f t="shared" si="10"/>
        <v>113</v>
      </c>
      <c r="C129" s="1" t="s">
        <v>217</v>
      </c>
      <c r="D129" s="1" t="s">
        <v>218</v>
      </c>
      <c r="E129" s="7">
        <v>5.3</v>
      </c>
      <c r="F129" s="6">
        <v>2010</v>
      </c>
    </row>
    <row r="130" spans="1:6" x14ac:dyDescent="0.2">
      <c r="A130" t="s">
        <v>341</v>
      </c>
      <c r="B130" s="1">
        <f t="shared" si="10"/>
        <v>114</v>
      </c>
      <c r="C130" s="1" t="s">
        <v>215</v>
      </c>
      <c r="D130" s="1" t="s">
        <v>216</v>
      </c>
      <c r="E130" s="3">
        <v>36.86</v>
      </c>
      <c r="F130" s="6">
        <v>1990</v>
      </c>
    </row>
    <row r="131" spans="1:6" x14ac:dyDescent="0.2">
      <c r="A131" t="s">
        <v>341</v>
      </c>
      <c r="B131" s="1">
        <f t="shared" si="10"/>
        <v>115</v>
      </c>
      <c r="C131" s="1" t="s">
        <v>203</v>
      </c>
      <c r="D131" s="1" t="s">
        <v>204</v>
      </c>
      <c r="E131" s="7">
        <v>76.78</v>
      </c>
      <c r="F131" s="6">
        <v>1970</v>
      </c>
    </row>
    <row r="132" spans="1:6" x14ac:dyDescent="0.2">
      <c r="A132" t="s">
        <v>341</v>
      </c>
      <c r="B132" s="1">
        <f t="shared" si="10"/>
        <v>116</v>
      </c>
      <c r="C132" s="1" t="s">
        <v>221</v>
      </c>
      <c r="D132" s="1" t="s">
        <v>222</v>
      </c>
      <c r="E132" s="3">
        <v>18.309999999999999</v>
      </c>
      <c r="F132" s="6">
        <v>1930</v>
      </c>
    </row>
    <row r="133" spans="1:6" x14ac:dyDescent="0.2">
      <c r="A133" t="s">
        <v>341</v>
      </c>
      <c r="B133" s="1">
        <f t="shared" si="10"/>
        <v>117</v>
      </c>
      <c r="C133" t="s">
        <v>708</v>
      </c>
      <c r="D133" t="s">
        <v>709</v>
      </c>
      <c r="F133" s="6"/>
    </row>
    <row r="134" spans="1:6" x14ac:dyDescent="0.2">
      <c r="A134" t="s">
        <v>341</v>
      </c>
      <c r="B134" s="1">
        <f t="shared" si="10"/>
        <v>118</v>
      </c>
      <c r="C134" s="1" t="s">
        <v>191</v>
      </c>
      <c r="D134" s="1" t="s">
        <v>192</v>
      </c>
      <c r="E134" s="7">
        <v>10.1</v>
      </c>
      <c r="F134" s="6">
        <v>1880</v>
      </c>
    </row>
    <row r="135" spans="1:6" x14ac:dyDescent="0.2">
      <c r="A135" t="s">
        <v>341</v>
      </c>
      <c r="B135" s="1">
        <f t="shared" si="10"/>
        <v>119</v>
      </c>
      <c r="C135" s="1" t="s">
        <v>800</v>
      </c>
      <c r="D135" s="1" t="s">
        <v>173</v>
      </c>
      <c r="E135" s="3">
        <v>38.67</v>
      </c>
      <c r="F135" s="6">
        <v>1770</v>
      </c>
    </row>
    <row r="136" spans="1:6" x14ac:dyDescent="0.2">
      <c r="A136"/>
      <c r="B136" s="1">
        <f t="shared" si="10"/>
        <v>120</v>
      </c>
      <c r="C136" t="s">
        <v>1099</v>
      </c>
      <c r="D136" t="s">
        <v>1100</v>
      </c>
      <c r="E136" s="7">
        <v>17</v>
      </c>
      <c r="F136" s="6"/>
    </row>
    <row r="137" spans="1:6" x14ac:dyDescent="0.2">
      <c r="A137" t="s">
        <v>341</v>
      </c>
      <c r="B137" s="1">
        <f t="shared" si="10"/>
        <v>121</v>
      </c>
      <c r="C137" t="s">
        <v>740</v>
      </c>
      <c r="F137" s="6"/>
    </row>
    <row r="138" spans="1:6" x14ac:dyDescent="0.2">
      <c r="A138" t="s">
        <v>341</v>
      </c>
      <c r="B138" s="1">
        <f t="shared" si="10"/>
        <v>122</v>
      </c>
      <c r="C138" t="s">
        <v>1095</v>
      </c>
      <c r="F138" s="6"/>
    </row>
    <row r="139" spans="1:6" x14ac:dyDescent="0.2">
      <c r="A139" t="s">
        <v>341</v>
      </c>
      <c r="B139" s="1">
        <f t="shared" si="10"/>
        <v>123</v>
      </c>
      <c r="C139" t="s">
        <v>1096</v>
      </c>
      <c r="F139" s="6"/>
    </row>
    <row r="140" spans="1:6" x14ac:dyDescent="0.2">
      <c r="A140" t="s">
        <v>341</v>
      </c>
      <c r="B140" s="1">
        <f t="shared" si="10"/>
        <v>124</v>
      </c>
      <c r="C140" t="s">
        <v>1094</v>
      </c>
      <c r="F140" s="6"/>
    </row>
    <row r="141" spans="1:6" x14ac:dyDescent="0.2">
      <c r="A141" t="s">
        <v>341</v>
      </c>
      <c r="B141" s="1">
        <f>B137+1</f>
        <v>122</v>
      </c>
      <c r="C141" s="1" t="s">
        <v>186</v>
      </c>
      <c r="D141" s="1" t="s">
        <v>187</v>
      </c>
      <c r="E141" s="3">
        <v>41.59</v>
      </c>
      <c r="F141" s="6">
        <v>1730</v>
      </c>
    </row>
    <row r="142" spans="1:6" x14ac:dyDescent="0.2">
      <c r="A142" t="s">
        <v>341</v>
      </c>
      <c r="B142" s="1">
        <f t="shared" ref="B142:B171" si="11">B141+1</f>
        <v>123</v>
      </c>
      <c r="C142" s="1" t="s">
        <v>180</v>
      </c>
      <c r="D142" s="1" t="s">
        <v>181</v>
      </c>
      <c r="E142" s="3">
        <v>22.22</v>
      </c>
      <c r="F142" s="6">
        <v>1720</v>
      </c>
    </row>
    <row r="143" spans="1:6" x14ac:dyDescent="0.2">
      <c r="A143" s="1" t="s">
        <v>341</v>
      </c>
      <c r="B143" s="1">
        <f t="shared" si="11"/>
        <v>124</v>
      </c>
      <c r="C143" s="25" t="s">
        <v>636</v>
      </c>
      <c r="D143" s="25" t="s">
        <v>637</v>
      </c>
      <c r="E143" s="26">
        <v>20.66</v>
      </c>
      <c r="F143" s="27">
        <v>1400</v>
      </c>
    </row>
    <row r="144" spans="1:6" x14ac:dyDescent="0.2">
      <c r="A144" t="s">
        <v>341</v>
      </c>
      <c r="B144" s="1">
        <f t="shared" si="11"/>
        <v>125</v>
      </c>
      <c r="C144" s="1" t="s">
        <v>209</v>
      </c>
      <c r="D144" s="1" t="s">
        <v>210</v>
      </c>
      <c r="E144" s="3">
        <v>28.37</v>
      </c>
      <c r="F144" s="6">
        <v>1370</v>
      </c>
    </row>
    <row r="145" spans="1:11" x14ac:dyDescent="0.2">
      <c r="A145" t="s">
        <v>341</v>
      </c>
      <c r="B145" s="1">
        <f t="shared" si="11"/>
        <v>126</v>
      </c>
      <c r="C145" s="5" t="s">
        <v>211</v>
      </c>
      <c r="D145" s="1" t="s">
        <v>212</v>
      </c>
      <c r="E145" s="7">
        <v>5.5</v>
      </c>
      <c r="F145" s="6">
        <f>E145*J145</f>
        <v>1053.9003089999999</v>
      </c>
      <c r="G145" s="6">
        <f>[68]Main!$K$5-[68]Main!$K$6</f>
        <v>471.26000000000005</v>
      </c>
      <c r="H145" s="6">
        <f>F145-G145</f>
        <v>582.64030899999989</v>
      </c>
      <c r="I145" s="3" t="s">
        <v>662</v>
      </c>
      <c r="J145" s="6">
        <f>[68]Main!$K$3</f>
        <v>191.61823799999999</v>
      </c>
      <c r="K145" s="9">
        <v>45064</v>
      </c>
    </row>
    <row r="146" spans="1:11" x14ac:dyDescent="0.2">
      <c r="A146" t="s">
        <v>341</v>
      </c>
      <c r="B146" s="1">
        <f t="shared" si="11"/>
        <v>127</v>
      </c>
      <c r="C146" s="5" t="s">
        <v>523</v>
      </c>
      <c r="D146" t="s">
        <v>524</v>
      </c>
      <c r="E146" s="3">
        <v>17.37</v>
      </c>
      <c r="F146" s="6">
        <f>E146*J146</f>
        <v>577.73276586000009</v>
      </c>
      <c r="G146" s="6">
        <f>[69]Main!$L$5-[69]Main!$L$6</f>
        <v>201.85900000000001</v>
      </c>
      <c r="H146" s="6">
        <f>+F146-G146</f>
        <v>375.87376586000005</v>
      </c>
      <c r="I146" s="3" t="s">
        <v>662</v>
      </c>
      <c r="J146" s="6">
        <f>[69]Main!$L$3</f>
        <v>33.260378000000003</v>
      </c>
      <c r="K146" s="9">
        <v>45064</v>
      </c>
    </row>
    <row r="147" spans="1:11" x14ac:dyDescent="0.2">
      <c r="A147" t="s">
        <v>341</v>
      </c>
      <c r="B147" s="1">
        <f t="shared" si="11"/>
        <v>128</v>
      </c>
      <c r="C147" t="s">
        <v>779</v>
      </c>
      <c r="D147" t="s">
        <v>780</v>
      </c>
      <c r="E147" s="7"/>
      <c r="F147" s="6"/>
    </row>
    <row r="148" spans="1:11" x14ac:dyDescent="0.2">
      <c r="A148" t="s">
        <v>341</v>
      </c>
      <c r="B148" s="1">
        <f t="shared" si="11"/>
        <v>129</v>
      </c>
      <c r="C148" t="s">
        <v>781</v>
      </c>
      <c r="D148" t="s">
        <v>782</v>
      </c>
      <c r="E148" s="7"/>
      <c r="F148" s="6"/>
    </row>
    <row r="149" spans="1:11" x14ac:dyDescent="0.2">
      <c r="A149" t="s">
        <v>341</v>
      </c>
      <c r="B149" s="1">
        <f t="shared" si="11"/>
        <v>130</v>
      </c>
      <c r="C149" t="s">
        <v>796</v>
      </c>
      <c r="D149" t="s">
        <v>797</v>
      </c>
      <c r="E149" s="7"/>
      <c r="F149" s="6"/>
    </row>
    <row r="150" spans="1:11" x14ac:dyDescent="0.2">
      <c r="A150" t="s">
        <v>341</v>
      </c>
      <c r="B150" s="1">
        <f t="shared" si="11"/>
        <v>131</v>
      </c>
      <c r="C150" t="s">
        <v>795</v>
      </c>
      <c r="D150"/>
      <c r="E150" s="7"/>
      <c r="F150" s="6"/>
    </row>
    <row r="151" spans="1:11" x14ac:dyDescent="0.2">
      <c r="A151" t="s">
        <v>341</v>
      </c>
      <c r="B151" s="1">
        <f t="shared" si="11"/>
        <v>132</v>
      </c>
      <c r="C151" s="1" t="s">
        <v>163</v>
      </c>
      <c r="D151" s="1" t="s">
        <v>164</v>
      </c>
      <c r="E151" s="7">
        <v>5.75</v>
      </c>
      <c r="F151" s="6">
        <v>1100</v>
      </c>
    </row>
    <row r="152" spans="1:11" x14ac:dyDescent="0.2">
      <c r="A152" t="s">
        <v>341</v>
      </c>
      <c r="B152" s="1">
        <f t="shared" si="11"/>
        <v>133</v>
      </c>
      <c r="C152" t="s">
        <v>793</v>
      </c>
      <c r="D152" t="s">
        <v>794</v>
      </c>
      <c r="E152" s="7"/>
      <c r="F152" s="6"/>
    </row>
    <row r="153" spans="1:11" x14ac:dyDescent="0.2">
      <c r="A153" t="s">
        <v>341</v>
      </c>
      <c r="B153" s="1">
        <f t="shared" si="11"/>
        <v>134</v>
      </c>
      <c r="C153" t="s">
        <v>448</v>
      </c>
      <c r="D153" t="s">
        <v>449</v>
      </c>
      <c r="E153" s="3">
        <v>23.13</v>
      </c>
      <c r="F153" s="6">
        <v>1000</v>
      </c>
    </row>
    <row r="154" spans="1:11" x14ac:dyDescent="0.2">
      <c r="A154" t="s">
        <v>341</v>
      </c>
      <c r="B154" s="1">
        <f t="shared" si="11"/>
        <v>135</v>
      </c>
      <c r="C154" t="s">
        <v>785</v>
      </c>
      <c r="D154" t="s">
        <v>786</v>
      </c>
      <c r="F154" s="6"/>
    </row>
    <row r="155" spans="1:11" x14ac:dyDescent="0.2">
      <c r="A155" t="s">
        <v>341</v>
      </c>
      <c r="B155" s="1">
        <f t="shared" si="11"/>
        <v>136</v>
      </c>
      <c r="C155" t="s">
        <v>783</v>
      </c>
      <c r="D155" t="s">
        <v>784</v>
      </c>
      <c r="F155" s="6"/>
    </row>
    <row r="156" spans="1:11" x14ac:dyDescent="0.2">
      <c r="A156" t="s">
        <v>341</v>
      </c>
      <c r="B156" s="1">
        <f t="shared" si="11"/>
        <v>137</v>
      </c>
      <c r="C156" s="1" t="s">
        <v>174</v>
      </c>
      <c r="D156" s="1" t="s">
        <v>175</v>
      </c>
      <c r="E156" s="7">
        <v>21.6</v>
      </c>
      <c r="F156" s="6">
        <v>991</v>
      </c>
    </row>
    <row r="157" spans="1:11" x14ac:dyDescent="0.2">
      <c r="A157" t="s">
        <v>341</v>
      </c>
      <c r="B157" s="1">
        <f t="shared" si="11"/>
        <v>138</v>
      </c>
      <c r="C157" t="s">
        <v>722</v>
      </c>
      <c r="D157" t="s">
        <v>723</v>
      </c>
      <c r="E157" s="7"/>
      <c r="F157" s="6"/>
    </row>
    <row r="158" spans="1:11" x14ac:dyDescent="0.2">
      <c r="A158" t="s">
        <v>341</v>
      </c>
      <c r="B158" s="1">
        <f>B92+1</f>
        <v>140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11"/>
        <v>141</v>
      </c>
      <c r="C159" t="s">
        <v>734</v>
      </c>
      <c r="D159" t="s">
        <v>735</v>
      </c>
      <c r="F159" s="6"/>
    </row>
    <row r="160" spans="1:11" x14ac:dyDescent="0.2">
      <c r="B160" s="1">
        <f t="shared" si="11"/>
        <v>142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11"/>
        <v>143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11"/>
        <v>144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11"/>
        <v>145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11"/>
        <v>146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11"/>
        <v>147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11"/>
        <v>148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11"/>
        <v>149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11"/>
        <v>150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11"/>
        <v>151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11"/>
        <v>152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11"/>
        <v>153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2">B171+1</f>
        <v>154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2"/>
        <v>155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2"/>
        <v>156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2"/>
        <v>157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2"/>
        <v>158</v>
      </c>
      <c r="C176" t="s">
        <v>741</v>
      </c>
      <c r="D176" t="s">
        <v>742</v>
      </c>
      <c r="F176" s="6"/>
    </row>
    <row r="177" spans="1:29" x14ac:dyDescent="0.2">
      <c r="B177" s="1">
        <f>B107+1</f>
        <v>91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159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2"/>
        <v>160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2"/>
        <v>161</v>
      </c>
      <c r="C180" s="5" t="s">
        <v>293</v>
      </c>
      <c r="D180" t="s">
        <v>294</v>
      </c>
      <c r="E180" s="3">
        <v>15.65</v>
      </c>
      <c r="F180" s="6">
        <f>E180*[70]Main!$L$3</f>
        <v>1253.1559559500001</v>
      </c>
      <c r="G180" s="6">
        <f>+[70]Main!$L$5-[70]Main!$L$6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2"/>
        <v>162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+[71]Main!$K$5-[71]Main!$K$6</f>
        <v>449.76100000000002</v>
      </c>
      <c r="H181" s="6">
        <f>+F181-G181</f>
        <v>905.63941124999997</v>
      </c>
      <c r="I181" s="3" t="s">
        <v>427</v>
      </c>
      <c r="J181" s="6">
        <f>+[71]Main!$K$3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2"/>
        <v>163</v>
      </c>
      <c r="C182" s="5" t="s">
        <v>304</v>
      </c>
      <c r="D182" t="s">
        <v>305</v>
      </c>
      <c r="E182" s="3">
        <v>11</v>
      </c>
      <c r="F182" s="6">
        <f>+E182*[72]Main!$L$3</f>
        <v>798.23003700000004</v>
      </c>
      <c r="G182" s="6">
        <f>+[72]Main!$L$5-[72]Main!$L$6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2"/>
        <v>164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+[73]Main!$J$5-[73]Main!$J$6</f>
        <v>601.58999999999992</v>
      </c>
      <c r="H183" s="6">
        <f>+F183-G183</f>
        <v>295.5923366400001</v>
      </c>
      <c r="I183" s="3" t="s">
        <v>16</v>
      </c>
      <c r="J183" s="6">
        <f>+[73]Main!$J$3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2"/>
        <v>165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2"/>
        <v>166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2"/>
        <v>167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2"/>
        <v>168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2"/>
        <v>169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2"/>
        <v>170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2"/>
        <v>171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2"/>
        <v>172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2"/>
        <v>173</v>
      </c>
      <c r="C192" t="s">
        <v>769</v>
      </c>
      <c r="D192" t="s">
        <v>770</v>
      </c>
      <c r="E192" s="7"/>
    </row>
    <row r="193" spans="1:29" x14ac:dyDescent="0.2">
      <c r="B193" s="1">
        <f t="shared" si="12"/>
        <v>174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2"/>
        <v>175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2"/>
        <v>176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+[74]Main!$N$5-[74]Main!$N$6</f>
        <v>-7.4640000000000004</v>
      </c>
      <c r="H195" s="6">
        <f>+F195-G195</f>
        <v>37.871559149999996</v>
      </c>
      <c r="I195" s="3" t="s">
        <v>307</v>
      </c>
      <c r="J195" s="6">
        <f>+[74]Main!$N$3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2"/>
        <v>177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2"/>
        <v>178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2"/>
        <v>179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2"/>
        <v>180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2"/>
        <v>181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2"/>
        <v>182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2"/>
        <v>183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2"/>
        <v>184</v>
      </c>
      <c r="C203" s="5" t="s">
        <v>237</v>
      </c>
      <c r="D203" s="1" t="s">
        <v>238</v>
      </c>
      <c r="E203" s="3">
        <v>7.06</v>
      </c>
      <c r="F203" s="6">
        <f>E203*[75]Main!$J$3</f>
        <v>725.62786605999997</v>
      </c>
      <c r="G203" s="6">
        <f>[75]Main!$J$5-[75]Main!$J$6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2"/>
        <v>185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+[76]Main!$K$5-[76]Main!$K$6</f>
        <v>-37.984000000000002</v>
      </c>
      <c r="H204" s="8">
        <f t="shared" ref="H204" si="13">+F204-G204</f>
        <v>524.41625439999996</v>
      </c>
      <c r="I204" s="3" t="s">
        <v>307</v>
      </c>
      <c r="J204" s="6">
        <f>+[76]Main!$K$3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2"/>
        <v>186</v>
      </c>
      <c r="C205" s="5" t="s">
        <v>239</v>
      </c>
      <c r="D205" s="1" t="s">
        <v>240</v>
      </c>
      <c r="E205" s="3">
        <v>14.68</v>
      </c>
      <c r="F205" s="6">
        <f>E205*[77]Main!$L$3</f>
        <v>587.26396075999992</v>
      </c>
      <c r="G205" s="6">
        <f>[77]Main!$L$5-[77]Main!$L$6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2"/>
        <v>187</v>
      </c>
      <c r="C206" s="5" t="s">
        <v>241</v>
      </c>
      <c r="D206" s="1" t="s">
        <v>242</v>
      </c>
      <c r="E206" s="3">
        <v>4.8600000000000003</v>
      </c>
      <c r="F206" s="6">
        <f>E206*[78]Main!$J$3</f>
        <v>312.71415336000001</v>
      </c>
      <c r="G206" s="8">
        <f>+[78]Main!$J$5-[78]Main!$J$6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2"/>
        <v>188</v>
      </c>
      <c r="C207" s="5" t="s">
        <v>243</v>
      </c>
      <c r="D207" s="1" t="s">
        <v>244</v>
      </c>
      <c r="E207" s="3">
        <v>7.57</v>
      </c>
      <c r="F207" s="6">
        <f>E207*[79]Main!$M$3</f>
        <v>338.45983246000003</v>
      </c>
      <c r="G207" s="6">
        <f>[79]Main!$M$5-[79]Main!$M$6</f>
        <v>120.43700000000001</v>
      </c>
      <c r="H207" s="8">
        <f t="shared" ref="H207:H212" si="14">+F207-G207</f>
        <v>218.02283246000002</v>
      </c>
      <c r="I207" s="3" t="s">
        <v>16</v>
      </c>
    </row>
    <row r="208" spans="1:29" x14ac:dyDescent="0.2">
      <c r="B208" s="1">
        <f t="shared" si="12"/>
        <v>189</v>
      </c>
      <c r="C208" s="5" t="s">
        <v>245</v>
      </c>
      <c r="D208" s="1" t="s">
        <v>246</v>
      </c>
      <c r="E208" s="7">
        <v>0.7</v>
      </c>
      <c r="F208" s="6">
        <f>E208*[80]Main!$M$3</f>
        <v>128.9392503</v>
      </c>
      <c r="G208" s="6">
        <f>[80]Main!$M$5-[80]Main!$M$6</f>
        <v>-59.50200000000001</v>
      </c>
      <c r="H208" s="8">
        <f t="shared" si="14"/>
        <v>188.44125030000001</v>
      </c>
      <c r="I208" s="3" t="s">
        <v>16</v>
      </c>
    </row>
    <row r="209" spans="1:9" x14ac:dyDescent="0.2">
      <c r="A209" t="s">
        <v>341</v>
      </c>
      <c r="B209" s="1">
        <f t="shared" si="12"/>
        <v>190</v>
      </c>
      <c r="C209" s="5" t="s">
        <v>247</v>
      </c>
      <c r="D209" s="1" t="s">
        <v>248</v>
      </c>
      <c r="E209" s="3">
        <v>1.98</v>
      </c>
      <c r="F209" s="6">
        <f>E209*[81]Main!$N$3</f>
        <v>39.757463459999997</v>
      </c>
      <c r="G209" s="6">
        <f>[81]Main!$N$5-[81]Main!$N$6</f>
        <v>15.942</v>
      </c>
      <c r="H209" s="8">
        <f t="shared" si="14"/>
        <v>23.815463459999997</v>
      </c>
      <c r="I209" s="3" t="s">
        <v>16</v>
      </c>
    </row>
    <row r="210" spans="1:9" x14ac:dyDescent="0.2">
      <c r="B210" s="1">
        <f t="shared" si="12"/>
        <v>191</v>
      </c>
      <c r="C210" s="5" t="s">
        <v>249</v>
      </c>
      <c r="D210" s="1" t="s">
        <v>250</v>
      </c>
      <c r="E210" s="3">
        <v>0.62</v>
      </c>
      <c r="F210" s="6">
        <f>E210*[82]Main!$L$3</f>
        <v>30.1881658</v>
      </c>
      <c r="G210" s="6">
        <f>[82]Main!$L$5-[82]Main!$L$6</f>
        <v>13.262999999999998</v>
      </c>
      <c r="H210" s="8">
        <f t="shared" si="14"/>
        <v>16.925165800000002</v>
      </c>
      <c r="I210" s="3" t="s">
        <v>16</v>
      </c>
    </row>
    <row r="211" spans="1:9" x14ac:dyDescent="0.2">
      <c r="B211" s="1">
        <f t="shared" si="12"/>
        <v>192</v>
      </c>
      <c r="C211" s="5" t="s">
        <v>251</v>
      </c>
      <c r="D211" s="1" t="s">
        <v>252</v>
      </c>
      <c r="E211" s="3">
        <v>6.12</v>
      </c>
      <c r="F211" s="6">
        <f>E211*[83]Main!$M$3</f>
        <v>125.46108324000001</v>
      </c>
      <c r="G211" s="6">
        <f>[83]Main!$M$5-[83]Main!$M$6</f>
        <v>131.17699999999999</v>
      </c>
      <c r="H211" s="8">
        <f t="shared" si="14"/>
        <v>-5.7159167599999847</v>
      </c>
      <c r="I211" s="3" t="s">
        <v>16</v>
      </c>
    </row>
    <row r="212" spans="1:9" x14ac:dyDescent="0.2">
      <c r="B212" s="1">
        <f t="shared" si="12"/>
        <v>193</v>
      </c>
      <c r="C212" s="5" t="s">
        <v>253</v>
      </c>
      <c r="D212" s="1" t="s">
        <v>254</v>
      </c>
      <c r="E212" s="3">
        <v>0.98</v>
      </c>
      <c r="F212" s="6">
        <f>E212*[84]Main!$M$3</f>
        <v>20.935517539999999</v>
      </c>
      <c r="G212" s="6">
        <f>[84]Main!$M$5-[84]Main!$M$6</f>
        <v>55.28</v>
      </c>
      <c r="H212" s="8">
        <f t="shared" si="14"/>
        <v>-34.344482460000002</v>
      </c>
      <c r="I212" s="3" t="s">
        <v>16</v>
      </c>
    </row>
    <row r="213" spans="1:9" x14ac:dyDescent="0.2">
      <c r="B213" s="1">
        <f t="shared" si="12"/>
        <v>194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2"/>
        <v>195</v>
      </c>
      <c r="C214" s="1" t="s">
        <v>1010</v>
      </c>
      <c r="D214" t="s">
        <v>1011</v>
      </c>
    </row>
    <row r="215" spans="1:9" x14ac:dyDescent="0.2">
      <c r="B215" s="1">
        <f t="shared" si="12"/>
        <v>196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2"/>
        <v>197</v>
      </c>
      <c r="C216" t="s">
        <v>1012</v>
      </c>
      <c r="D216" t="s">
        <v>1013</v>
      </c>
    </row>
    <row r="217" spans="1:9" x14ac:dyDescent="0.2">
      <c r="B217" s="1">
        <f t="shared" si="12"/>
        <v>198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2"/>
        <v>199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2"/>
        <v>200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2"/>
        <v>201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2"/>
        <v>202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2"/>
        <v>203</v>
      </c>
      <c r="C222" t="s">
        <v>437</v>
      </c>
      <c r="D222" t="s">
        <v>436</v>
      </c>
    </row>
    <row r="223" spans="1:9" x14ac:dyDescent="0.2">
      <c r="B223" s="1">
        <f t="shared" si="12"/>
        <v>204</v>
      </c>
      <c r="C223" t="s">
        <v>438</v>
      </c>
      <c r="D223" t="s">
        <v>439</v>
      </c>
    </row>
    <row r="224" spans="1:9" x14ac:dyDescent="0.2">
      <c r="B224" s="1">
        <f t="shared" si="12"/>
        <v>205</v>
      </c>
      <c r="C224" s="1" t="s">
        <v>402</v>
      </c>
      <c r="D224" s="1" t="s">
        <v>403</v>
      </c>
    </row>
    <row r="225" spans="1:5" x14ac:dyDescent="0.2">
      <c r="B225" s="1">
        <f t="shared" si="12"/>
        <v>206</v>
      </c>
      <c r="C225" t="s">
        <v>755</v>
      </c>
      <c r="D225" t="s">
        <v>756</v>
      </c>
    </row>
    <row r="226" spans="1:5" x14ac:dyDescent="0.2">
      <c r="B226" s="1">
        <f t="shared" si="12"/>
        <v>207</v>
      </c>
      <c r="C226" t="s">
        <v>759</v>
      </c>
      <c r="D226" t="s">
        <v>760</v>
      </c>
    </row>
    <row r="227" spans="1:5" x14ac:dyDescent="0.2">
      <c r="B227" s="1">
        <f t="shared" si="12"/>
        <v>208</v>
      </c>
      <c r="C227" t="s">
        <v>763</v>
      </c>
      <c r="D227" t="s">
        <v>764</v>
      </c>
    </row>
    <row r="228" spans="1:5" x14ac:dyDescent="0.2">
      <c r="A228"/>
      <c r="B228" s="1">
        <f t="shared" si="12"/>
        <v>209</v>
      </c>
      <c r="C228" t="s">
        <v>765</v>
      </c>
      <c r="D228" t="s">
        <v>766</v>
      </c>
    </row>
    <row r="229" spans="1:5" x14ac:dyDescent="0.2">
      <c r="B229" s="1">
        <f t="shared" si="12"/>
        <v>210</v>
      </c>
      <c r="C229" t="s">
        <v>761</v>
      </c>
      <c r="D229" t="s">
        <v>762</v>
      </c>
    </row>
    <row r="230" spans="1:5" x14ac:dyDescent="0.2">
      <c r="B230" s="1">
        <f t="shared" si="12"/>
        <v>211</v>
      </c>
      <c r="C230" t="s">
        <v>757</v>
      </c>
      <c r="D230" t="s">
        <v>758</v>
      </c>
    </row>
    <row r="231" spans="1:5" x14ac:dyDescent="0.2">
      <c r="B231" s="1">
        <f t="shared" si="12"/>
        <v>212</v>
      </c>
      <c r="C231" t="s">
        <v>753</v>
      </c>
      <c r="D231" t="s">
        <v>754</v>
      </c>
    </row>
    <row r="232" spans="1:5" x14ac:dyDescent="0.2">
      <c r="B232" s="1">
        <f t="shared" si="12"/>
        <v>213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2"/>
        <v>214</v>
      </c>
      <c r="C233" s="1" t="s">
        <v>509</v>
      </c>
      <c r="D233" s="1" t="s">
        <v>510</v>
      </c>
    </row>
    <row r="234" spans="1:5" x14ac:dyDescent="0.2">
      <c r="B234" s="1">
        <f t="shared" si="12"/>
        <v>215</v>
      </c>
      <c r="C234" t="s">
        <v>515</v>
      </c>
      <c r="D234" t="s">
        <v>516</v>
      </c>
    </row>
    <row r="235" spans="1:5" x14ac:dyDescent="0.2">
      <c r="B235" s="1">
        <f t="shared" si="12"/>
        <v>216</v>
      </c>
      <c r="C235" t="s">
        <v>745</v>
      </c>
      <c r="D235" t="s">
        <v>746</v>
      </c>
    </row>
    <row r="236" spans="1:5" x14ac:dyDescent="0.2">
      <c r="B236" s="1">
        <f t="shared" si="12"/>
        <v>217</v>
      </c>
      <c r="C236" t="s">
        <v>747</v>
      </c>
      <c r="D236" t="s">
        <v>748</v>
      </c>
    </row>
    <row r="237" spans="1:5" x14ac:dyDescent="0.2">
      <c r="B237" s="1">
        <f t="shared" ref="B237:B300" si="15">B236+1</f>
        <v>218</v>
      </c>
      <c r="C237" t="s">
        <v>743</v>
      </c>
      <c r="D237" t="s">
        <v>744</v>
      </c>
    </row>
    <row r="238" spans="1:5" x14ac:dyDescent="0.2">
      <c r="B238" s="1">
        <f t="shared" si="15"/>
        <v>219</v>
      </c>
      <c r="C238" s="1" t="s">
        <v>526</v>
      </c>
      <c r="D238" s="1" t="s">
        <v>527</v>
      </c>
    </row>
    <row r="239" spans="1:5" x14ac:dyDescent="0.2">
      <c r="B239" s="1">
        <f t="shared" si="15"/>
        <v>220</v>
      </c>
      <c r="C239" t="s">
        <v>531</v>
      </c>
      <c r="D239" t="s">
        <v>532</v>
      </c>
    </row>
    <row r="240" spans="1:5" x14ac:dyDescent="0.2">
      <c r="B240" s="1">
        <f t="shared" si="15"/>
        <v>221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5"/>
        <v>222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5"/>
        <v>223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5"/>
        <v>224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5"/>
        <v>225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5"/>
        <v>226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5"/>
        <v>227</v>
      </c>
      <c r="C246" t="s">
        <v>805</v>
      </c>
      <c r="D246" t="s">
        <v>802</v>
      </c>
    </row>
    <row r="247" spans="1:5" x14ac:dyDescent="0.2">
      <c r="B247" s="1">
        <f t="shared" si="15"/>
        <v>228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5"/>
        <v>229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5"/>
        <v>230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5"/>
        <v>231</v>
      </c>
      <c r="C250" s="34" t="s">
        <v>551</v>
      </c>
      <c r="D250" s="34" t="s">
        <v>552</v>
      </c>
    </row>
    <row r="251" spans="1:5" x14ac:dyDescent="0.2">
      <c r="B251" s="1">
        <f t="shared" si="15"/>
        <v>232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5"/>
        <v>233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5"/>
        <v>234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5"/>
        <v>235</v>
      </c>
      <c r="C254" t="s">
        <v>559</v>
      </c>
      <c r="D254" t="s">
        <v>560</v>
      </c>
    </row>
    <row r="255" spans="1:5" x14ac:dyDescent="0.2">
      <c r="B255" s="1">
        <f t="shared" si="15"/>
        <v>236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5"/>
        <v>237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5"/>
        <v>238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5"/>
        <v>239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5"/>
        <v>240</v>
      </c>
      <c r="C259" t="s">
        <v>1008</v>
      </c>
      <c r="D259" t="s">
        <v>1009</v>
      </c>
    </row>
    <row r="260" spans="1:5" x14ac:dyDescent="0.2">
      <c r="B260" s="1">
        <f t="shared" si="15"/>
        <v>241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5"/>
        <v>242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5"/>
        <v>243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5"/>
        <v>244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5"/>
        <v>245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5"/>
        <v>246</v>
      </c>
      <c r="C265" s="34" t="s">
        <v>579</v>
      </c>
      <c r="D265" s="34" t="s">
        <v>580</v>
      </c>
      <c r="E265"/>
    </row>
    <row r="266" spans="1:5" x14ac:dyDescent="0.2">
      <c r="B266" s="1">
        <f t="shared" si="15"/>
        <v>247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5"/>
        <v>248</v>
      </c>
      <c r="C267" t="s">
        <v>818</v>
      </c>
      <c r="D267" t="s">
        <v>819</v>
      </c>
    </row>
    <row r="268" spans="1:5" x14ac:dyDescent="0.2">
      <c r="B268" s="1">
        <f t="shared" si="15"/>
        <v>249</v>
      </c>
      <c r="C268" t="s">
        <v>816</v>
      </c>
      <c r="D268" t="s">
        <v>817</v>
      </c>
    </row>
    <row r="269" spans="1:5" x14ac:dyDescent="0.2">
      <c r="B269" s="1">
        <f t="shared" si="15"/>
        <v>250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5"/>
        <v>251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5"/>
        <v>252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5"/>
        <v>253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5"/>
        <v>254</v>
      </c>
      <c r="C273" t="s">
        <v>1000</v>
      </c>
      <c r="D273" t="s">
        <v>1001</v>
      </c>
    </row>
    <row r="274" spans="1:29" x14ac:dyDescent="0.2">
      <c r="A274"/>
      <c r="B274" s="1">
        <f t="shared" si="15"/>
        <v>255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5"/>
        <v>256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5"/>
        <v>257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5"/>
        <v>258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5"/>
        <v>259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5"/>
        <v>260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5"/>
        <v>261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5"/>
        <v>262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5"/>
        <v>263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5"/>
        <v>264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5"/>
        <v>265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5"/>
        <v>266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[85]Main!$M$5-[85]Main!$M$6</f>
        <v>236.422</v>
      </c>
      <c r="H285" s="6">
        <f>F285-G285</f>
        <v>416.95678099999998</v>
      </c>
      <c r="I285" s="9">
        <v>45063</v>
      </c>
      <c r="J285" s="6">
        <f>[85]Main!$M$3</f>
        <v>19.799357000000001</v>
      </c>
      <c r="AC285" s="1">
        <v>2017</v>
      </c>
    </row>
    <row r="286" spans="1:29" x14ac:dyDescent="0.2">
      <c r="B286" s="1">
        <f t="shared" si="15"/>
        <v>267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[86]Main!$K$5-[86]Main!$K$6</f>
        <v>54.983000000000004</v>
      </c>
      <c r="H286" s="6">
        <f>F286-G286</f>
        <v>-42.469815400000002</v>
      </c>
      <c r="I286" s="9">
        <v>45063</v>
      </c>
      <c r="J286" s="6">
        <f>[86]Main!$K$3</f>
        <v>35.751956</v>
      </c>
    </row>
    <row r="287" spans="1:29" x14ac:dyDescent="0.2">
      <c r="A287" s="1" t="s">
        <v>341</v>
      </c>
      <c r="B287" s="1">
        <f t="shared" si="15"/>
        <v>268</v>
      </c>
      <c r="C287" s="1" t="s">
        <v>601</v>
      </c>
      <c r="D287" s="1" t="s">
        <v>602</v>
      </c>
    </row>
    <row r="288" spans="1:29" x14ac:dyDescent="0.2">
      <c r="B288" s="1">
        <f t="shared" si="15"/>
        <v>269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5"/>
        <v>270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5"/>
        <v>271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5"/>
        <v>272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5"/>
        <v>273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5"/>
        <v>274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5"/>
        <v>275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5"/>
        <v>276</v>
      </c>
      <c r="C295" t="s">
        <v>683</v>
      </c>
      <c r="D295" t="s">
        <v>684</v>
      </c>
    </row>
    <row r="296" spans="1:4" x14ac:dyDescent="0.2">
      <c r="B296" s="1">
        <f t="shared" si="15"/>
        <v>277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5"/>
        <v>278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5"/>
        <v>279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5"/>
        <v>280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5"/>
        <v>281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6">B300+1</f>
        <v>282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6"/>
        <v>283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6"/>
        <v>284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6"/>
        <v>285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6"/>
        <v>286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6"/>
        <v>287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6"/>
        <v>288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6"/>
        <v>289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6"/>
        <v>290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6"/>
        <v>291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6"/>
        <v>292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6"/>
        <v>293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6"/>
        <v>294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6"/>
        <v>295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6"/>
        <v>296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6"/>
        <v>297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6"/>
        <v>298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6"/>
        <v>299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6"/>
        <v>300</v>
      </c>
      <c r="C319" t="s">
        <v>846</v>
      </c>
      <c r="D319" t="s">
        <v>847</v>
      </c>
    </row>
    <row r="320" spans="1:4" x14ac:dyDescent="0.2">
      <c r="A320"/>
      <c r="B320" s="1">
        <f t="shared" si="16"/>
        <v>301</v>
      </c>
      <c r="C320" t="s">
        <v>848</v>
      </c>
      <c r="D320" t="s">
        <v>849</v>
      </c>
    </row>
    <row r="321" spans="1:5" x14ac:dyDescent="0.2">
      <c r="A321" t="s">
        <v>341</v>
      </c>
      <c r="B321" s="1">
        <f t="shared" si="16"/>
        <v>302</v>
      </c>
      <c r="C321" s="5" t="s">
        <v>850</v>
      </c>
      <c r="D321" t="s">
        <v>851</v>
      </c>
      <c r="E321" s="3">
        <v>1.73</v>
      </c>
    </row>
    <row r="322" spans="1:5" x14ac:dyDescent="0.2">
      <c r="A322" t="s">
        <v>341</v>
      </c>
      <c r="B322" s="1">
        <f t="shared" si="16"/>
        <v>303</v>
      </c>
      <c r="C322" t="s">
        <v>852</v>
      </c>
      <c r="D322" t="s">
        <v>853</v>
      </c>
    </row>
    <row r="323" spans="1:5" x14ac:dyDescent="0.2">
      <c r="A323" t="s">
        <v>341</v>
      </c>
      <c r="B323" s="1">
        <f t="shared" si="16"/>
        <v>304</v>
      </c>
      <c r="C323" t="s">
        <v>854</v>
      </c>
      <c r="D323" t="s">
        <v>855</v>
      </c>
    </row>
    <row r="324" spans="1:5" x14ac:dyDescent="0.2">
      <c r="A324"/>
      <c r="B324" s="1">
        <f t="shared" si="16"/>
        <v>305</v>
      </c>
      <c r="C324" t="s">
        <v>856</v>
      </c>
      <c r="D324" t="s">
        <v>857</v>
      </c>
    </row>
    <row r="325" spans="1:5" x14ac:dyDescent="0.2">
      <c r="A325"/>
      <c r="B325" s="1">
        <f t="shared" si="16"/>
        <v>306</v>
      </c>
      <c r="C325" t="s">
        <v>858</v>
      </c>
      <c r="D325" t="s">
        <v>859</v>
      </c>
    </row>
    <row r="326" spans="1:5" x14ac:dyDescent="0.2">
      <c r="A326" t="s">
        <v>341</v>
      </c>
      <c r="B326" s="1">
        <f t="shared" si="16"/>
        <v>307</v>
      </c>
      <c r="C326" t="s">
        <v>860</v>
      </c>
      <c r="D326" t="s">
        <v>861</v>
      </c>
    </row>
    <row r="327" spans="1:5" x14ac:dyDescent="0.2">
      <c r="A327" t="s">
        <v>341</v>
      </c>
      <c r="B327" s="1">
        <f t="shared" si="16"/>
        <v>308</v>
      </c>
      <c r="C327" t="s">
        <v>862</v>
      </c>
      <c r="D327" t="s">
        <v>863</v>
      </c>
    </row>
    <row r="328" spans="1:5" x14ac:dyDescent="0.2">
      <c r="A328" t="s">
        <v>341</v>
      </c>
      <c r="B328" s="1">
        <f t="shared" si="16"/>
        <v>309</v>
      </c>
      <c r="C328" t="s">
        <v>864</v>
      </c>
      <c r="D328" t="s">
        <v>865</v>
      </c>
    </row>
    <row r="329" spans="1:5" x14ac:dyDescent="0.2">
      <c r="A329" t="s">
        <v>341</v>
      </c>
      <c r="B329" s="1">
        <f t="shared" si="16"/>
        <v>310</v>
      </c>
      <c r="C329" t="s">
        <v>866</v>
      </c>
      <c r="D329" t="s">
        <v>867</v>
      </c>
    </row>
    <row r="330" spans="1:5" x14ac:dyDescent="0.2">
      <c r="A330" t="s">
        <v>341</v>
      </c>
      <c r="B330" s="1">
        <f t="shared" si="16"/>
        <v>311</v>
      </c>
      <c r="C330" t="s">
        <v>868</v>
      </c>
      <c r="D330" t="s">
        <v>869</v>
      </c>
    </row>
    <row r="331" spans="1:5" x14ac:dyDescent="0.2">
      <c r="A331" t="s">
        <v>341</v>
      </c>
      <c r="B331" s="1">
        <f t="shared" si="16"/>
        <v>312</v>
      </c>
      <c r="C331" t="s">
        <v>870</v>
      </c>
      <c r="D331" t="s">
        <v>871</v>
      </c>
    </row>
    <row r="332" spans="1:5" x14ac:dyDescent="0.2">
      <c r="A332"/>
      <c r="B332" s="1">
        <f t="shared" si="16"/>
        <v>313</v>
      </c>
      <c r="C332" t="s">
        <v>872</v>
      </c>
      <c r="D332" t="s">
        <v>873</v>
      </c>
    </row>
    <row r="333" spans="1:5" x14ac:dyDescent="0.2">
      <c r="A333" t="s">
        <v>341</v>
      </c>
      <c r="B333" s="1">
        <f t="shared" ref="B333:B362" si="17">B332+1</f>
        <v>314</v>
      </c>
      <c r="C333" t="s">
        <v>874</v>
      </c>
      <c r="D333" t="s">
        <v>875</v>
      </c>
    </row>
    <row r="334" spans="1:5" x14ac:dyDescent="0.2">
      <c r="A334" t="s">
        <v>341</v>
      </c>
      <c r="B334" s="1">
        <f t="shared" si="17"/>
        <v>315</v>
      </c>
      <c r="C334" t="s">
        <v>876</v>
      </c>
      <c r="D334" t="s">
        <v>877</v>
      </c>
    </row>
    <row r="335" spans="1:5" x14ac:dyDescent="0.2">
      <c r="A335" t="s">
        <v>341</v>
      </c>
      <c r="B335" s="1">
        <f t="shared" si="17"/>
        <v>316</v>
      </c>
      <c r="C335" t="s">
        <v>878</v>
      </c>
      <c r="D335" t="s">
        <v>879</v>
      </c>
    </row>
    <row r="336" spans="1:5" x14ac:dyDescent="0.2">
      <c r="A336" t="s">
        <v>341</v>
      </c>
      <c r="B336" s="1">
        <f t="shared" si="17"/>
        <v>317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7"/>
        <v>318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7"/>
        <v>319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7"/>
        <v>320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7"/>
        <v>321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7"/>
        <v>322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7"/>
        <v>323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7"/>
        <v>324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7"/>
        <v>325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7"/>
        <v>326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7"/>
        <v>327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7"/>
        <v>328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7"/>
        <v>329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7"/>
        <v>330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7"/>
        <v>331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7"/>
        <v>332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7"/>
        <v>333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7"/>
        <v>334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7"/>
        <v>335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7"/>
        <v>336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7"/>
        <v>337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7"/>
        <v>338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7"/>
        <v>339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7"/>
        <v>340</v>
      </c>
      <c r="C359" t="s">
        <v>926</v>
      </c>
      <c r="D359" t="s">
        <v>927</v>
      </c>
    </row>
    <row r="360" spans="1:4" x14ac:dyDescent="0.2">
      <c r="A360"/>
      <c r="B360" s="1">
        <f t="shared" si="17"/>
        <v>341</v>
      </c>
      <c r="C360" t="s">
        <v>928</v>
      </c>
      <c r="D360" t="s">
        <v>929</v>
      </c>
    </row>
    <row r="361" spans="1:4" x14ac:dyDescent="0.2">
      <c r="A361"/>
      <c r="B361" s="1">
        <f t="shared" si="17"/>
        <v>342</v>
      </c>
      <c r="C361" t="s">
        <v>930</v>
      </c>
      <c r="D361" t="s">
        <v>931</v>
      </c>
    </row>
    <row r="362" spans="1:4" x14ac:dyDescent="0.2">
      <c r="A362"/>
      <c r="B362" s="1">
        <f t="shared" si="17"/>
        <v>343</v>
      </c>
      <c r="C362" t="s">
        <v>932</v>
      </c>
      <c r="D362" t="s">
        <v>933</v>
      </c>
    </row>
    <row r="363" spans="1:4" x14ac:dyDescent="0.2">
      <c r="A363"/>
      <c r="B363" s="1">
        <f t="shared" ref="B363:B393" si="18">B362+1</f>
        <v>344</v>
      </c>
      <c r="C363" t="s">
        <v>934</v>
      </c>
      <c r="D363" t="s">
        <v>935</v>
      </c>
    </row>
    <row r="364" spans="1:4" x14ac:dyDescent="0.2">
      <c r="A364"/>
      <c r="B364" s="1">
        <f t="shared" si="18"/>
        <v>345</v>
      </c>
      <c r="C364" t="s">
        <v>936</v>
      </c>
      <c r="D364" t="s">
        <v>937</v>
      </c>
    </row>
    <row r="365" spans="1:4" x14ac:dyDescent="0.2">
      <c r="A365"/>
      <c r="B365" s="1">
        <f t="shared" si="18"/>
        <v>346</v>
      </c>
      <c r="C365" t="s">
        <v>938</v>
      </c>
      <c r="D365" t="s">
        <v>939</v>
      </c>
    </row>
    <row r="366" spans="1:4" x14ac:dyDescent="0.2">
      <c r="A366"/>
      <c r="B366" s="1">
        <f t="shared" si="18"/>
        <v>347</v>
      </c>
      <c r="C366" t="s">
        <v>940</v>
      </c>
      <c r="D366" t="s">
        <v>941</v>
      </c>
    </row>
    <row r="367" spans="1:4" x14ac:dyDescent="0.2">
      <c r="A367"/>
      <c r="B367" s="1">
        <f t="shared" si="18"/>
        <v>348</v>
      </c>
      <c r="C367" t="s">
        <v>942</v>
      </c>
      <c r="D367" t="s">
        <v>943</v>
      </c>
    </row>
    <row r="368" spans="1:4" x14ac:dyDescent="0.2">
      <c r="A368"/>
      <c r="B368" s="1">
        <f t="shared" si="18"/>
        <v>349</v>
      </c>
      <c r="C368" t="s">
        <v>944</v>
      </c>
      <c r="D368" t="s">
        <v>945</v>
      </c>
    </row>
    <row r="369" spans="1:4" x14ac:dyDescent="0.2">
      <c r="A369"/>
      <c r="B369" s="1">
        <f t="shared" si="18"/>
        <v>350</v>
      </c>
      <c r="C369" t="s">
        <v>946</v>
      </c>
      <c r="D369" t="s">
        <v>947</v>
      </c>
    </row>
    <row r="370" spans="1:4" x14ac:dyDescent="0.2">
      <c r="A370"/>
      <c r="B370" s="1">
        <f t="shared" si="18"/>
        <v>351</v>
      </c>
      <c r="C370" t="s">
        <v>948</v>
      </c>
      <c r="D370" t="s">
        <v>951</v>
      </c>
    </row>
    <row r="371" spans="1:4" x14ac:dyDescent="0.2">
      <c r="A371"/>
      <c r="B371" s="1">
        <f t="shared" si="18"/>
        <v>352</v>
      </c>
      <c r="C371" t="s">
        <v>949</v>
      </c>
      <c r="D371" t="s">
        <v>950</v>
      </c>
    </row>
    <row r="372" spans="1:4" x14ac:dyDescent="0.2">
      <c r="A372"/>
      <c r="B372" s="1">
        <f t="shared" si="18"/>
        <v>353</v>
      </c>
      <c r="C372" t="s">
        <v>952</v>
      </c>
      <c r="D372" t="s">
        <v>953</v>
      </c>
    </row>
    <row r="373" spans="1:4" x14ac:dyDescent="0.2">
      <c r="A373"/>
      <c r="B373" s="1">
        <f t="shared" si="18"/>
        <v>354</v>
      </c>
      <c r="C373" t="s">
        <v>954</v>
      </c>
      <c r="D373" t="s">
        <v>955</v>
      </c>
    </row>
    <row r="374" spans="1:4" x14ac:dyDescent="0.2">
      <c r="A374"/>
      <c r="B374" s="1">
        <f t="shared" si="18"/>
        <v>355</v>
      </c>
      <c r="C374" t="s">
        <v>956</v>
      </c>
      <c r="D374" t="s">
        <v>957</v>
      </c>
    </row>
    <row r="375" spans="1:4" x14ac:dyDescent="0.2">
      <c r="A375"/>
      <c r="B375" s="1">
        <f t="shared" si="18"/>
        <v>356</v>
      </c>
      <c r="C375" t="s">
        <v>958</v>
      </c>
      <c r="D375" t="s">
        <v>959</v>
      </c>
    </row>
    <row r="376" spans="1:4" x14ac:dyDescent="0.2">
      <c r="A376"/>
      <c r="B376" s="1">
        <f t="shared" si="18"/>
        <v>357</v>
      </c>
      <c r="C376" t="s">
        <v>960</v>
      </c>
      <c r="D376" t="s">
        <v>961</v>
      </c>
    </row>
    <row r="377" spans="1:4" x14ac:dyDescent="0.2">
      <c r="A377"/>
      <c r="B377" s="1">
        <f t="shared" si="18"/>
        <v>358</v>
      </c>
      <c r="C377" t="s">
        <v>962</v>
      </c>
      <c r="D377" t="s">
        <v>963</v>
      </c>
    </row>
    <row r="378" spans="1:4" x14ac:dyDescent="0.2">
      <c r="A378"/>
      <c r="B378" s="1">
        <f t="shared" si="18"/>
        <v>359</v>
      </c>
      <c r="C378" t="s">
        <v>964</v>
      </c>
      <c r="D378" t="s">
        <v>965</v>
      </c>
    </row>
    <row r="379" spans="1:4" x14ac:dyDescent="0.2">
      <c r="A379"/>
      <c r="B379" s="1">
        <f t="shared" si="18"/>
        <v>360</v>
      </c>
      <c r="C379" t="s">
        <v>966</v>
      </c>
      <c r="D379" t="s">
        <v>967</v>
      </c>
    </row>
    <row r="380" spans="1:4" x14ac:dyDescent="0.2">
      <c r="A380"/>
      <c r="B380" s="1">
        <f t="shared" si="18"/>
        <v>361</v>
      </c>
      <c r="C380" t="s">
        <v>968</v>
      </c>
      <c r="D380" t="s">
        <v>969</v>
      </c>
    </row>
    <row r="381" spans="1:4" x14ac:dyDescent="0.2">
      <c r="A381"/>
      <c r="B381" s="1">
        <f t="shared" si="18"/>
        <v>362</v>
      </c>
      <c r="C381" t="s">
        <v>970</v>
      </c>
      <c r="D381" t="s">
        <v>971</v>
      </c>
    </row>
    <row r="382" spans="1:4" x14ac:dyDescent="0.2">
      <c r="A382"/>
      <c r="B382" s="1">
        <f t="shared" si="18"/>
        <v>363</v>
      </c>
      <c r="C382" t="s">
        <v>972</v>
      </c>
      <c r="D382" t="s">
        <v>973</v>
      </c>
    </row>
    <row r="383" spans="1:4" x14ac:dyDescent="0.2">
      <c r="A383"/>
      <c r="B383" s="1">
        <f t="shared" si="18"/>
        <v>364</v>
      </c>
      <c r="C383" t="s">
        <v>974</v>
      </c>
      <c r="D383" t="s">
        <v>975</v>
      </c>
    </row>
    <row r="384" spans="1:4" x14ac:dyDescent="0.2">
      <c r="A384"/>
      <c r="B384" s="1">
        <f t="shared" si="18"/>
        <v>365</v>
      </c>
      <c r="C384" t="s">
        <v>976</v>
      </c>
      <c r="D384" t="s">
        <v>977</v>
      </c>
    </row>
    <row r="385" spans="1:11" x14ac:dyDescent="0.2">
      <c r="A385"/>
      <c r="B385" s="1">
        <f t="shared" si="18"/>
        <v>366</v>
      </c>
      <c r="C385" t="s">
        <v>978</v>
      </c>
      <c r="D385" t="s">
        <v>979</v>
      </c>
    </row>
    <row r="386" spans="1:11" x14ac:dyDescent="0.2">
      <c r="A386"/>
      <c r="B386" s="1">
        <f t="shared" si="18"/>
        <v>367</v>
      </c>
      <c r="C386" t="s">
        <v>980</v>
      </c>
      <c r="D386" t="s">
        <v>981</v>
      </c>
    </row>
    <row r="387" spans="1:11" x14ac:dyDescent="0.2">
      <c r="A387"/>
      <c r="B387" s="1">
        <f t="shared" si="18"/>
        <v>368</v>
      </c>
      <c r="C387" t="s">
        <v>982</v>
      </c>
      <c r="D387" t="s">
        <v>983</v>
      </c>
    </row>
    <row r="388" spans="1:11" x14ac:dyDescent="0.2">
      <c r="A388"/>
      <c r="B388" s="1">
        <f t="shared" si="18"/>
        <v>369</v>
      </c>
      <c r="C388" t="s">
        <v>984</v>
      </c>
      <c r="D388" t="s">
        <v>985</v>
      </c>
    </row>
    <row r="389" spans="1:11" x14ac:dyDescent="0.2">
      <c r="A389"/>
      <c r="B389" s="1">
        <f t="shared" si="18"/>
        <v>370</v>
      </c>
      <c r="C389" t="s">
        <v>986</v>
      </c>
      <c r="D389" t="s">
        <v>987</v>
      </c>
    </row>
    <row r="390" spans="1:11" x14ac:dyDescent="0.2">
      <c r="A390"/>
      <c r="B390" s="1">
        <f t="shared" si="18"/>
        <v>371</v>
      </c>
      <c r="C390" t="s">
        <v>988</v>
      </c>
      <c r="D390" t="s">
        <v>989</v>
      </c>
    </row>
    <row r="391" spans="1:11" x14ac:dyDescent="0.2">
      <c r="A391"/>
      <c r="B391" s="1">
        <f t="shared" si="18"/>
        <v>372</v>
      </c>
      <c r="C391" t="s">
        <v>990</v>
      </c>
      <c r="D391" t="s">
        <v>991</v>
      </c>
    </row>
    <row r="392" spans="1:11" x14ac:dyDescent="0.2">
      <c r="B392" s="1">
        <f t="shared" si="18"/>
        <v>373</v>
      </c>
      <c r="C392" s="1" t="s">
        <v>1126</v>
      </c>
      <c r="D392" s="1" t="s">
        <v>1127</v>
      </c>
    </row>
    <row r="393" spans="1:11" x14ac:dyDescent="0.2">
      <c r="B393" s="1">
        <f t="shared" si="18"/>
        <v>374</v>
      </c>
      <c r="C393" s="5" t="s">
        <v>1128</v>
      </c>
      <c r="D393" t="s">
        <v>1129</v>
      </c>
      <c r="E393" s="7">
        <v>5</v>
      </c>
      <c r="F393" s="6">
        <f>+E393*J393</f>
        <v>216.57198499999998</v>
      </c>
      <c r="G393" s="6">
        <f>+[87]Main!$J$5-[87]Main!$J$6</f>
        <v>104.35299999999999</v>
      </c>
      <c r="H393" s="6">
        <f>+F393-G393</f>
        <v>112.21898499999999</v>
      </c>
      <c r="I393" s="3" t="s">
        <v>1101</v>
      </c>
      <c r="J393" s="6">
        <f>+[87]Main!$J$3</f>
        <v>43.314397</v>
      </c>
      <c r="K393" s="9">
        <v>45525</v>
      </c>
    </row>
  </sheetData>
  <sortState xmlns:xlrd2="http://schemas.microsoft.com/office/spreadsheetml/2017/richdata2" ref="A125:AC179">
    <sortCondition descending="1" ref="F125:F179"/>
  </sortState>
  <mergeCells count="2">
    <mergeCell ref="Q2:V2"/>
    <mergeCell ref="W2:AB2"/>
  </mergeCells>
  <hyperlinks>
    <hyperlink ref="C8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2" r:id="rId8" xr:uid="{A38EC1E4-9170-422B-A9F5-3B6EB77DF40A}"/>
    <hyperlink ref="C5" r:id="rId9" xr:uid="{CCC45DFB-BF73-4A15-8527-F4C3C617F472}"/>
    <hyperlink ref="C26" r:id="rId10" xr:uid="{FC86E1B4-4BA7-43A8-8FCA-CC27867A7922}"/>
    <hyperlink ref="C17" r:id="rId11" xr:uid="{F9D09B0D-FACB-4CCA-872E-286E56965815}"/>
    <hyperlink ref="C18" r:id="rId12" xr:uid="{5A59EF45-A9EA-44F3-BECB-EFED8413DCF6}"/>
    <hyperlink ref="C7" r:id="rId13" xr:uid="{0888F4DA-9569-4326-990C-43015A33BD61}"/>
    <hyperlink ref="C20" r:id="rId14" xr:uid="{C2959A9B-7367-43D7-934F-562A915DC4DD}"/>
    <hyperlink ref="C21" r:id="rId15" xr:uid="{A069369A-FB97-4A4A-A581-321FA79E4250}"/>
    <hyperlink ref="C51" r:id="rId16" xr:uid="{6EF35D30-7113-4CE8-9077-C5BE97F74D36}"/>
    <hyperlink ref="C19" r:id="rId17" xr:uid="{1F769FA7-6B90-4B6B-9BCC-7D6679675B06}"/>
    <hyperlink ref="C27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6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6" r:id="rId41" xr:uid="{467EEBCD-6BD7-4E71-B2C9-FCF3DB57F059}"/>
    <hyperlink ref="C204" r:id="rId42" xr:uid="{6A576FDB-A573-4A00-8381-4BECF13B35A1}"/>
    <hyperlink ref="C25" r:id="rId43" xr:uid="{994E2867-C411-41E7-8332-43A0B3B0CC2B}"/>
    <hyperlink ref="C118" r:id="rId44" xr:uid="{51C9506E-5D60-43F8-BADA-7F72A25DAFF6}"/>
    <hyperlink ref="C95" r:id="rId45" xr:uid="{9E4325F2-98CF-4735-96D0-66A9DC5A8E86}"/>
    <hyperlink ref="C183" r:id="rId46" xr:uid="{6D062383-838D-42C7-BFCD-E5C9DC258548}"/>
    <hyperlink ref="C34" r:id="rId47" xr:uid="{3F36D809-73FC-441C-88D2-EEB42A40734A}"/>
    <hyperlink ref="C23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1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4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3" r:id="rId72" xr:uid="{AE3A3FD9-E651-4A72-81DB-B29CC61B516B}"/>
    <hyperlink ref="C59" r:id="rId73" xr:uid="{6FA4EBE7-4729-4097-A12F-CAD4CB58FFA6}"/>
    <hyperlink ref="C98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8" r:id="rId81" xr:uid="{A79848CD-7CC3-4C10-B9EC-DDD33362E673}"/>
    <hyperlink ref="C97" r:id="rId82" xr:uid="{ED810682-5208-4265-9E0E-6746A399EA34}"/>
    <hyperlink ref="C117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5" r:id="rId87" xr:uid="{D181F941-FF02-423B-9F90-890B434046DD}"/>
    <hyperlink ref="C146" r:id="rId88" xr:uid="{1924D31B-B6B9-4CB2-936E-0F68E40FA2F5}"/>
    <hyperlink ref="C116" r:id="rId89" xr:uid="{8E97DA51-E6CD-4B11-B6F8-BD0A3CC93541}"/>
    <hyperlink ref="C91" r:id="rId90" xr:uid="{BACD6400-1341-654E-A5B2-576C65F8052B}"/>
    <hyperlink ref="C321" r:id="rId91" xr:uid="{C4CF7488-CAF7-4516-AB24-0FC50F0916A3}"/>
    <hyperlink ref="C92" r:id="rId92" xr:uid="{2B6C4E35-2657-4D1A-8D80-C54F892964F4}"/>
    <hyperlink ref="C10" r:id="rId93" xr:uid="{D4CC8F9A-CC3B-EE41-860B-629E01D90BFD}"/>
    <hyperlink ref="C393" r:id="rId94" xr:uid="{C4EB2FD5-19C2-4B46-A645-6A4B58B3BF48}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291</v>
      </c>
    </row>
    <row r="2" spans="1:109" x14ac:dyDescent="0.2">
      <c r="B2" t="s">
        <v>1124</v>
      </c>
      <c r="C2" t="s">
        <v>648</v>
      </c>
      <c r="D2" t="s">
        <v>645</v>
      </c>
      <c r="E2" s="28" t="s">
        <v>1115</v>
      </c>
      <c r="F2" s="28" t="s">
        <v>1116</v>
      </c>
      <c r="G2" s="28" t="s">
        <v>1117</v>
      </c>
      <c r="H2" s="28" t="s">
        <v>1120</v>
      </c>
      <c r="I2" s="28" t="s">
        <v>1121</v>
      </c>
      <c r="J2" s="28" t="s">
        <v>1122</v>
      </c>
      <c r="K2" s="28" t="s">
        <v>1123</v>
      </c>
      <c r="M2" s="28" t="s">
        <v>638</v>
      </c>
      <c r="N2" s="28" t="s">
        <v>639</v>
      </c>
      <c r="O2" s="28" t="s">
        <v>640</v>
      </c>
      <c r="P2" s="28" t="s">
        <v>641</v>
      </c>
      <c r="Q2" s="28" t="s">
        <v>642</v>
      </c>
      <c r="R2" s="28" t="s">
        <v>643</v>
      </c>
      <c r="S2" s="28" t="s">
        <v>1071</v>
      </c>
      <c r="T2" s="28" t="s">
        <v>1072</v>
      </c>
      <c r="U2" s="28" t="s">
        <v>1073</v>
      </c>
      <c r="V2" s="28" t="s">
        <v>1074</v>
      </c>
      <c r="W2" s="28" t="s">
        <v>1075</v>
      </c>
      <c r="X2" s="28" t="s">
        <v>1076</v>
      </c>
      <c r="Y2" s="28" t="s">
        <v>1080</v>
      </c>
      <c r="Z2" s="28" t="s">
        <v>1081</v>
      </c>
      <c r="AA2" s="28" t="s">
        <v>1082</v>
      </c>
      <c r="AB2" s="28" t="s">
        <v>1083</v>
      </c>
      <c r="AC2" s="28" t="s">
        <v>1102</v>
      </c>
      <c r="AD2" s="28" t="s">
        <v>1103</v>
      </c>
      <c r="AE2" s="28" t="s">
        <v>1104</v>
      </c>
      <c r="AF2" s="28" t="s">
        <v>1105</v>
      </c>
      <c r="AG2" s="28" t="s">
        <v>1106</v>
      </c>
      <c r="AH2" s="28" t="s">
        <v>1107</v>
      </c>
      <c r="AI2" s="28" t="s">
        <v>1108</v>
      </c>
      <c r="AJ2" s="28" t="s">
        <v>1109</v>
      </c>
      <c r="AK2" s="28" t="s">
        <v>1110</v>
      </c>
      <c r="AL2" s="28" t="s">
        <v>1111</v>
      </c>
      <c r="AM2" s="28" t="s">
        <v>1112</v>
      </c>
      <c r="AN2" s="28" t="s">
        <v>1113</v>
      </c>
      <c r="AO2" s="28" t="s">
        <v>1114</v>
      </c>
    </row>
    <row r="3" spans="1:109" x14ac:dyDescent="0.2">
      <c r="B3" t="s">
        <v>1077</v>
      </c>
      <c r="C3" t="s">
        <v>1078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644</v>
      </c>
      <c r="C4" t="s">
        <v>20</v>
      </c>
      <c r="D4" t="s">
        <v>646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668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672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1118</v>
      </c>
      <c r="C7" t="s">
        <v>1119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666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661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1125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655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664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669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670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665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667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675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653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649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671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663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657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660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647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659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673</v>
      </c>
      <c r="C26" t="s">
        <v>674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651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650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652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654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656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658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1130</v>
      </c>
      <c r="C33" t="s">
        <v>31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1131</v>
      </c>
      <c r="C34" t="s">
        <v>31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1132</v>
      </c>
      <c r="C35" t="s">
        <v>31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1133</v>
      </c>
      <c r="C36" t="s">
        <v>31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1134</v>
      </c>
      <c r="C37" t="s">
        <v>31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1135</v>
      </c>
      <c r="C38" t="s">
        <v>31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1136</v>
      </c>
      <c r="C39" t="s">
        <v>31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1137</v>
      </c>
      <c r="C40" t="s">
        <v>31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1138</v>
      </c>
      <c r="C41" t="s">
        <v>31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1139</v>
      </c>
      <c r="C42" t="s">
        <v>31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1140</v>
      </c>
      <c r="C43" t="s">
        <v>31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1141</v>
      </c>
      <c r="C44" t="s">
        <v>31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1079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24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23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24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42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60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3" sqref="C3"/>
    </sheetView>
  </sheetViews>
  <sheetFormatPr defaultColWidth="8.85546875" defaultRowHeight="12.75" x14ac:dyDescent="0.2"/>
  <cols>
    <col min="1" max="1" width="4.85546875" bestFit="1" customWidth="1"/>
  </cols>
  <sheetData>
    <row r="1" spans="1:3" x14ac:dyDescent="0.2">
      <c r="A1" s="5" t="s">
        <v>291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381</v>
      </c>
      <c r="C7">
        <v>145.25</v>
      </c>
    </row>
    <row r="8" spans="1:3" x14ac:dyDescent="0.2">
      <c r="B8" t="s">
        <v>404</v>
      </c>
      <c r="C8">
        <v>7.85</v>
      </c>
    </row>
    <row r="9" spans="1:3" x14ac:dyDescent="0.2">
      <c r="B9" t="s">
        <v>406</v>
      </c>
      <c r="C9">
        <v>1433</v>
      </c>
    </row>
    <row r="10" spans="1:3" x14ac:dyDescent="0.2">
      <c r="B10" t="s">
        <v>442</v>
      </c>
      <c r="C10">
        <v>82.55</v>
      </c>
    </row>
    <row r="11" spans="1:3" x14ac:dyDescent="0.2">
      <c r="B11" t="s">
        <v>447</v>
      </c>
      <c r="C11">
        <v>6.77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tabSelected="1"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8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8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8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8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  <c r="E16" t="s">
        <v>400</v>
      </c>
      <c r="F16">
        <v>270</v>
      </c>
      <c r="G16" t="s">
        <v>1142</v>
      </c>
      <c r="H16" s="38">
        <v>44697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8">
        <v>44657</v>
      </c>
      <c r="I18" t="s">
        <v>1021</v>
      </c>
    </row>
    <row r="19" spans="2:9" x14ac:dyDescent="0.2">
      <c r="B19" t="s">
        <v>497</v>
      </c>
    </row>
    <row r="20" spans="2:9" x14ac:dyDescent="0.2">
      <c r="B20" t="s">
        <v>1143</v>
      </c>
      <c r="E20" t="s">
        <v>615</v>
      </c>
      <c r="F20">
        <v>110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8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8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8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8">
        <v>44118</v>
      </c>
    </row>
    <row r="25" spans="2:9" x14ac:dyDescent="0.2">
      <c r="H25" s="38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8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8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8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8">
        <v>45314</v>
      </c>
    </row>
    <row r="33" spans="2:8" x14ac:dyDescent="0.2">
      <c r="B33" t="s">
        <v>1144</v>
      </c>
      <c r="H33" s="38"/>
    </row>
    <row r="34" spans="2:8" x14ac:dyDescent="0.2">
      <c r="B34" t="s">
        <v>499</v>
      </c>
      <c r="E34" t="s">
        <v>400</v>
      </c>
      <c r="F34">
        <v>259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8">
        <v>45030</v>
      </c>
    </row>
    <row r="41" spans="2:8" x14ac:dyDescent="0.2">
      <c r="B41" t="s">
        <v>1028</v>
      </c>
      <c r="C41">
        <v>2020</v>
      </c>
      <c r="F41">
        <v>20</v>
      </c>
      <c r="H41" s="38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8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8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8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8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8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8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8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+[88]Main!$K$5-[88]Main!$K$6</f>
        <v>1763.7020000000002</v>
      </c>
      <c r="G23" s="6">
        <f>+E23-F23</f>
        <v>34738.017536599997</v>
      </c>
      <c r="H23" s="3" t="s">
        <v>427</v>
      </c>
      <c r="I23" s="6">
        <f>+[88]Main!$K$3</f>
        <v>185.66490099999999</v>
      </c>
      <c r="J23" s="9">
        <v>44919</v>
      </c>
      <c r="K23" s="7">
        <f>+[88]Model!$AO$27</f>
        <v>119.56497461195261</v>
      </c>
      <c r="L23" s="10">
        <f>+K23/D23-1</f>
        <v>-0.39183634480186869</v>
      </c>
      <c r="M23" s="10">
        <f>+[88]Model!$AO$25</f>
        <v>0.03</v>
      </c>
      <c r="N23" s="10">
        <f>+[88]Model!$AO$24</f>
        <v>-0.01</v>
      </c>
      <c r="O23" s="10">
        <f>+[88]Model!$AO$23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+[89]Main!$L$5-[89]Main!$L$6</f>
        <v>-434.61299999999983</v>
      </c>
      <c r="G24" s="6">
        <f>E24-F24</f>
        <v>26084.613000000001</v>
      </c>
      <c r="H24" s="3" t="s">
        <v>427</v>
      </c>
      <c r="I24" s="6">
        <f>+[89]Main!$L$3</f>
        <v>226.621465</v>
      </c>
      <c r="J24" s="9">
        <v>44925</v>
      </c>
    </row>
    <row r="25" spans="1:15" x14ac:dyDescent="0.2">
      <c r="A25" s="1">
        <f>+Main!B36+1</f>
        <v>22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([90]Main!$J$5-[90]Main!$J$6)/HKD</f>
        <v>985.39847133757974</v>
      </c>
      <c r="G25" s="6">
        <f>+E25-F25</f>
        <v>23373.741021331214</v>
      </c>
      <c r="H25" s="3" t="s">
        <v>307</v>
      </c>
      <c r="I25" s="6">
        <f>+[90]Main!$J$3</f>
        <v>4263.5283170000002</v>
      </c>
      <c r="J25" s="9">
        <v>45086</v>
      </c>
    </row>
    <row r="26" spans="1:15" x14ac:dyDescent="0.2">
      <c r="A26" s="1">
        <f>Main!B62+1</f>
        <v>47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[91]Main!$L$5-[91]Main!$L$6</f>
        <v>1124.0440000000001</v>
      </c>
      <c r="G26" s="6">
        <f>E26-F26</f>
        <v>4950.6018080000003</v>
      </c>
      <c r="H26" s="3" t="s">
        <v>528</v>
      </c>
      <c r="I26" s="6">
        <f>[91]Main!$L$3</f>
        <v>34.515033000000003</v>
      </c>
      <c r="J26" s="9">
        <v>45008</v>
      </c>
    </row>
    <row r="27" spans="1:15" x14ac:dyDescent="0.2">
      <c r="A27" s="1">
        <f>Main!B77+1</f>
        <v>62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Main!B106+1</f>
        <v>90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Main!B111+1</f>
        <v>96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Main!B114+1</f>
        <v>99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Main!B121+1</f>
        <v>106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Main!B124+1</f>
        <v>109</v>
      </c>
      <c r="B32" s="34" t="s">
        <v>350</v>
      </c>
      <c r="C32" s="34" t="s">
        <v>351</v>
      </c>
      <c r="D32" s="36">
        <v>14.86</v>
      </c>
      <c r="E32" s="37">
        <v>2880</v>
      </c>
    </row>
    <row r="33" spans="1:5" x14ac:dyDescent="0.2">
      <c r="A33" s="1">
        <f>Main!B152+1</f>
        <v>134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299</v>
      </c>
      <c r="B34" t="s">
        <v>842</v>
      </c>
      <c r="C34" t="s">
        <v>843</v>
      </c>
    </row>
    <row r="35" spans="1:5" x14ac:dyDescent="0.2">
      <c r="A35" s="1">
        <f>Main!B310+1</f>
        <v>292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2024-08-23T22:19:20Z</dcterms:modified>
</cp:coreProperties>
</file>