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0025D66-906E-48D9-A412-7AFE84E783F8}" xr6:coauthVersionLast="47" xr6:coauthVersionMax="47" xr10:uidLastSave="{00000000-0000-0000-0000-000000000000}"/>
  <bookViews>
    <workbookView xWindow="15945" yWindow="105" windowWidth="33330" windowHeight="20340" activeTab="1" xr2:uid="{7CBEE6B4-8223-452C-B8C6-1EC2B28F2C9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1" i="2" l="1"/>
  <c r="AC32" i="2"/>
  <c r="AC33" i="2" s="1"/>
  <c r="AD33" i="2"/>
  <c r="AD31" i="2"/>
  <c r="AD32" i="2" s="1"/>
  <c r="AD29" i="2"/>
  <c r="AC29" i="2"/>
  <c r="AD30" i="2"/>
  <c r="AC30" i="2"/>
  <c r="AD27" i="2"/>
  <c r="AD28" i="2" s="1"/>
  <c r="AC27" i="2"/>
  <c r="AC28" i="2" s="1"/>
  <c r="AD24" i="2"/>
  <c r="AD38" i="2" s="1"/>
  <c r="AC24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C38" i="2"/>
  <c r="AE38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22" i="2"/>
  <c r="AD22" i="2"/>
  <c r="AD6" i="2"/>
  <c r="AC6" i="2"/>
  <c r="AD5" i="2"/>
  <c r="AC5" i="2"/>
  <c r="AC3" i="2"/>
  <c r="AD3" i="2"/>
  <c r="AD17" i="2"/>
  <c r="AC17" i="2"/>
  <c r="M40" i="2"/>
  <c r="M59" i="2"/>
  <c r="M52" i="2"/>
  <c r="M41" i="2"/>
  <c r="M50" i="2" s="1"/>
  <c r="M48" i="2"/>
  <c r="R22" i="2"/>
  <c r="Q22" i="2"/>
  <c r="P22" i="2"/>
  <c r="O22" i="2"/>
  <c r="M29" i="2"/>
  <c r="M20" i="2"/>
  <c r="AF18" i="2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K15" i="2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E34" i="2"/>
  <c r="AE26" i="2"/>
  <c r="AF25" i="2"/>
  <c r="AE25" i="2"/>
  <c r="AE23" i="2"/>
  <c r="AE21" i="2"/>
  <c r="AE20" i="2"/>
  <c r="AE19" i="2"/>
  <c r="AE18" i="2"/>
  <c r="AE16" i="2"/>
  <c r="AE14" i="2"/>
  <c r="AE13" i="2"/>
  <c r="AE12" i="2"/>
  <c r="AE11" i="2"/>
  <c r="AE10" i="2"/>
  <c r="AE9" i="2"/>
  <c r="AE8" i="2"/>
  <c r="AE7" i="2"/>
  <c r="AE6" i="2"/>
  <c r="AE5" i="2"/>
  <c r="AE4" i="2"/>
  <c r="AE3" i="2"/>
  <c r="AF19" i="2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N26" i="2"/>
  <c r="M27" i="2"/>
  <c r="N21" i="2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N16" i="2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N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N13" i="2"/>
  <c r="AF13" i="2" s="1"/>
  <c r="N12" i="2"/>
  <c r="N11" i="2"/>
  <c r="N10" i="2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N9" i="2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N8" i="2"/>
  <c r="N7" i="2"/>
  <c r="AF7" i="2" s="1"/>
  <c r="AG7" i="2" s="1"/>
  <c r="AH7" i="2" s="1"/>
  <c r="AI7" i="2" s="1"/>
  <c r="AJ7" i="2" s="1"/>
  <c r="AK7" i="2" s="1"/>
  <c r="N5" i="2"/>
  <c r="AF5" i="2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N3" i="2"/>
  <c r="E31" i="2"/>
  <c r="E29" i="2"/>
  <c r="E27" i="2"/>
  <c r="I31" i="2"/>
  <c r="I29" i="2"/>
  <c r="I27" i="2"/>
  <c r="E17" i="2"/>
  <c r="E22" i="2" s="1"/>
  <c r="E24" i="2" s="1"/>
  <c r="E38" i="2" s="1"/>
  <c r="F31" i="2"/>
  <c r="F29" i="2"/>
  <c r="F27" i="2"/>
  <c r="J31" i="2"/>
  <c r="J29" i="2"/>
  <c r="J27" i="2"/>
  <c r="F17" i="2"/>
  <c r="F22" i="2" s="1"/>
  <c r="F24" i="2" s="1"/>
  <c r="G31" i="2"/>
  <c r="G29" i="2"/>
  <c r="G27" i="2"/>
  <c r="K31" i="2"/>
  <c r="K29" i="2"/>
  <c r="K27" i="2"/>
  <c r="G17" i="2"/>
  <c r="H31" i="2"/>
  <c r="L31" i="2"/>
  <c r="H27" i="2"/>
  <c r="L27" i="2"/>
  <c r="L17" i="2"/>
  <c r="L22" i="2" s="1"/>
  <c r="L24" i="2" s="1"/>
  <c r="K17" i="2"/>
  <c r="J17" i="2"/>
  <c r="J22" i="2" s="1"/>
  <c r="I17" i="2"/>
  <c r="I22" i="2" s="1"/>
  <c r="H17" i="2"/>
  <c r="H22" i="2" s="1"/>
  <c r="H24" i="2" s="1"/>
  <c r="H38" i="2" s="1"/>
  <c r="J4" i="1"/>
  <c r="AF29" i="2" l="1"/>
  <c r="J7" i="1"/>
  <c r="L28" i="2"/>
  <c r="L30" i="2" s="1"/>
  <c r="M30" i="2" s="1"/>
  <c r="M32" i="2" s="1"/>
  <c r="AE29" i="2"/>
  <c r="AE17" i="2"/>
  <c r="AE27" i="2"/>
  <c r="AF11" i="2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F12" i="2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E31" i="2"/>
  <c r="AL7" i="2"/>
  <c r="AE22" i="2"/>
  <c r="AE24" i="2" s="1"/>
  <c r="AE28" i="2" s="1"/>
  <c r="AE30" i="2" s="1"/>
  <c r="F28" i="2"/>
  <c r="F30" i="2" s="1"/>
  <c r="F32" i="2" s="1"/>
  <c r="F33" i="2" s="1"/>
  <c r="F38" i="2"/>
  <c r="I37" i="2"/>
  <c r="J37" i="2"/>
  <c r="J24" i="2"/>
  <c r="AF20" i="2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N30" i="2"/>
  <c r="N27" i="2"/>
  <c r="AF26" i="2"/>
  <c r="AG26" i="2" s="1"/>
  <c r="AF34" i="2"/>
  <c r="AG34" i="2" s="1"/>
  <c r="AH34" i="2" s="1"/>
  <c r="AI34" i="2" s="1"/>
  <c r="M17" i="2"/>
  <c r="M22" i="2" s="1"/>
  <c r="N4" i="2"/>
  <c r="AF3" i="2"/>
  <c r="G22" i="2"/>
  <c r="G24" i="2" s="1"/>
  <c r="AF8" i="2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K22" i="2"/>
  <c r="N6" i="2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N34" i="2"/>
  <c r="I24" i="2"/>
  <c r="I38" i="2" s="1"/>
  <c r="N20" i="2"/>
  <c r="E28" i="2"/>
  <c r="E30" i="2" s="1"/>
  <c r="E32" i="2" s="1"/>
  <c r="E33" i="2" s="1"/>
  <c r="I28" i="2"/>
  <c r="I30" i="2" s="1"/>
  <c r="I32" i="2" s="1"/>
  <c r="I33" i="2" s="1"/>
  <c r="L37" i="2"/>
  <c r="L38" i="2"/>
  <c r="L32" i="2"/>
  <c r="L33" i="2" s="1"/>
  <c r="H28" i="2"/>
  <c r="H30" i="2" s="1"/>
  <c r="H32" i="2" s="1"/>
  <c r="H33" i="2" s="1"/>
  <c r="AE32" i="2" l="1"/>
  <c r="AE33" i="2" s="1"/>
  <c r="M24" i="2"/>
  <c r="M37" i="2"/>
  <c r="AF27" i="2"/>
  <c r="AH26" i="2"/>
  <c r="AG27" i="2"/>
  <c r="AG3" i="2"/>
  <c r="N17" i="2"/>
  <c r="N22" i="2" s="1"/>
  <c r="N24" i="2" s="1"/>
  <c r="AJ34" i="2"/>
  <c r="AM7" i="2"/>
  <c r="G28" i="2"/>
  <c r="G30" i="2" s="1"/>
  <c r="G32" i="2" s="1"/>
  <c r="G33" i="2" s="1"/>
  <c r="G38" i="2"/>
  <c r="AF4" i="2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N31" i="2"/>
  <c r="AF31" i="2" s="1"/>
  <c r="M33" i="2"/>
  <c r="J28" i="2"/>
  <c r="J30" i="2" s="1"/>
  <c r="J32" i="2" s="1"/>
  <c r="J33" i="2" s="1"/>
  <c r="J38" i="2"/>
  <c r="K37" i="2"/>
  <c r="K24" i="2"/>
  <c r="N32" i="2" l="1"/>
  <c r="N33" i="2" s="1"/>
  <c r="N38" i="2"/>
  <c r="N28" i="2"/>
  <c r="AF17" i="2"/>
  <c r="AF22" i="2" s="1"/>
  <c r="AH3" i="2"/>
  <c r="AG17" i="2"/>
  <c r="AG22" i="2" s="1"/>
  <c r="AG24" i="2" s="1"/>
  <c r="AI26" i="2"/>
  <c r="AH27" i="2"/>
  <c r="AK34" i="2"/>
  <c r="AN7" i="2"/>
  <c r="M38" i="2"/>
  <c r="M28" i="2"/>
  <c r="K28" i="2"/>
  <c r="K30" i="2" s="1"/>
  <c r="K32" i="2" s="1"/>
  <c r="K33" i="2" s="1"/>
  <c r="K38" i="2"/>
  <c r="N23" i="2"/>
  <c r="AJ26" i="2" l="1"/>
  <c r="AI27" i="2"/>
  <c r="AG23" i="2"/>
  <c r="AG28" i="2"/>
  <c r="AG30" i="2" s="1"/>
  <c r="AI3" i="2"/>
  <c r="AH17" i="2"/>
  <c r="AH22" i="2" s="1"/>
  <c r="AH24" i="2" s="1"/>
  <c r="AL34" i="2"/>
  <c r="AO7" i="2"/>
  <c r="AF23" i="2"/>
  <c r="AF24" i="2" s="1"/>
  <c r="AF28" i="2" s="1"/>
  <c r="AF30" i="2" s="1"/>
  <c r="AF32" i="2" s="1"/>
  <c r="AF33" i="2" s="1"/>
  <c r="AG31" i="2" l="1"/>
  <c r="AG32" i="2" s="1"/>
  <c r="AG33" i="2" s="1"/>
  <c r="AH23" i="2"/>
  <c r="AH28" i="2"/>
  <c r="AH30" i="2" s="1"/>
  <c r="AH31" i="2" s="1"/>
  <c r="AH32" i="2" s="1"/>
  <c r="AH33" i="2" s="1"/>
  <c r="AJ3" i="2"/>
  <c r="AI17" i="2"/>
  <c r="AI22" i="2" s="1"/>
  <c r="AI24" i="2" s="1"/>
  <c r="AI23" i="2" s="1"/>
  <c r="AK26" i="2"/>
  <c r="AJ27" i="2"/>
  <c r="AM34" i="2"/>
  <c r="AP7" i="2"/>
  <c r="AL26" i="2" l="1"/>
  <c r="AK27" i="2"/>
  <c r="AK3" i="2"/>
  <c r="AJ17" i="2"/>
  <c r="AJ22" i="2" s="1"/>
  <c r="AJ24" i="2" s="1"/>
  <c r="AJ23" i="2" s="1"/>
  <c r="AI28" i="2"/>
  <c r="AI30" i="2" s="1"/>
  <c r="AI31" i="2" s="1"/>
  <c r="AI32" i="2" s="1"/>
  <c r="AI33" i="2" s="1"/>
  <c r="AN34" i="2"/>
  <c r="AQ7" i="2"/>
  <c r="AL3" i="2" l="1"/>
  <c r="AK17" i="2"/>
  <c r="AK22" i="2" s="1"/>
  <c r="AK24" i="2" s="1"/>
  <c r="AK23" i="2" s="1"/>
  <c r="AM26" i="2"/>
  <c r="AL27" i="2"/>
  <c r="AJ28" i="2"/>
  <c r="AJ30" i="2" s="1"/>
  <c r="AO34" i="2"/>
  <c r="AR7" i="2"/>
  <c r="AK28" i="2" l="1"/>
  <c r="AK30" i="2" s="1"/>
  <c r="AK31" i="2" s="1"/>
  <c r="AK32" i="2" s="1"/>
  <c r="AK33" i="2" s="1"/>
  <c r="AJ31" i="2"/>
  <c r="AJ32" i="2" s="1"/>
  <c r="AJ33" i="2" s="1"/>
  <c r="AM27" i="2"/>
  <c r="AN26" i="2"/>
  <c r="AM3" i="2"/>
  <c r="AL17" i="2"/>
  <c r="AL22" i="2" s="1"/>
  <c r="AL24" i="2" s="1"/>
  <c r="AL23" i="2" s="1"/>
  <c r="AP34" i="2"/>
  <c r="AS7" i="2"/>
  <c r="AO26" i="2" l="1"/>
  <c r="AN27" i="2"/>
  <c r="AL28" i="2"/>
  <c r="AL30" i="2" s="1"/>
  <c r="AL31" i="2" s="1"/>
  <c r="AL32" i="2" s="1"/>
  <c r="AL33" i="2" s="1"/>
  <c r="AN3" i="2"/>
  <c r="AM17" i="2"/>
  <c r="AM22" i="2" s="1"/>
  <c r="AM24" i="2" s="1"/>
  <c r="AM23" i="2" s="1"/>
  <c r="AQ34" i="2"/>
  <c r="AT7" i="2"/>
  <c r="AO3" i="2" l="1"/>
  <c r="AN17" i="2"/>
  <c r="AN22" i="2" s="1"/>
  <c r="AN24" i="2" s="1"/>
  <c r="AN23" i="2" s="1"/>
  <c r="AM28" i="2"/>
  <c r="AM30" i="2" s="1"/>
  <c r="AM31" i="2" s="1"/>
  <c r="AM32" i="2" s="1"/>
  <c r="AM33" i="2" s="1"/>
  <c r="AP26" i="2"/>
  <c r="AO27" i="2"/>
  <c r="AR34" i="2"/>
  <c r="AU7" i="2"/>
  <c r="AN28" i="2" l="1"/>
  <c r="AN30" i="2" s="1"/>
  <c r="AN31" i="2" s="1"/>
  <c r="AN32" i="2" s="1"/>
  <c r="AN33" i="2" s="1"/>
  <c r="AQ26" i="2"/>
  <c r="AP27" i="2"/>
  <c r="AP3" i="2"/>
  <c r="AO17" i="2"/>
  <c r="AO22" i="2" s="1"/>
  <c r="AO24" i="2" s="1"/>
  <c r="AO23" i="2" s="1"/>
  <c r="AS34" i="2"/>
  <c r="AV7" i="2"/>
  <c r="AQ3" i="2" l="1"/>
  <c r="AP17" i="2"/>
  <c r="AP22" i="2" s="1"/>
  <c r="AP24" i="2" s="1"/>
  <c r="AP23" i="2" s="1"/>
  <c r="AR26" i="2"/>
  <c r="AQ27" i="2"/>
  <c r="AO28" i="2"/>
  <c r="AO30" i="2" s="1"/>
  <c r="AO31" i="2" s="1"/>
  <c r="AO32" i="2" s="1"/>
  <c r="AO33" i="2" s="1"/>
  <c r="AT34" i="2"/>
  <c r="AW7" i="2"/>
  <c r="AP28" i="2" l="1"/>
  <c r="AP30" i="2" s="1"/>
  <c r="AP31" i="2" s="1"/>
  <c r="AS26" i="2"/>
  <c r="AR27" i="2"/>
  <c r="AR3" i="2"/>
  <c r="AQ17" i="2"/>
  <c r="AQ22" i="2" s="1"/>
  <c r="AQ24" i="2" s="1"/>
  <c r="AQ23" i="2" s="1"/>
  <c r="AU34" i="2"/>
  <c r="AX7" i="2"/>
  <c r="AP32" i="2" l="1"/>
  <c r="AP33" i="2" s="1"/>
  <c r="AS3" i="2"/>
  <c r="AR17" i="2"/>
  <c r="AR22" i="2" s="1"/>
  <c r="AR24" i="2" s="1"/>
  <c r="AR23" i="2" s="1"/>
  <c r="AS27" i="2"/>
  <c r="AT26" i="2"/>
  <c r="AQ28" i="2"/>
  <c r="AQ30" i="2" s="1"/>
  <c r="AV34" i="2"/>
  <c r="AR28" i="2" l="1"/>
  <c r="AR30" i="2" s="1"/>
  <c r="AR31" i="2" s="1"/>
  <c r="AR32" i="2" s="1"/>
  <c r="AR33" i="2" s="1"/>
  <c r="AQ31" i="2"/>
  <c r="AQ32" i="2" s="1"/>
  <c r="AQ33" i="2" s="1"/>
  <c r="AU26" i="2"/>
  <c r="AT27" i="2"/>
  <c r="AT3" i="2"/>
  <c r="AS17" i="2"/>
  <c r="AS22" i="2" s="1"/>
  <c r="AS24" i="2" s="1"/>
  <c r="AS23" i="2" s="1"/>
  <c r="AW34" i="2"/>
  <c r="AV26" i="2" l="1"/>
  <c r="AU27" i="2"/>
  <c r="AU3" i="2"/>
  <c r="AT17" i="2"/>
  <c r="AT22" i="2" s="1"/>
  <c r="AT24" i="2" s="1"/>
  <c r="AT23" i="2" s="1"/>
  <c r="AS28" i="2"/>
  <c r="AS30" i="2" s="1"/>
  <c r="AS31" i="2" s="1"/>
  <c r="AS32" i="2" s="1"/>
  <c r="AS33" i="2" s="1"/>
  <c r="AX34" i="2"/>
  <c r="AT28" i="2" l="1"/>
  <c r="AT30" i="2" s="1"/>
  <c r="AT31" i="2" s="1"/>
  <c r="AT32" i="2" s="1"/>
  <c r="AT33" i="2" s="1"/>
  <c r="AV3" i="2"/>
  <c r="AU17" i="2"/>
  <c r="AU22" i="2" s="1"/>
  <c r="AW26" i="2"/>
  <c r="AV27" i="2"/>
  <c r="AX26" i="2" l="1"/>
  <c r="AX27" i="2" s="1"/>
  <c r="AW27" i="2"/>
  <c r="AU24" i="2"/>
  <c r="AU28" i="2" s="1"/>
  <c r="AU30" i="2" s="1"/>
  <c r="AU31" i="2" s="1"/>
  <c r="AU32" i="2" s="1"/>
  <c r="AU33" i="2" s="1"/>
  <c r="AW3" i="2"/>
  <c r="AV17" i="2"/>
  <c r="AV22" i="2" s="1"/>
  <c r="AV24" i="2" s="1"/>
  <c r="AV23" i="2" s="1"/>
  <c r="AU23" i="2" l="1"/>
  <c r="AX3" i="2"/>
  <c r="AX17" i="2" s="1"/>
  <c r="AX22" i="2" s="1"/>
  <c r="AX24" i="2" s="1"/>
  <c r="AX23" i="2" s="1"/>
  <c r="AW17" i="2"/>
  <c r="AW22" i="2" s="1"/>
  <c r="AV28" i="2"/>
  <c r="AV30" i="2" s="1"/>
  <c r="AV31" i="2" l="1"/>
  <c r="AV32" i="2"/>
  <c r="AV33" i="2" s="1"/>
  <c r="AX28" i="2"/>
  <c r="AX30" i="2" s="1"/>
  <c r="AX31" i="2" s="1"/>
  <c r="AX32" i="2" s="1"/>
  <c r="AW24" i="2"/>
  <c r="AW28" i="2" s="1"/>
  <c r="AW30" i="2" s="1"/>
  <c r="AW23" i="2" l="1"/>
  <c r="AW31" i="2"/>
  <c r="AW32" i="2" s="1"/>
  <c r="AX33" i="2"/>
  <c r="AW33" i="2" l="1"/>
  <c r="BA37" i="2"/>
  <c r="BA38" i="2" s="1"/>
</calcChain>
</file>

<file path=xl/sharedStrings.xml><?xml version="1.0" encoding="utf-8"?>
<sst xmlns="http://schemas.openxmlformats.org/spreadsheetml/2006/main" count="142" uniqueCount="119">
  <si>
    <t>Price</t>
  </si>
  <si>
    <t>Shares</t>
  </si>
  <si>
    <t>MC</t>
  </si>
  <si>
    <t>Cash</t>
  </si>
  <si>
    <t>Debt</t>
  </si>
  <si>
    <t>EV</t>
  </si>
  <si>
    <t>Brand</t>
  </si>
  <si>
    <t>Q222</t>
  </si>
  <si>
    <t>Avonex</t>
  </si>
  <si>
    <t>Tecfidera</t>
  </si>
  <si>
    <t>Indication</t>
  </si>
  <si>
    <t>MOA</t>
  </si>
  <si>
    <t>Approval</t>
  </si>
  <si>
    <t>Economics</t>
  </si>
  <si>
    <t>IP</t>
  </si>
  <si>
    <t>lecanemab</t>
  </si>
  <si>
    <t>Alzheimer's</t>
  </si>
  <si>
    <t>Multiple Sclerosis</t>
  </si>
  <si>
    <t>litifilimab</t>
  </si>
  <si>
    <t>CLE</t>
  </si>
  <si>
    <t>BIIB122</t>
  </si>
  <si>
    <t>Parkinson's</t>
  </si>
  <si>
    <t>DNLI</t>
  </si>
  <si>
    <t>BIIB800 (tocilizumab)</t>
  </si>
  <si>
    <t>zuranolone</t>
  </si>
  <si>
    <t>SAGE</t>
  </si>
  <si>
    <t>tofersen</t>
  </si>
  <si>
    <t>ALS</t>
  </si>
  <si>
    <t>Spinraza (nusinersen)</t>
  </si>
  <si>
    <t>SMA</t>
  </si>
  <si>
    <t>IONS</t>
  </si>
  <si>
    <t>AL01811</t>
  </si>
  <si>
    <t>GBA2 inhibitor</t>
  </si>
  <si>
    <t>Aduhelm (aducanumab)</t>
  </si>
  <si>
    <t>Vumerity (diroximel fumarate)</t>
  </si>
  <si>
    <t>Tysabri (natalizumab)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</si>
  <si>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</si>
  <si>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</si>
  <si>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</si>
  <si>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</si>
  <si>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</si>
  <si>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</si>
  <si>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</si>
  <si>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</si>
  <si>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</si>
  <si>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</si>
  <si>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</si>
  <si>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</si>
  <si>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</si>
  <si>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Vumerity</t>
  </si>
  <si>
    <t>Plegridy</t>
  </si>
  <si>
    <t>Tysabri</t>
  </si>
  <si>
    <t>Fampyra</t>
  </si>
  <si>
    <t>Spinraza</t>
  </si>
  <si>
    <t>Benepali</t>
  </si>
  <si>
    <t>Imraldi</t>
  </si>
  <si>
    <t>Flixabi</t>
  </si>
  <si>
    <t>Byooviz</t>
  </si>
  <si>
    <t>Fumaderm</t>
  </si>
  <si>
    <t>Aduhelm</t>
  </si>
  <si>
    <t>Product</t>
  </si>
  <si>
    <t>CD20</t>
  </si>
  <si>
    <t>Other</t>
  </si>
  <si>
    <t>COGS</t>
  </si>
  <si>
    <t>Gross Profit</t>
  </si>
  <si>
    <t>R&amp;D</t>
  </si>
  <si>
    <t>SG&amp;A</t>
  </si>
  <si>
    <t>OpEx</t>
  </si>
  <si>
    <t>OpInc</t>
  </si>
  <si>
    <t>Interest Income</t>
  </si>
  <si>
    <t>Pretax Income</t>
  </si>
  <si>
    <t>Taxes</t>
  </si>
  <si>
    <t>Net Income</t>
  </si>
  <si>
    <t>EPS</t>
  </si>
  <si>
    <t>Lunsumio (mosunetuzumab)</t>
  </si>
  <si>
    <t>FL</t>
  </si>
  <si>
    <t>CD20xCD3</t>
  </si>
  <si>
    <t>Ocrevus</t>
  </si>
  <si>
    <t>Rituxan/Gazyva</t>
  </si>
  <si>
    <t>Revenue y/y</t>
  </si>
  <si>
    <t>Gross Margin</t>
  </si>
  <si>
    <t>Lecanemab</t>
  </si>
  <si>
    <t>Terminal</t>
  </si>
  <si>
    <t>Discount</t>
  </si>
  <si>
    <t>NPV</t>
  </si>
  <si>
    <t>Share</t>
  </si>
  <si>
    <t>Q123</t>
  </si>
  <si>
    <t>Q223</t>
  </si>
  <si>
    <t>Q323</t>
  </si>
  <si>
    <t>Q423</t>
  </si>
  <si>
    <t>glofitamab</t>
  </si>
  <si>
    <t>Filed</t>
  </si>
  <si>
    <t>Phase</t>
  </si>
  <si>
    <t>LRRK2</t>
  </si>
  <si>
    <t>CEO: Chris Viehbacher</t>
  </si>
  <si>
    <t>PDUFA 4/25/2023</t>
  </si>
  <si>
    <t>Byooviz (ranibizumab)</t>
  </si>
  <si>
    <t>AMD</t>
  </si>
  <si>
    <t>VEGF</t>
  </si>
  <si>
    <t>amyloid-beta mab</t>
  </si>
  <si>
    <t>IFN</t>
  </si>
  <si>
    <t>VLA4</t>
  </si>
  <si>
    <t>III</t>
  </si>
  <si>
    <t>II/III</t>
  </si>
  <si>
    <t>Dilws</t>
  </si>
  <si>
    <t>Cambridge, MA</t>
  </si>
  <si>
    <t>L+SE</t>
  </si>
  <si>
    <t>SE</t>
  </si>
  <si>
    <t>AR</t>
  </si>
  <si>
    <t>Inventory</t>
  </si>
  <si>
    <t>OCA</t>
  </si>
  <si>
    <t>PP&amp;E</t>
  </si>
  <si>
    <t>Lease</t>
  </si>
  <si>
    <t>Goodwill</t>
  </si>
  <si>
    <t>DT</t>
  </si>
  <si>
    <t>Assets</t>
  </si>
  <si>
    <t>AP</t>
  </si>
  <si>
    <t>AE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</si>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</sst>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38966</xdr:colOff>
      <xdr:row>0</xdr:row>
      <xdr:rowOff>0</xdr:rowOff>
    </xdr:from>
    <xdr:to>
      <xdr:col>31</xdr:col>
      <xdr:colOff>38966</xdr:colOff>
      <xdr:row>40</xdr:row>
      <xdr:rowOff>43295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7A0164-871D-34D0-FCC8-B9AAC596230D}"/>
            </a:ext>
          </a:extLst>
        </xdr:cNvPr>
        <xdr:cNvCxnSpPr/>
      </xdr:nvCxnSpPr>
      <xdr:spPr>
        <a:xfrm>
          <a:off x="17160734" y="0"/>
          <a:ext cx="0" cy="6222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15956</xdr:colOff>
      <xdr:row>0</xdr:row>
      <xdr:rowOff>0</xdr:rowOff>
    </xdr:from>
    <xdr:to>
      <xdr:col>13</xdr:col>
      <xdr:colOff>15956</xdr:colOff>
      <xdr:row>59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5D9F34-9F98-4633-80FD-32FC96B7901E}"/>
            </a:ext>
          </a:extLst>
        </xdr:cNvPr>
        <xdr:cNvCxnSpPr/>
      </xdr:nvCxnSpPr>
      <xdr:spPr>
        <a:xfrm>
          <a:off x="8042022" y="0"/>
          <a:ext cx="0" cy="9484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6BA9-19F6-4D66-A355-F53C1BBA84BC}">
  <dimension ref="B2:K23"/>
  <sheetViews>
    <sheetView zoomScale="175" zoomScaleNormal="175" workbookViewId="0">
      <selection activeCell="I2" sqref="I2"/>
    </sheetView>
  </sheetViews>
  <sheetFormatPr defaultRowHeight="12.75" x14ac:dyDescent="0.2"/>
  <cols>
    <col min="1" max="1" width="3.140625" customWidth="1"/>
    <col min="2" max="2" width="26.42578125" customWidth="1"/>
    <col min="3" max="3" width="17.5703125" customWidth="1"/>
    <col min="4" max="4" width="16.140625" customWidth="1"/>
    <col min="6" max="6" width="11.42578125" customWidth="1"/>
  </cols>
  <sheetData>
    <row r="2" spans="2:11" x14ac:dyDescent="0.2">
      <c r="B2" s="8" t="s">
        <v>6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I2" t="s">
        <v>0</v>
      </c>
      <c r="J2" s="17">
        <v>279</v>
      </c>
    </row>
    <row r="3" spans="2:11" x14ac:dyDescent="0.2">
      <c r="B3" s="3" t="s">
        <v>35</v>
      </c>
      <c r="C3" t="s">
        <v>17</v>
      </c>
      <c r="D3" t="s">
        <v>101</v>
      </c>
      <c r="G3" s="4"/>
      <c r="I3" t="s">
        <v>1</v>
      </c>
      <c r="J3" s="1">
        <v>145</v>
      </c>
      <c r="K3" s="2" t="s">
        <v>47</v>
      </c>
    </row>
    <row r="4" spans="2:11" x14ac:dyDescent="0.2">
      <c r="B4" s="3" t="s">
        <v>8</v>
      </c>
      <c r="C4" t="s">
        <v>17</v>
      </c>
      <c r="D4" t="s">
        <v>100</v>
      </c>
      <c r="G4" s="4"/>
      <c r="I4" t="s">
        <v>2</v>
      </c>
      <c r="J4" s="1">
        <f>+J2*J3</f>
        <v>40455</v>
      </c>
    </row>
    <row r="5" spans="2:11" x14ac:dyDescent="0.2">
      <c r="B5" s="3" t="s">
        <v>33</v>
      </c>
      <c r="C5" t="s">
        <v>16</v>
      </c>
      <c r="D5" t="s">
        <v>99</v>
      </c>
      <c r="G5" s="4"/>
      <c r="I5" t="s">
        <v>3</v>
      </c>
      <c r="J5" s="1">
        <v>7384</v>
      </c>
      <c r="K5" s="2" t="s">
        <v>47</v>
      </c>
    </row>
    <row r="6" spans="2:11" x14ac:dyDescent="0.2">
      <c r="B6" s="3" t="s">
        <v>9</v>
      </c>
      <c r="C6" t="s">
        <v>17</v>
      </c>
      <c r="G6" s="4"/>
      <c r="I6" t="s">
        <v>4</v>
      </c>
      <c r="J6" s="1">
        <v>6279</v>
      </c>
      <c r="K6" s="2" t="s">
        <v>47</v>
      </c>
    </row>
    <row r="7" spans="2:11" x14ac:dyDescent="0.2">
      <c r="B7" s="3" t="s">
        <v>28</v>
      </c>
      <c r="C7" t="s">
        <v>29</v>
      </c>
      <c r="F7" t="s">
        <v>30</v>
      </c>
      <c r="G7" s="4"/>
      <c r="I7" t="s">
        <v>5</v>
      </c>
      <c r="J7" s="1">
        <f>+J4-J5+J6</f>
        <v>39350</v>
      </c>
    </row>
    <row r="8" spans="2:11" x14ac:dyDescent="0.2">
      <c r="B8" s="3" t="s">
        <v>34</v>
      </c>
      <c r="C8" t="s">
        <v>17</v>
      </c>
      <c r="G8" s="4"/>
      <c r="J8" s="1"/>
    </row>
    <row r="9" spans="2:11" x14ac:dyDescent="0.2">
      <c r="B9" s="3" t="s">
        <v>54</v>
      </c>
      <c r="G9" s="4"/>
      <c r="J9" s="1"/>
    </row>
    <row r="10" spans="2:11" x14ac:dyDescent="0.2">
      <c r="B10" s="3" t="s">
        <v>55</v>
      </c>
      <c r="G10" s="4"/>
      <c r="J10" s="1"/>
    </row>
    <row r="11" spans="2:11" x14ac:dyDescent="0.2">
      <c r="B11" s="3" t="s">
        <v>56</v>
      </c>
      <c r="G11" s="4"/>
      <c r="J11" s="1"/>
    </row>
    <row r="12" spans="2:11" x14ac:dyDescent="0.2">
      <c r="B12" s="3" t="s">
        <v>96</v>
      </c>
      <c r="C12" t="s">
        <v>97</v>
      </c>
      <c r="D12" t="s">
        <v>98</v>
      </c>
      <c r="G12" s="4"/>
      <c r="I12" t="s">
        <v>105</v>
      </c>
    </row>
    <row r="13" spans="2:11" x14ac:dyDescent="0.2">
      <c r="B13" s="8"/>
      <c r="C13" s="9"/>
      <c r="D13" s="9"/>
      <c r="E13" s="9" t="s">
        <v>92</v>
      </c>
      <c r="F13" s="9"/>
      <c r="G13" s="10"/>
      <c r="I13" t="s">
        <v>94</v>
      </c>
    </row>
    <row r="14" spans="2:11" x14ac:dyDescent="0.2">
      <c r="B14" s="3" t="s">
        <v>15</v>
      </c>
      <c r="C14" t="s">
        <v>16</v>
      </c>
      <c r="D14" t="s">
        <v>99</v>
      </c>
      <c r="E14" t="s">
        <v>104</v>
      </c>
      <c r="G14" s="4"/>
    </row>
    <row r="15" spans="2:11" x14ac:dyDescent="0.2">
      <c r="B15" s="3" t="s">
        <v>18</v>
      </c>
      <c r="C15" t="s">
        <v>19</v>
      </c>
      <c r="E15" t="s">
        <v>103</v>
      </c>
      <c r="G15" s="4"/>
    </row>
    <row r="16" spans="2:11" x14ac:dyDescent="0.2">
      <c r="B16" s="3" t="s">
        <v>20</v>
      </c>
      <c r="C16" t="s">
        <v>21</v>
      </c>
      <c r="D16" t="s">
        <v>93</v>
      </c>
      <c r="E16" t="s">
        <v>102</v>
      </c>
      <c r="F16" t="s">
        <v>22</v>
      </c>
      <c r="G16" s="4"/>
    </row>
    <row r="17" spans="2:7" x14ac:dyDescent="0.2">
      <c r="B17" s="3" t="s">
        <v>23</v>
      </c>
      <c r="E17" t="s">
        <v>91</v>
      </c>
      <c r="G17" s="4"/>
    </row>
    <row r="18" spans="2:7" x14ac:dyDescent="0.2">
      <c r="B18" s="3" t="s">
        <v>24</v>
      </c>
      <c r="E18" t="s">
        <v>102</v>
      </c>
      <c r="F18" t="s">
        <v>25</v>
      </c>
      <c r="G18" s="4"/>
    </row>
    <row r="19" spans="2:7" x14ac:dyDescent="0.2">
      <c r="B19" s="3" t="s">
        <v>26</v>
      </c>
      <c r="C19" t="s">
        <v>27</v>
      </c>
      <c r="E19" t="s">
        <v>95</v>
      </c>
      <c r="F19" t="s">
        <v>30</v>
      </c>
      <c r="G19" s="4"/>
    </row>
    <row r="20" spans="2:7" x14ac:dyDescent="0.2">
      <c r="B20" s="3" t="s">
        <v>31</v>
      </c>
      <c r="C20" t="s">
        <v>21</v>
      </c>
      <c r="D20" t="s">
        <v>32</v>
      </c>
      <c r="G20" s="4"/>
    </row>
    <row r="21" spans="2:7" x14ac:dyDescent="0.2">
      <c r="B21" s="3" t="s">
        <v>74</v>
      </c>
      <c r="C21" t="s">
        <v>75</v>
      </c>
      <c r="D21" t="s">
        <v>76</v>
      </c>
      <c r="G21" s="4"/>
    </row>
    <row r="22" spans="2:7" x14ac:dyDescent="0.2">
      <c r="B22" s="3" t="s">
        <v>90</v>
      </c>
      <c r="G22" s="4"/>
    </row>
    <row r="23" spans="2:7" x14ac:dyDescent="0.2">
      <c r="B23" s="5"/>
      <c r="C23" s="6"/>
      <c r="D23" s="6"/>
      <c r="E23" s="6"/>
      <c r="F23" s="6"/>
      <c r="G23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EB2B-BE50-4D86-B93D-DDDB8C03F4F9}">
  <dimension ref="A1:BY59"/>
  <sheetViews>
    <sheetView tabSelected="1" zoomScale="190" zoomScaleNormal="190" workbookViewId="0">
      <pane xSplit="2" ySplit="2" topLeftCell="AJ3" activePane="bottomRight" state="frozen"/>
      <selection pane="topRight" activeCell="C1" sqref="C1"/>
      <selection pane="bottomLeft" activeCell="A3" sqref="A3"/>
      <selection pane="bottomRight" activeCell="AX15" sqref="AX15"/>
    </sheetView>
  </sheetViews>
  <sheetFormatPr defaultRowHeight="12.75" x14ac:dyDescent="0.2"/>
  <cols>
    <col min="1" max="1" width="5" bestFit="1" customWidth="1"/>
    <col min="2" max="2" width="14.42578125" customWidth="1"/>
    <col min="3" max="17" width="9.140625" style="2"/>
    <col min="53" max="53" width="9" customWidth="1"/>
  </cols>
  <sheetData>
    <row r="1" spans="1:77" x14ac:dyDescent="0.2">
      <c r="A1" s="11" t="s">
        <v>36</v>
      </c>
    </row>
    <row r="2" spans="1:77" x14ac:dyDescent="0.2"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7</v>
      </c>
      <c r="M2" s="2" t="s">
        <v>47</v>
      </c>
      <c r="N2" s="2" t="s">
        <v>48</v>
      </c>
      <c r="O2" s="2" t="s">
        <v>86</v>
      </c>
      <c r="P2" s="2" t="s">
        <v>87</v>
      </c>
      <c r="Q2" s="2" t="s">
        <v>88</v>
      </c>
      <c r="R2" s="2" t="s">
        <v>89</v>
      </c>
      <c r="T2">
        <v>2010</v>
      </c>
      <c r="U2">
        <f>+T2+1</f>
        <v>2011</v>
      </c>
      <c r="V2">
        <f t="shared" ref="V2:BY2" si="0">+U2+1</f>
        <v>2012</v>
      </c>
      <c r="W2">
        <f t="shared" si="0"/>
        <v>2013</v>
      </c>
      <c r="X2">
        <f t="shared" si="0"/>
        <v>2014</v>
      </c>
      <c r="Y2">
        <f t="shared" si="0"/>
        <v>2015</v>
      </c>
      <c r="Z2">
        <f t="shared" si="0"/>
        <v>2016</v>
      </c>
      <c r="AA2">
        <f t="shared" si="0"/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  <c r="AO2">
        <f t="shared" si="0"/>
        <v>2031</v>
      </c>
      <c r="AP2">
        <f t="shared" si="0"/>
        <v>2032</v>
      </c>
      <c r="AQ2">
        <f t="shared" si="0"/>
        <v>2033</v>
      </c>
      <c r="AR2">
        <f t="shared" si="0"/>
        <v>2034</v>
      </c>
      <c r="AS2">
        <f t="shared" si="0"/>
        <v>2035</v>
      </c>
      <c r="AT2">
        <f t="shared" si="0"/>
        <v>2036</v>
      </c>
      <c r="AU2">
        <f t="shared" si="0"/>
        <v>2037</v>
      </c>
      <c r="AV2">
        <f t="shared" si="0"/>
        <v>2038</v>
      </c>
      <c r="AW2">
        <f t="shared" si="0"/>
        <v>2039</v>
      </c>
      <c r="AX2">
        <f t="shared" si="0"/>
        <v>2040</v>
      </c>
      <c r="AY2">
        <f t="shared" si="0"/>
        <v>2041</v>
      </c>
      <c r="AZ2">
        <f t="shared" si="0"/>
        <v>2042</v>
      </c>
      <c r="BA2">
        <f t="shared" si="0"/>
        <v>2043</v>
      </c>
      <c r="BB2">
        <f t="shared" si="0"/>
        <v>2044</v>
      </c>
      <c r="BC2">
        <f t="shared" si="0"/>
        <v>2045</v>
      </c>
      <c r="BD2">
        <f t="shared" si="0"/>
        <v>2046</v>
      </c>
      <c r="BE2">
        <f t="shared" si="0"/>
        <v>2047</v>
      </c>
      <c r="BF2">
        <f t="shared" si="0"/>
        <v>2048</v>
      </c>
      <c r="BG2">
        <f t="shared" si="0"/>
        <v>2049</v>
      </c>
      <c r="BH2">
        <f t="shared" si="0"/>
        <v>2050</v>
      </c>
      <c r="BI2">
        <f t="shared" si="0"/>
        <v>2051</v>
      </c>
      <c r="BJ2">
        <f t="shared" si="0"/>
        <v>2052</v>
      </c>
      <c r="BK2">
        <f t="shared" si="0"/>
        <v>2053</v>
      </c>
      <c r="BL2">
        <f t="shared" si="0"/>
        <v>2054</v>
      </c>
      <c r="BM2">
        <f t="shared" si="0"/>
        <v>2055</v>
      </c>
      <c r="BN2">
        <f t="shared" si="0"/>
        <v>2056</v>
      </c>
      <c r="BO2">
        <f t="shared" si="0"/>
        <v>2057</v>
      </c>
      <c r="BP2">
        <f t="shared" si="0"/>
        <v>2058</v>
      </c>
      <c r="BQ2">
        <f t="shared" si="0"/>
        <v>2059</v>
      </c>
      <c r="BR2">
        <f t="shared" si="0"/>
        <v>2060</v>
      </c>
      <c r="BS2">
        <f t="shared" si="0"/>
        <v>2061</v>
      </c>
      <c r="BT2">
        <f t="shared" si="0"/>
        <v>2062</v>
      </c>
      <c r="BU2">
        <f t="shared" si="0"/>
        <v>2063</v>
      </c>
      <c r="BV2">
        <f t="shared" si="0"/>
        <v>2064</v>
      </c>
      <c r="BW2">
        <f t="shared" si="0"/>
        <v>2065</v>
      </c>
      <c r="BX2">
        <f t="shared" si="0"/>
        <v>2066</v>
      </c>
      <c r="BY2">
        <f t="shared" si="0"/>
        <v>2067</v>
      </c>
    </row>
    <row r="3" spans="1:77" s="1" customFormat="1" x14ac:dyDescent="0.2">
      <c r="B3" s="1" t="s">
        <v>9</v>
      </c>
      <c r="C3" s="12"/>
      <c r="D3" s="12"/>
      <c r="E3" s="12">
        <v>953.1</v>
      </c>
      <c r="F3" s="12">
        <v>607.9</v>
      </c>
      <c r="G3" s="12">
        <v>479.3</v>
      </c>
      <c r="H3" s="12">
        <v>487.6</v>
      </c>
      <c r="I3" s="12">
        <v>498.6</v>
      </c>
      <c r="J3" s="12">
        <v>486.5</v>
      </c>
      <c r="K3" s="12">
        <v>409.9</v>
      </c>
      <c r="L3" s="12">
        <v>397.9</v>
      </c>
      <c r="M3" s="12">
        <v>339</v>
      </c>
      <c r="N3" s="12">
        <f>+M3-15</f>
        <v>324</v>
      </c>
      <c r="O3" s="12"/>
      <c r="P3" s="12"/>
      <c r="Q3" s="12"/>
      <c r="AC3" s="1">
        <f>3306.5+1126.2</f>
        <v>4432.7</v>
      </c>
      <c r="AD3" s="1">
        <f>2677.7+1163.4</f>
        <v>3841.1</v>
      </c>
      <c r="AE3" s="1">
        <f>SUM(G3:J3)</f>
        <v>1952</v>
      </c>
      <c r="AF3" s="1">
        <f>SUM(K3:N3)</f>
        <v>1470.8</v>
      </c>
      <c r="AG3" s="1">
        <f>+AF3*0.8</f>
        <v>1176.6400000000001</v>
      </c>
      <c r="AH3" s="1">
        <f t="shared" ref="AH3:AO3" si="1">+AG3*0.8</f>
        <v>941.31200000000013</v>
      </c>
      <c r="AI3" s="1">
        <f t="shared" si="1"/>
        <v>753.04960000000017</v>
      </c>
      <c r="AJ3" s="1">
        <f t="shared" si="1"/>
        <v>602.43968000000018</v>
      </c>
      <c r="AK3" s="1">
        <f t="shared" si="1"/>
        <v>481.95174400000019</v>
      </c>
      <c r="AL3" s="1">
        <f t="shared" si="1"/>
        <v>385.56139520000016</v>
      </c>
      <c r="AM3" s="1">
        <f t="shared" si="1"/>
        <v>308.44911616000013</v>
      </c>
      <c r="AN3" s="1">
        <f t="shared" si="1"/>
        <v>246.75929292800012</v>
      </c>
      <c r="AO3" s="1">
        <f t="shared" si="1"/>
        <v>197.40743434240011</v>
      </c>
      <c r="AP3" s="1">
        <f t="shared" ref="AP3" si="2">+AO3*0.8</f>
        <v>157.9259474739201</v>
      </c>
      <c r="AQ3" s="1">
        <f t="shared" ref="AQ3:AX3" si="3">+AP3*0.8</f>
        <v>126.34075797913609</v>
      </c>
      <c r="AR3" s="1">
        <f t="shared" si="3"/>
        <v>101.07260638330888</v>
      </c>
      <c r="AS3" s="1">
        <f t="shared" si="3"/>
        <v>80.85808510664711</v>
      </c>
      <c r="AT3" s="1">
        <f t="shared" si="3"/>
        <v>64.686468085317685</v>
      </c>
      <c r="AU3" s="1">
        <f t="shared" si="3"/>
        <v>51.749174468254154</v>
      </c>
      <c r="AV3" s="1">
        <f t="shared" si="3"/>
        <v>41.399339574603324</v>
      </c>
      <c r="AW3" s="1">
        <f t="shared" si="3"/>
        <v>33.119471659682659</v>
      </c>
      <c r="AX3" s="1">
        <f t="shared" si="3"/>
        <v>26.49557732774613</v>
      </c>
    </row>
    <row r="4" spans="1:77" s="1" customFormat="1" x14ac:dyDescent="0.2">
      <c r="B4" s="1" t="s">
        <v>49</v>
      </c>
      <c r="C4" s="12"/>
      <c r="D4" s="12"/>
      <c r="E4" s="12">
        <v>14.4</v>
      </c>
      <c r="F4" s="12">
        <v>38.9</v>
      </c>
      <c r="G4" s="12">
        <v>73.599999999999994</v>
      </c>
      <c r="H4" s="12">
        <v>90.9</v>
      </c>
      <c r="I4" s="12">
        <v>120.9</v>
      </c>
      <c r="J4" s="12">
        <v>124.9</v>
      </c>
      <c r="K4" s="12">
        <v>128</v>
      </c>
      <c r="L4" s="12">
        <v>136.80000000000001</v>
      </c>
      <c r="M4" s="12">
        <v>137.80000000000001</v>
      </c>
      <c r="N4" s="12">
        <f>+M4+5</f>
        <v>142.80000000000001</v>
      </c>
      <c r="O4" s="12"/>
      <c r="P4" s="12"/>
      <c r="Q4" s="12"/>
      <c r="AC4" s="1">
        <v>5.5</v>
      </c>
      <c r="AD4" s="1">
        <v>64.3</v>
      </c>
      <c r="AE4" s="1">
        <f t="shared" ref="AE4:AE21" si="4">SUM(G4:J4)</f>
        <v>410.29999999999995</v>
      </c>
      <c r="AF4" s="1">
        <f t="shared" ref="AF4:AF21" si="5">SUM(K4:N4)</f>
        <v>545.40000000000009</v>
      </c>
      <c r="AG4" s="1">
        <f>+AF4*1.1</f>
        <v>599.94000000000017</v>
      </c>
      <c r="AH4" s="1">
        <f t="shared" ref="AH4:AI4" si="6">+AG4*1.1</f>
        <v>659.9340000000002</v>
      </c>
      <c r="AI4" s="1">
        <f t="shared" si="6"/>
        <v>725.92740000000026</v>
      </c>
      <c r="AJ4" s="1">
        <f>+AI4*1.03</f>
        <v>747.70522200000028</v>
      </c>
      <c r="AK4" s="1">
        <f t="shared" ref="AK4:AN4" si="7">+AJ4*1.03</f>
        <v>770.13637866000033</v>
      </c>
      <c r="AL4" s="1">
        <f t="shared" si="7"/>
        <v>793.24047001980034</v>
      </c>
      <c r="AM4" s="1">
        <f t="shared" si="7"/>
        <v>817.03768412039437</v>
      </c>
      <c r="AN4" s="1">
        <f t="shared" si="7"/>
        <v>841.54881464400626</v>
      </c>
      <c r="AO4" s="1">
        <f>+AN4*0.5</f>
        <v>420.77440732200313</v>
      </c>
      <c r="AP4" s="1">
        <f>+AO4*0.8</f>
        <v>336.61952585760253</v>
      </c>
      <c r="AQ4" s="1">
        <f t="shared" ref="AQ4:AX4" si="8">+AP4*0.8</f>
        <v>269.29562068608203</v>
      </c>
      <c r="AR4" s="1">
        <f t="shared" si="8"/>
        <v>215.43649654886565</v>
      </c>
      <c r="AS4" s="1">
        <f t="shared" si="8"/>
        <v>172.34919723909252</v>
      </c>
      <c r="AT4" s="1">
        <f t="shared" si="8"/>
        <v>137.87935779127403</v>
      </c>
      <c r="AU4" s="1">
        <f t="shared" si="8"/>
        <v>110.30348623301923</v>
      </c>
      <c r="AV4" s="1">
        <f t="shared" si="8"/>
        <v>88.242788986415391</v>
      </c>
      <c r="AW4" s="1">
        <f t="shared" si="8"/>
        <v>70.594231189132316</v>
      </c>
      <c r="AX4" s="1">
        <f t="shared" si="8"/>
        <v>56.475384951305855</v>
      </c>
    </row>
    <row r="5" spans="1:77" s="1" customFormat="1" x14ac:dyDescent="0.2">
      <c r="B5" s="1" t="s">
        <v>8</v>
      </c>
      <c r="C5" s="12"/>
      <c r="D5" s="12"/>
      <c r="E5" s="12">
        <v>380.5</v>
      </c>
      <c r="F5" s="12">
        <v>356.4</v>
      </c>
      <c r="G5" s="12">
        <v>311.10000000000002</v>
      </c>
      <c r="H5" s="12">
        <v>310.89999999999998</v>
      </c>
      <c r="I5" s="12">
        <v>301.3</v>
      </c>
      <c r="J5" s="12">
        <v>285.39999999999998</v>
      </c>
      <c r="K5" s="12">
        <v>229.6</v>
      </c>
      <c r="L5" s="12">
        <v>258.7</v>
      </c>
      <c r="M5" s="12">
        <v>255.1</v>
      </c>
      <c r="N5" s="12">
        <f>+J5*0.9</f>
        <v>256.86</v>
      </c>
      <c r="O5" s="12"/>
      <c r="P5" s="12"/>
      <c r="Q5" s="12"/>
      <c r="AC5" s="1">
        <f>1202.1+463.8</f>
        <v>1665.8999999999999</v>
      </c>
      <c r="AD5" s="1">
        <f>1083.4+408.5</f>
        <v>1491.9</v>
      </c>
      <c r="AE5" s="1">
        <f t="shared" si="4"/>
        <v>1208.6999999999998</v>
      </c>
      <c r="AF5" s="1">
        <f t="shared" si="5"/>
        <v>1000.26</v>
      </c>
      <c r="AG5" s="1">
        <f>+AF5*0.9</f>
        <v>900.23400000000004</v>
      </c>
      <c r="AH5" s="1">
        <f t="shared" ref="AH5:AX5" si="9">+AG5*0.9</f>
        <v>810.2106</v>
      </c>
      <c r="AI5" s="1">
        <f t="shared" si="9"/>
        <v>729.18953999999997</v>
      </c>
      <c r="AJ5" s="1">
        <f t="shared" si="9"/>
        <v>656.27058599999998</v>
      </c>
      <c r="AK5" s="1">
        <f t="shared" si="9"/>
        <v>590.64352740000004</v>
      </c>
      <c r="AL5" s="1">
        <f t="shared" si="9"/>
        <v>531.57917466000004</v>
      </c>
      <c r="AM5" s="1">
        <f t="shared" si="9"/>
        <v>478.42125719400002</v>
      </c>
      <c r="AN5" s="1">
        <f t="shared" si="9"/>
        <v>430.57913147460005</v>
      </c>
      <c r="AO5" s="1">
        <f t="shared" si="9"/>
        <v>387.52121832714005</v>
      </c>
      <c r="AP5" s="1">
        <f t="shared" si="9"/>
        <v>348.76909649442604</v>
      </c>
      <c r="AQ5" s="1">
        <f t="shared" si="9"/>
        <v>313.89218684498343</v>
      </c>
      <c r="AR5" s="1">
        <f t="shared" si="9"/>
        <v>282.50296816048507</v>
      </c>
      <c r="AS5" s="1">
        <f t="shared" si="9"/>
        <v>254.25267134443658</v>
      </c>
      <c r="AT5" s="1">
        <f t="shared" si="9"/>
        <v>228.82740420999292</v>
      </c>
      <c r="AU5" s="1">
        <f t="shared" si="9"/>
        <v>205.94466378899364</v>
      </c>
      <c r="AV5" s="1">
        <f t="shared" si="9"/>
        <v>185.35019741009427</v>
      </c>
      <c r="AW5" s="1">
        <f t="shared" si="9"/>
        <v>166.81517766908485</v>
      </c>
      <c r="AX5" s="1">
        <f t="shared" si="9"/>
        <v>150.13365990217636</v>
      </c>
    </row>
    <row r="6" spans="1:77" s="1" customFormat="1" x14ac:dyDescent="0.2">
      <c r="B6" s="1" t="s">
        <v>50</v>
      </c>
      <c r="C6" s="12"/>
      <c r="D6" s="12"/>
      <c r="E6" s="12">
        <v>93.6</v>
      </c>
      <c r="F6" s="12">
        <v>99.6</v>
      </c>
      <c r="G6" s="12">
        <v>89.4</v>
      </c>
      <c r="H6" s="12">
        <v>89.5</v>
      </c>
      <c r="I6" s="12">
        <v>86.2</v>
      </c>
      <c r="J6" s="12">
        <v>92.3</v>
      </c>
      <c r="K6" s="12">
        <v>80</v>
      </c>
      <c r="L6" s="12">
        <v>91.5</v>
      </c>
      <c r="M6" s="12">
        <v>80.900000000000006</v>
      </c>
      <c r="N6" s="12">
        <f>+M6+1</f>
        <v>81.900000000000006</v>
      </c>
      <c r="O6" s="12"/>
      <c r="P6" s="12"/>
      <c r="Q6" s="12"/>
      <c r="AC6" s="1">
        <f>224.5+211.4</f>
        <v>435.9</v>
      </c>
      <c r="AD6" s="1">
        <f>190.1+195.5</f>
        <v>385.6</v>
      </c>
      <c r="AE6" s="1">
        <f t="shared" si="4"/>
        <v>357.40000000000003</v>
      </c>
      <c r="AF6" s="1">
        <f t="shared" si="5"/>
        <v>334.3</v>
      </c>
      <c r="AG6" s="1">
        <f>+AF6*0.95</f>
        <v>317.58499999999998</v>
      </c>
      <c r="AH6" s="1">
        <f t="shared" ref="AH6:AX6" si="10">+AG6*0.95</f>
        <v>301.70574999999997</v>
      </c>
      <c r="AI6" s="1">
        <f t="shared" si="10"/>
        <v>286.62046249999997</v>
      </c>
      <c r="AJ6" s="1">
        <f t="shared" si="10"/>
        <v>272.28943937499997</v>
      </c>
      <c r="AK6" s="1">
        <f t="shared" si="10"/>
        <v>258.67496740624995</v>
      </c>
      <c r="AL6" s="1">
        <f t="shared" si="10"/>
        <v>245.74121903593743</v>
      </c>
      <c r="AM6" s="1">
        <f t="shared" si="10"/>
        <v>233.45415808414054</v>
      </c>
      <c r="AN6" s="1">
        <f t="shared" si="10"/>
        <v>221.7814501799335</v>
      </c>
      <c r="AO6" s="1">
        <f t="shared" si="10"/>
        <v>210.69237767093682</v>
      </c>
      <c r="AP6" s="1">
        <f t="shared" si="10"/>
        <v>200.15775878738998</v>
      </c>
      <c r="AQ6" s="1">
        <f t="shared" si="10"/>
        <v>190.14987084802047</v>
      </c>
      <c r="AR6" s="1">
        <f t="shared" si="10"/>
        <v>180.64237730561945</v>
      </c>
      <c r="AS6" s="1">
        <f t="shared" si="10"/>
        <v>171.61025844033847</v>
      </c>
      <c r="AT6" s="1">
        <f t="shared" si="10"/>
        <v>163.02974551832153</v>
      </c>
      <c r="AU6" s="1">
        <f t="shared" si="10"/>
        <v>154.87825824240545</v>
      </c>
      <c r="AV6" s="1">
        <f t="shared" si="10"/>
        <v>147.13434533028519</v>
      </c>
      <c r="AW6" s="1">
        <f t="shared" si="10"/>
        <v>139.77762806377092</v>
      </c>
      <c r="AX6" s="1">
        <f t="shared" si="10"/>
        <v>132.78874666058238</v>
      </c>
    </row>
    <row r="7" spans="1:77" s="1" customFormat="1" x14ac:dyDescent="0.2">
      <c r="B7" s="1" t="s">
        <v>51</v>
      </c>
      <c r="C7" s="12"/>
      <c r="D7" s="12"/>
      <c r="E7" s="12">
        <v>516.5</v>
      </c>
      <c r="F7" s="12">
        <v>475.2</v>
      </c>
      <c r="G7" s="12">
        <v>503.3</v>
      </c>
      <c r="H7" s="12">
        <v>524.20000000000005</v>
      </c>
      <c r="I7" s="12">
        <v>522.79999999999995</v>
      </c>
      <c r="J7" s="12">
        <v>512.70000000000005</v>
      </c>
      <c r="K7" s="12">
        <v>520.79999999999995</v>
      </c>
      <c r="L7" s="12">
        <v>516.20000000000005</v>
      </c>
      <c r="M7" s="12">
        <v>505.5</v>
      </c>
      <c r="N7" s="12">
        <f>+J7*1.03</f>
        <v>528.08100000000002</v>
      </c>
      <c r="O7" s="12"/>
      <c r="P7" s="12"/>
      <c r="Q7" s="12"/>
      <c r="AC7" s="1">
        <v>1892.2</v>
      </c>
      <c r="AD7" s="1">
        <v>1946.1</v>
      </c>
      <c r="AE7" s="1">
        <f t="shared" si="4"/>
        <v>2063</v>
      </c>
      <c r="AF7" s="1">
        <f t="shared" si="5"/>
        <v>2070.5810000000001</v>
      </c>
      <c r="AG7" s="1">
        <f>+AF7*1.01</f>
        <v>2091.2868100000001</v>
      </c>
      <c r="AH7" s="1">
        <f t="shared" ref="AH7" si="11">+AG7*1.01</f>
        <v>2112.1996781000003</v>
      </c>
      <c r="AI7" s="1">
        <f>+AH7*0.85</f>
        <v>1795.3697263850001</v>
      </c>
      <c r="AJ7" s="1">
        <f t="shared" ref="AJ7:AX7" si="12">+AI7*0.85</f>
        <v>1526.0642674272501</v>
      </c>
      <c r="AK7" s="1">
        <f t="shared" si="12"/>
        <v>1297.1546273131626</v>
      </c>
      <c r="AL7" s="1">
        <f t="shared" si="12"/>
        <v>1102.5814332161881</v>
      </c>
      <c r="AM7" s="1">
        <f t="shared" si="12"/>
        <v>937.1942182337599</v>
      </c>
      <c r="AN7" s="1">
        <f t="shared" si="12"/>
        <v>796.61508549869586</v>
      </c>
      <c r="AO7" s="1">
        <f t="shared" si="12"/>
        <v>677.12282267389151</v>
      </c>
      <c r="AP7" s="1">
        <f t="shared" si="12"/>
        <v>575.55439927280781</v>
      </c>
      <c r="AQ7" s="1">
        <f t="shared" si="12"/>
        <v>489.22123938188662</v>
      </c>
      <c r="AR7" s="1">
        <f t="shared" si="12"/>
        <v>415.83805347460361</v>
      </c>
      <c r="AS7" s="1">
        <f t="shared" si="12"/>
        <v>353.46234545341304</v>
      </c>
      <c r="AT7" s="1">
        <f t="shared" si="12"/>
        <v>300.44299363540108</v>
      </c>
      <c r="AU7" s="1">
        <f t="shared" si="12"/>
        <v>255.3765445900909</v>
      </c>
      <c r="AV7" s="1">
        <f t="shared" si="12"/>
        <v>217.07006290157727</v>
      </c>
      <c r="AW7" s="1">
        <f t="shared" si="12"/>
        <v>184.50955346634069</v>
      </c>
      <c r="AX7" s="1">
        <f t="shared" si="12"/>
        <v>156.83312044638959</v>
      </c>
    </row>
    <row r="8" spans="1:77" s="1" customFormat="1" x14ac:dyDescent="0.2">
      <c r="B8" s="1" t="s">
        <v>52</v>
      </c>
      <c r="C8" s="12"/>
      <c r="D8" s="12"/>
      <c r="E8" s="12">
        <v>26.8</v>
      </c>
      <c r="F8" s="12">
        <v>25.1</v>
      </c>
      <c r="G8" s="12">
        <v>26.6</v>
      </c>
      <c r="H8" s="12">
        <v>26.1</v>
      </c>
      <c r="I8" s="12">
        <v>26.2</v>
      </c>
      <c r="J8" s="12">
        <v>26.7</v>
      </c>
      <c r="K8" s="12">
        <v>26.2</v>
      </c>
      <c r="L8" s="12">
        <v>25.5</v>
      </c>
      <c r="M8" s="12">
        <v>22</v>
      </c>
      <c r="N8" s="12">
        <f>+M8</f>
        <v>22</v>
      </c>
      <c r="O8" s="12"/>
      <c r="P8" s="12"/>
      <c r="Q8" s="12"/>
      <c r="AC8" s="1">
        <v>97.1</v>
      </c>
      <c r="AD8" s="1">
        <v>103.1</v>
      </c>
      <c r="AE8" s="1">
        <f t="shared" si="4"/>
        <v>105.60000000000001</v>
      </c>
      <c r="AF8" s="1">
        <f t="shared" si="5"/>
        <v>95.7</v>
      </c>
      <c r="AG8" s="1">
        <f>+AF8*0.9</f>
        <v>86.13000000000001</v>
      </c>
      <c r="AH8" s="1">
        <f t="shared" ref="AH8:AX8" si="13">+AG8*0.9</f>
        <v>77.51700000000001</v>
      </c>
      <c r="AI8" s="1">
        <f t="shared" si="13"/>
        <v>69.765300000000011</v>
      </c>
      <c r="AJ8" s="1">
        <f t="shared" si="13"/>
        <v>62.788770000000014</v>
      </c>
      <c r="AK8" s="1">
        <f t="shared" si="13"/>
        <v>56.509893000000012</v>
      </c>
      <c r="AL8" s="1">
        <f t="shared" si="13"/>
        <v>50.858903700000013</v>
      </c>
      <c r="AM8" s="1">
        <f t="shared" si="13"/>
        <v>45.773013330000012</v>
      </c>
      <c r="AN8" s="1">
        <f t="shared" si="13"/>
        <v>41.195711997000011</v>
      </c>
      <c r="AO8" s="1">
        <f t="shared" si="13"/>
        <v>37.076140797300013</v>
      </c>
      <c r="AP8" s="1">
        <f t="shared" si="13"/>
        <v>33.368526717570013</v>
      </c>
      <c r="AQ8" s="1">
        <f t="shared" si="13"/>
        <v>30.031674045813013</v>
      </c>
      <c r="AR8" s="1">
        <f t="shared" si="13"/>
        <v>27.028506641231711</v>
      </c>
      <c r="AS8" s="1">
        <f t="shared" si="13"/>
        <v>24.325655977108539</v>
      </c>
      <c r="AT8" s="1">
        <f t="shared" si="13"/>
        <v>21.893090379397687</v>
      </c>
      <c r="AU8" s="1">
        <f t="shared" si="13"/>
        <v>19.703781341457919</v>
      </c>
      <c r="AV8" s="1">
        <f t="shared" si="13"/>
        <v>17.733403207312129</v>
      </c>
      <c r="AW8" s="1">
        <f t="shared" si="13"/>
        <v>15.960062886580916</v>
      </c>
      <c r="AX8" s="1">
        <f t="shared" si="13"/>
        <v>14.364056597922824</v>
      </c>
    </row>
    <row r="9" spans="1:77" s="1" customFormat="1" x14ac:dyDescent="0.2">
      <c r="B9" s="1" t="s">
        <v>53</v>
      </c>
      <c r="C9" s="12"/>
      <c r="D9" s="12"/>
      <c r="E9" s="12">
        <v>494.4</v>
      </c>
      <c r="F9" s="12">
        <v>498</v>
      </c>
      <c r="G9" s="12">
        <v>520.5</v>
      </c>
      <c r="H9" s="12">
        <v>499.7</v>
      </c>
      <c r="I9" s="12">
        <v>444.1</v>
      </c>
      <c r="J9" s="12">
        <v>440.7</v>
      </c>
      <c r="K9" s="12">
        <v>472.5</v>
      </c>
      <c r="L9" s="12">
        <v>431</v>
      </c>
      <c r="M9" s="12">
        <v>431.1</v>
      </c>
      <c r="N9" s="12">
        <f>+M9+5</f>
        <v>436.1</v>
      </c>
      <c r="O9" s="12"/>
      <c r="P9" s="12"/>
      <c r="Q9" s="12"/>
      <c r="AC9" s="1">
        <v>2097</v>
      </c>
      <c r="AD9" s="1">
        <v>2052.1</v>
      </c>
      <c r="AE9" s="1">
        <f t="shared" si="4"/>
        <v>1905.0000000000002</v>
      </c>
      <c r="AF9" s="1">
        <f t="shared" si="5"/>
        <v>1770.6999999999998</v>
      </c>
      <c r="AG9" s="1">
        <f t="shared" ref="AG9:AX9" si="14">+AF9*0.9</f>
        <v>1593.6299999999999</v>
      </c>
      <c r="AH9" s="1">
        <f t="shared" si="14"/>
        <v>1434.2669999999998</v>
      </c>
      <c r="AI9" s="1">
        <f t="shared" si="14"/>
        <v>1290.8402999999998</v>
      </c>
      <c r="AJ9" s="1">
        <f t="shared" si="14"/>
        <v>1161.7562699999999</v>
      </c>
      <c r="AK9" s="1">
        <f t="shared" si="14"/>
        <v>1045.580643</v>
      </c>
      <c r="AL9" s="1">
        <f t="shared" si="14"/>
        <v>941.02257870000005</v>
      </c>
      <c r="AM9" s="1">
        <f t="shared" si="14"/>
        <v>846.92032083000004</v>
      </c>
      <c r="AN9" s="1">
        <f t="shared" si="14"/>
        <v>762.22828874700008</v>
      </c>
      <c r="AO9" s="1">
        <f t="shared" si="14"/>
        <v>686.00545987230009</v>
      </c>
      <c r="AP9" s="1">
        <f t="shared" si="14"/>
        <v>617.40491388507007</v>
      </c>
      <c r="AQ9" s="1">
        <f t="shared" si="14"/>
        <v>555.66442249656313</v>
      </c>
      <c r="AR9" s="1">
        <f t="shared" si="14"/>
        <v>500.09798024690684</v>
      </c>
      <c r="AS9" s="1">
        <f t="shared" si="14"/>
        <v>450.08818222221618</v>
      </c>
      <c r="AT9" s="1">
        <f t="shared" si="14"/>
        <v>405.07936399999454</v>
      </c>
      <c r="AU9" s="1">
        <f t="shared" si="14"/>
        <v>364.5714275999951</v>
      </c>
      <c r="AV9" s="1">
        <f t="shared" si="14"/>
        <v>328.11428483999561</v>
      </c>
      <c r="AW9" s="1">
        <f t="shared" si="14"/>
        <v>295.30285635599603</v>
      </c>
      <c r="AX9" s="1">
        <f t="shared" si="14"/>
        <v>265.77257072039646</v>
      </c>
    </row>
    <row r="10" spans="1:77" s="1" customFormat="1" x14ac:dyDescent="0.2">
      <c r="B10" s="1" t="s">
        <v>54</v>
      </c>
      <c r="C10" s="12"/>
      <c r="D10" s="12"/>
      <c r="E10" s="12">
        <v>124.2</v>
      </c>
      <c r="F10" s="12">
        <v>117.6</v>
      </c>
      <c r="G10" s="12">
        <v>121.7</v>
      </c>
      <c r="H10" s="12">
        <v>121.5</v>
      </c>
      <c r="I10" s="12">
        <v>120.8</v>
      </c>
      <c r="J10" s="12">
        <v>134.4</v>
      </c>
      <c r="K10" s="12">
        <v>114.7</v>
      </c>
      <c r="L10" s="12">
        <v>115.8</v>
      </c>
      <c r="M10" s="12">
        <v>110.2</v>
      </c>
      <c r="N10" s="12">
        <f t="shared" ref="N10:N12" si="15">AVERAGE(J10:M10)</f>
        <v>118.77500000000001</v>
      </c>
      <c r="O10" s="12"/>
      <c r="P10" s="12"/>
      <c r="Q10" s="12"/>
      <c r="AC10" s="1">
        <v>486.2</v>
      </c>
      <c r="AD10" s="1">
        <v>481.6</v>
      </c>
      <c r="AE10" s="1">
        <f t="shared" si="4"/>
        <v>498.4</v>
      </c>
      <c r="AF10" s="1">
        <f t="shared" si="5"/>
        <v>459.47500000000002</v>
      </c>
      <c r="AG10" s="1">
        <f t="shared" ref="AG10:AX10" si="16">+AF10*0.9</f>
        <v>413.52750000000003</v>
      </c>
      <c r="AH10" s="1">
        <f t="shared" si="16"/>
        <v>372.17475000000002</v>
      </c>
      <c r="AI10" s="1">
        <f t="shared" si="16"/>
        <v>334.95727500000004</v>
      </c>
      <c r="AJ10" s="1">
        <f t="shared" si="16"/>
        <v>301.46154750000005</v>
      </c>
      <c r="AK10" s="1">
        <f t="shared" si="16"/>
        <v>271.31539275000006</v>
      </c>
      <c r="AL10" s="1">
        <f t="shared" si="16"/>
        <v>244.18385347500006</v>
      </c>
      <c r="AM10" s="1">
        <f t="shared" si="16"/>
        <v>219.76546812750007</v>
      </c>
      <c r="AN10" s="1">
        <f t="shared" si="16"/>
        <v>197.78892131475007</v>
      </c>
      <c r="AO10" s="1">
        <f t="shared" si="16"/>
        <v>178.01002918327507</v>
      </c>
      <c r="AP10" s="1">
        <f t="shared" si="16"/>
        <v>160.20902626494757</v>
      </c>
      <c r="AQ10" s="1">
        <f t="shared" si="16"/>
        <v>144.18812363845282</v>
      </c>
      <c r="AR10" s="1">
        <f t="shared" si="16"/>
        <v>129.76931127460753</v>
      </c>
      <c r="AS10" s="1">
        <f t="shared" si="16"/>
        <v>116.79238014714679</v>
      </c>
      <c r="AT10" s="1">
        <f t="shared" si="16"/>
        <v>105.11314213243212</v>
      </c>
      <c r="AU10" s="1">
        <f t="shared" si="16"/>
        <v>94.601827919188906</v>
      </c>
      <c r="AV10" s="1">
        <f t="shared" si="16"/>
        <v>85.141645127270024</v>
      </c>
      <c r="AW10" s="1">
        <f t="shared" si="16"/>
        <v>76.627480614543018</v>
      </c>
      <c r="AX10" s="1">
        <f t="shared" si="16"/>
        <v>68.964732553088723</v>
      </c>
    </row>
    <row r="11" spans="1:77" s="1" customFormat="1" x14ac:dyDescent="0.2">
      <c r="B11" s="1" t="s">
        <v>55</v>
      </c>
      <c r="C11" s="12"/>
      <c r="D11" s="12"/>
      <c r="E11" s="12">
        <v>56.2</v>
      </c>
      <c r="F11" s="12">
        <v>53.7</v>
      </c>
      <c r="G11" s="12">
        <v>57.9</v>
      </c>
      <c r="H11" s="12">
        <v>55.6</v>
      </c>
      <c r="I11" s="12">
        <v>57.4</v>
      </c>
      <c r="J11" s="12">
        <v>62.5</v>
      </c>
      <c r="K11" s="12">
        <v>57.1</v>
      </c>
      <c r="L11" s="12">
        <v>57.6</v>
      </c>
      <c r="M11" s="12">
        <v>57.7</v>
      </c>
      <c r="N11" s="12">
        <f t="shared" si="15"/>
        <v>58.724999999999994</v>
      </c>
      <c r="O11" s="12"/>
      <c r="P11" s="12"/>
      <c r="Q11" s="12"/>
      <c r="AC11" s="1">
        <v>184</v>
      </c>
      <c r="AD11" s="1">
        <v>216.3</v>
      </c>
      <c r="AE11" s="1">
        <f t="shared" si="4"/>
        <v>233.4</v>
      </c>
      <c r="AF11" s="1">
        <f t="shared" si="5"/>
        <v>231.125</v>
      </c>
      <c r="AG11" s="1">
        <f t="shared" ref="AG11:AX11" si="17">+AF11*0.9</f>
        <v>208.01250000000002</v>
      </c>
      <c r="AH11" s="1">
        <f t="shared" si="17"/>
        <v>187.21125000000001</v>
      </c>
      <c r="AI11" s="1">
        <f t="shared" si="17"/>
        <v>168.49012500000001</v>
      </c>
      <c r="AJ11" s="1">
        <f t="shared" si="17"/>
        <v>151.64111250000002</v>
      </c>
      <c r="AK11" s="1">
        <f t="shared" si="17"/>
        <v>136.47700125000003</v>
      </c>
      <c r="AL11" s="1">
        <f t="shared" si="17"/>
        <v>122.82930112500003</v>
      </c>
      <c r="AM11" s="1">
        <f t="shared" si="17"/>
        <v>110.54637101250003</v>
      </c>
      <c r="AN11" s="1">
        <f t="shared" si="17"/>
        <v>99.491733911250037</v>
      </c>
      <c r="AO11" s="1">
        <f t="shared" si="17"/>
        <v>89.542560520125036</v>
      </c>
      <c r="AP11" s="1">
        <f t="shared" si="17"/>
        <v>80.58830446811254</v>
      </c>
      <c r="AQ11" s="1">
        <f t="shared" si="17"/>
        <v>72.529474021301283</v>
      </c>
      <c r="AR11" s="1">
        <f t="shared" si="17"/>
        <v>65.27652661917115</v>
      </c>
      <c r="AS11" s="1">
        <f t="shared" si="17"/>
        <v>58.748873957254034</v>
      </c>
      <c r="AT11" s="1">
        <f t="shared" si="17"/>
        <v>52.873986561528632</v>
      </c>
      <c r="AU11" s="1">
        <f t="shared" si="17"/>
        <v>47.586587905375772</v>
      </c>
      <c r="AV11" s="1">
        <f t="shared" si="17"/>
        <v>42.827929114838199</v>
      </c>
      <c r="AW11" s="1">
        <f t="shared" si="17"/>
        <v>38.545136203354382</v>
      </c>
      <c r="AX11" s="1">
        <f t="shared" si="17"/>
        <v>34.690622583018943</v>
      </c>
    </row>
    <row r="12" spans="1:77" s="1" customFormat="1" x14ac:dyDescent="0.2">
      <c r="B12" s="1" t="s">
        <v>56</v>
      </c>
      <c r="C12" s="12"/>
      <c r="D12" s="12"/>
      <c r="E12" s="12">
        <v>27.5</v>
      </c>
      <c r="F12" s="12">
        <v>26.1</v>
      </c>
      <c r="G12" s="12">
        <v>25.5</v>
      </c>
      <c r="H12" s="12">
        <v>25.3</v>
      </c>
      <c r="I12" s="12">
        <v>24.6</v>
      </c>
      <c r="J12" s="12">
        <v>24</v>
      </c>
      <c r="K12" s="12">
        <v>22.5</v>
      </c>
      <c r="L12" s="12">
        <v>20.5</v>
      </c>
      <c r="M12" s="12">
        <v>19</v>
      </c>
      <c r="N12" s="12">
        <f t="shared" si="15"/>
        <v>21.5</v>
      </c>
      <c r="O12" s="12"/>
      <c r="P12" s="12"/>
      <c r="Q12" s="12"/>
      <c r="AC12" s="1">
        <v>68.099999999999994</v>
      </c>
      <c r="AD12" s="1">
        <v>97.9</v>
      </c>
      <c r="AE12" s="1">
        <f t="shared" si="4"/>
        <v>99.4</v>
      </c>
      <c r="AF12" s="1">
        <f t="shared" si="5"/>
        <v>83.5</v>
      </c>
      <c r="AG12" s="1">
        <f t="shared" ref="AG12:AX12" si="18">+AF12*0.9</f>
        <v>75.150000000000006</v>
      </c>
      <c r="AH12" s="1">
        <f t="shared" si="18"/>
        <v>67.635000000000005</v>
      </c>
      <c r="AI12" s="1">
        <f t="shared" si="18"/>
        <v>60.871500000000005</v>
      </c>
      <c r="AJ12" s="1">
        <f t="shared" si="18"/>
        <v>54.784350000000003</v>
      </c>
      <c r="AK12" s="1">
        <f t="shared" si="18"/>
        <v>49.305915000000006</v>
      </c>
      <c r="AL12" s="1">
        <f t="shared" si="18"/>
        <v>44.375323500000007</v>
      </c>
      <c r="AM12" s="1">
        <f t="shared" si="18"/>
        <v>39.93779115000001</v>
      </c>
      <c r="AN12" s="1">
        <f t="shared" si="18"/>
        <v>35.944012035000007</v>
      </c>
      <c r="AO12" s="1">
        <f t="shared" si="18"/>
        <v>32.349610831500009</v>
      </c>
      <c r="AP12" s="1">
        <f t="shared" si="18"/>
        <v>29.114649748350008</v>
      </c>
      <c r="AQ12" s="1">
        <f t="shared" si="18"/>
        <v>26.203184773515009</v>
      </c>
      <c r="AR12" s="1">
        <f t="shared" si="18"/>
        <v>23.582866296163509</v>
      </c>
      <c r="AS12" s="1">
        <f t="shared" si="18"/>
        <v>21.224579666547157</v>
      </c>
      <c r="AT12" s="1">
        <f t="shared" si="18"/>
        <v>19.102121699892443</v>
      </c>
      <c r="AU12" s="1">
        <f t="shared" si="18"/>
        <v>17.191909529903199</v>
      </c>
      <c r="AV12" s="1">
        <f t="shared" si="18"/>
        <v>15.472718576912881</v>
      </c>
      <c r="AW12" s="1">
        <f t="shared" si="18"/>
        <v>13.925446719221593</v>
      </c>
      <c r="AX12" s="1">
        <f t="shared" si="18"/>
        <v>12.532902047299434</v>
      </c>
    </row>
    <row r="13" spans="1:77" s="1" customFormat="1" x14ac:dyDescent="0.2">
      <c r="B13" s="1" t="s">
        <v>57</v>
      </c>
      <c r="C13" s="12"/>
      <c r="D13" s="1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0.7</v>
      </c>
      <c r="N13" s="12">
        <f>+M13+4</f>
        <v>4.7</v>
      </c>
      <c r="O13" s="12"/>
      <c r="P13" s="12"/>
      <c r="Q13" s="12"/>
      <c r="AC13" s="1">
        <v>0</v>
      </c>
      <c r="AD13" s="1">
        <v>0</v>
      </c>
      <c r="AE13" s="1">
        <f t="shared" si="4"/>
        <v>0</v>
      </c>
      <c r="AF13" s="1">
        <f t="shared" si="5"/>
        <v>5.9</v>
      </c>
      <c r="AG13" s="1">
        <v>50</v>
      </c>
      <c r="AH13" s="1">
        <v>100</v>
      </c>
      <c r="AI13" s="1">
        <f t="shared" ref="AI13:AX13" si="19">+AH13*0.9</f>
        <v>90</v>
      </c>
      <c r="AJ13" s="1">
        <f t="shared" si="19"/>
        <v>81</v>
      </c>
      <c r="AK13" s="1">
        <f t="shared" si="19"/>
        <v>72.900000000000006</v>
      </c>
      <c r="AL13" s="1">
        <f t="shared" si="19"/>
        <v>65.610000000000014</v>
      </c>
      <c r="AM13" s="1">
        <f t="shared" si="19"/>
        <v>59.049000000000014</v>
      </c>
      <c r="AN13" s="1">
        <f t="shared" si="19"/>
        <v>53.144100000000016</v>
      </c>
      <c r="AO13" s="1">
        <f t="shared" si="19"/>
        <v>47.829690000000014</v>
      </c>
      <c r="AP13" s="1">
        <f t="shared" si="19"/>
        <v>43.046721000000012</v>
      </c>
      <c r="AQ13" s="1">
        <f t="shared" si="19"/>
        <v>38.742048900000015</v>
      </c>
      <c r="AR13" s="1">
        <f t="shared" si="19"/>
        <v>34.867844010000013</v>
      </c>
      <c r="AS13" s="1">
        <f t="shared" si="19"/>
        <v>31.381059609000012</v>
      </c>
      <c r="AT13" s="1">
        <f t="shared" si="19"/>
        <v>28.242953648100013</v>
      </c>
      <c r="AU13" s="1">
        <f t="shared" si="19"/>
        <v>25.418658283290011</v>
      </c>
      <c r="AV13" s="1">
        <f t="shared" si="19"/>
        <v>22.876792454961009</v>
      </c>
      <c r="AW13" s="1">
        <f t="shared" si="19"/>
        <v>20.589113209464909</v>
      </c>
      <c r="AX13" s="1">
        <f t="shared" si="19"/>
        <v>18.53020188851842</v>
      </c>
    </row>
    <row r="14" spans="1:77" s="1" customFormat="1" x14ac:dyDescent="0.2">
      <c r="B14" s="1" t="s">
        <v>58</v>
      </c>
      <c r="C14" s="12"/>
      <c r="D14" s="12"/>
      <c r="E14" s="12">
        <v>3.1</v>
      </c>
      <c r="F14" s="12">
        <v>3.1</v>
      </c>
      <c r="G14" s="12">
        <v>2.8</v>
      </c>
      <c r="H14" s="12">
        <v>3.1</v>
      </c>
      <c r="I14" s="12">
        <v>2.5</v>
      </c>
      <c r="J14" s="12">
        <v>2.7</v>
      </c>
      <c r="K14" s="12">
        <v>2.2000000000000002</v>
      </c>
      <c r="L14" s="12">
        <v>2.7</v>
      </c>
      <c r="M14" s="12">
        <v>1.5</v>
      </c>
      <c r="N14" s="12">
        <f t="shared" ref="N14:N16" si="20">+M14</f>
        <v>1.5</v>
      </c>
      <c r="O14" s="12"/>
      <c r="P14" s="12"/>
      <c r="Q14" s="12"/>
      <c r="AC14" s="1">
        <v>15.2</v>
      </c>
      <c r="AD14" s="1">
        <v>12.2</v>
      </c>
      <c r="AE14" s="1">
        <f t="shared" si="4"/>
        <v>11.100000000000001</v>
      </c>
      <c r="AF14" s="1">
        <f t="shared" si="5"/>
        <v>7.9</v>
      </c>
      <c r="AG14" s="1">
        <f>+AF14*0.9</f>
        <v>7.11</v>
      </c>
      <c r="AH14" s="1">
        <f t="shared" ref="AH14:AX14" si="21">+AG14*0.9</f>
        <v>6.399</v>
      </c>
      <c r="AI14" s="1">
        <f t="shared" si="21"/>
        <v>5.7591000000000001</v>
      </c>
      <c r="AJ14" s="1">
        <f t="shared" si="21"/>
        <v>5.1831900000000006</v>
      </c>
      <c r="AK14" s="1">
        <f t="shared" si="21"/>
        <v>4.6648710000000007</v>
      </c>
      <c r="AL14" s="1">
        <f t="shared" si="21"/>
        <v>4.1983839000000005</v>
      </c>
      <c r="AM14" s="1">
        <f t="shared" si="21"/>
        <v>3.7785455100000007</v>
      </c>
      <c r="AN14" s="1">
        <f t="shared" si="21"/>
        <v>3.4006909590000007</v>
      </c>
      <c r="AO14" s="1">
        <f t="shared" si="21"/>
        <v>3.0606218631000006</v>
      </c>
      <c r="AP14" s="1">
        <f t="shared" si="21"/>
        <v>2.7545596767900005</v>
      </c>
      <c r="AQ14" s="1">
        <f t="shared" si="21"/>
        <v>2.4791037091110004</v>
      </c>
      <c r="AR14" s="1">
        <f t="shared" si="21"/>
        <v>2.2311933381999003</v>
      </c>
      <c r="AS14" s="1">
        <f t="shared" si="21"/>
        <v>2.0080740043799103</v>
      </c>
      <c r="AT14" s="1">
        <f t="shared" si="21"/>
        <v>1.8072666039419194</v>
      </c>
      <c r="AU14" s="1">
        <f t="shared" si="21"/>
        <v>1.6265399435477275</v>
      </c>
      <c r="AV14" s="1">
        <f t="shared" si="21"/>
        <v>1.4638859491929548</v>
      </c>
      <c r="AW14" s="1">
        <f t="shared" si="21"/>
        <v>1.3174973542736594</v>
      </c>
      <c r="AX14" s="1">
        <f t="shared" si="21"/>
        <v>1.1857476188462934</v>
      </c>
    </row>
    <row r="15" spans="1:77" s="1" customFormat="1" x14ac:dyDescent="0.2">
      <c r="B15" s="1" t="s">
        <v>81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AG15" s="1">
        <v>1500</v>
      </c>
      <c r="AH15" s="1">
        <v>4000</v>
      </c>
      <c r="AI15" s="1">
        <v>6000</v>
      </c>
      <c r="AJ15" s="1">
        <v>8000</v>
      </c>
      <c r="AK15" s="1">
        <f>+AJ15*1.05</f>
        <v>8400</v>
      </c>
      <c r="AL15" s="1">
        <f t="shared" ref="AL15:AM15" si="22">+AK15*1.05</f>
        <v>8820</v>
      </c>
      <c r="AM15" s="1">
        <f t="shared" si="22"/>
        <v>9261</v>
      </c>
      <c r="AN15" s="1">
        <f>+AM15*1.02</f>
        <v>9446.2199999999993</v>
      </c>
      <c r="AO15" s="1">
        <f t="shared" ref="AO15:AX15" si="23">+AN15*1.02</f>
        <v>9635.1443999999992</v>
      </c>
      <c r="AP15" s="1">
        <f t="shared" si="23"/>
        <v>9827.847287999999</v>
      </c>
      <c r="AQ15" s="1">
        <f t="shared" si="23"/>
        <v>10024.404233759999</v>
      </c>
      <c r="AR15" s="1">
        <f t="shared" si="23"/>
        <v>10224.892318435199</v>
      </c>
      <c r="AS15" s="1">
        <f t="shared" si="23"/>
        <v>10429.390164803903</v>
      </c>
      <c r="AT15" s="1">
        <f t="shared" si="23"/>
        <v>10637.977968099982</v>
      </c>
      <c r="AU15" s="1">
        <f t="shared" si="23"/>
        <v>10850.737527461981</v>
      </c>
      <c r="AV15" s="1">
        <f t="shared" si="23"/>
        <v>11067.752278011221</v>
      </c>
      <c r="AW15" s="1">
        <f t="shared" si="23"/>
        <v>11289.107323571447</v>
      </c>
      <c r="AX15" s="1">
        <f t="shared" si="23"/>
        <v>11514.889470042875</v>
      </c>
    </row>
    <row r="16" spans="1:77" s="1" customFormat="1" x14ac:dyDescent="0.2">
      <c r="B16" s="1" t="s">
        <v>59</v>
      </c>
      <c r="C16" s="12"/>
      <c r="D16" s="12"/>
      <c r="E16" s="12">
        <v>0</v>
      </c>
      <c r="F16" s="12">
        <v>0</v>
      </c>
      <c r="G16" s="12">
        <v>0</v>
      </c>
      <c r="H16" s="12">
        <v>1.6</v>
      </c>
      <c r="I16" s="12">
        <v>0.3</v>
      </c>
      <c r="J16" s="12">
        <v>1</v>
      </c>
      <c r="K16" s="12">
        <v>2.8</v>
      </c>
      <c r="L16" s="12">
        <v>0.1</v>
      </c>
      <c r="M16" s="12">
        <v>1.6</v>
      </c>
      <c r="N16" s="12">
        <f t="shared" si="20"/>
        <v>1.6</v>
      </c>
      <c r="O16" s="12"/>
      <c r="P16" s="12"/>
      <c r="Q16" s="12"/>
      <c r="AC16" s="1">
        <v>0</v>
      </c>
      <c r="AD16" s="1">
        <v>0</v>
      </c>
      <c r="AE16" s="1">
        <f t="shared" si="4"/>
        <v>2.9000000000000004</v>
      </c>
      <c r="AF16" s="1">
        <f t="shared" si="5"/>
        <v>6.1</v>
      </c>
      <c r="AG16" s="1">
        <f t="shared" ref="AG16:AX16" si="24">+AF16*0.9</f>
        <v>5.49</v>
      </c>
      <c r="AH16" s="1">
        <f t="shared" si="24"/>
        <v>4.9410000000000007</v>
      </c>
      <c r="AI16" s="1">
        <f t="shared" si="24"/>
        <v>4.4469000000000012</v>
      </c>
      <c r="AJ16" s="1">
        <f t="shared" si="24"/>
        <v>4.0022100000000016</v>
      </c>
      <c r="AK16" s="1">
        <f t="shared" si="24"/>
        <v>3.6019890000000014</v>
      </c>
      <c r="AL16" s="1">
        <f t="shared" si="24"/>
        <v>3.2417901000000016</v>
      </c>
      <c r="AM16" s="1">
        <f t="shared" si="24"/>
        <v>2.9176110900000016</v>
      </c>
      <c r="AN16" s="1">
        <f t="shared" si="24"/>
        <v>2.6258499810000013</v>
      </c>
      <c r="AO16" s="1">
        <f t="shared" si="24"/>
        <v>2.3632649829000014</v>
      </c>
      <c r="AP16" s="1">
        <f t="shared" si="24"/>
        <v>2.1269384846100015</v>
      </c>
      <c r="AQ16" s="1">
        <f t="shared" si="24"/>
        <v>1.9142446361490013</v>
      </c>
      <c r="AR16" s="1">
        <f t="shared" si="24"/>
        <v>1.7228201725341012</v>
      </c>
      <c r="AS16" s="1">
        <f t="shared" si="24"/>
        <v>1.5505381552806912</v>
      </c>
      <c r="AT16" s="1">
        <f t="shared" si="24"/>
        <v>1.395484339752622</v>
      </c>
      <c r="AU16" s="1">
        <f t="shared" si="24"/>
        <v>1.2559359057773598</v>
      </c>
      <c r="AV16" s="1">
        <f t="shared" si="24"/>
        <v>1.1303423151996239</v>
      </c>
      <c r="AW16" s="1">
        <f t="shared" si="24"/>
        <v>1.0173080836796615</v>
      </c>
      <c r="AX16" s="1">
        <f t="shared" si="24"/>
        <v>0.91557727531169542</v>
      </c>
    </row>
    <row r="17" spans="2:50" s="1" customFormat="1" x14ac:dyDescent="0.2">
      <c r="B17" s="1" t="s">
        <v>60</v>
      </c>
      <c r="C17" s="12"/>
      <c r="D17" s="12"/>
      <c r="E17" s="12">
        <f t="shared" ref="E17:G17" si="25">SUM(E3:E16)</f>
        <v>2690.2999999999993</v>
      </c>
      <c r="F17" s="12">
        <f t="shared" si="25"/>
        <v>2301.5999999999995</v>
      </c>
      <c r="G17" s="12">
        <f t="shared" si="25"/>
        <v>2211.7000000000003</v>
      </c>
      <c r="H17" s="12">
        <f>SUM(H3:H16)</f>
        <v>2235.9999999999995</v>
      </c>
      <c r="I17" s="12">
        <f t="shared" ref="I17:L17" si="26">SUM(I3:I16)</f>
        <v>2205.7000000000003</v>
      </c>
      <c r="J17" s="12">
        <f t="shared" si="26"/>
        <v>2193.7999999999997</v>
      </c>
      <c r="K17" s="12">
        <f t="shared" si="26"/>
        <v>2066.3000000000002</v>
      </c>
      <c r="L17" s="12">
        <f t="shared" si="26"/>
        <v>2054.7999999999997</v>
      </c>
      <c r="M17" s="12">
        <f t="shared" ref="M17" si="27">SUM(M3:M16)</f>
        <v>1962.1000000000001</v>
      </c>
      <c r="N17" s="12">
        <f t="shared" ref="N17" si="28">SUM(N3:N16)</f>
        <v>1998.5409999999999</v>
      </c>
      <c r="O17" s="12"/>
      <c r="P17" s="12"/>
      <c r="Q17" s="12"/>
      <c r="AC17" s="1">
        <f t="shared" ref="AC17:AD17" si="29">SUM(AC3:AC16)</f>
        <v>11379.800000000001</v>
      </c>
      <c r="AD17" s="1">
        <f t="shared" si="29"/>
        <v>10692.2</v>
      </c>
      <c r="AE17" s="1">
        <f>SUM(AE3:AE16)</f>
        <v>8847.1999999999989</v>
      </c>
      <c r="AF17" s="1">
        <f t="shared" ref="AF17:AX17" si="30">SUM(AF3:AF16)</f>
        <v>8081.741</v>
      </c>
      <c r="AG17" s="1">
        <f>SUM(AG3:AG16)</f>
        <v>9024.7358100000001</v>
      </c>
      <c r="AH17" s="1">
        <f t="shared" si="30"/>
        <v>11075.507028100003</v>
      </c>
      <c r="AI17" s="1">
        <f t="shared" si="30"/>
        <v>12315.287228885001</v>
      </c>
      <c r="AJ17" s="1">
        <f t="shared" si="30"/>
        <v>13627.386644802251</v>
      </c>
      <c r="AK17" s="1">
        <f t="shared" si="30"/>
        <v>13438.916949779412</v>
      </c>
      <c r="AL17" s="1">
        <f t="shared" si="30"/>
        <v>13355.023826631928</v>
      </c>
      <c r="AM17" s="1">
        <f t="shared" si="30"/>
        <v>13364.244554842297</v>
      </c>
      <c r="AN17" s="1">
        <f t="shared" si="30"/>
        <v>13179.323083670235</v>
      </c>
      <c r="AO17" s="1">
        <f t="shared" si="30"/>
        <v>12604.900038386872</v>
      </c>
      <c r="AP17" s="1">
        <f t="shared" si="30"/>
        <v>12415.487656131594</v>
      </c>
      <c r="AQ17" s="1">
        <f t="shared" si="30"/>
        <v>12285.056185721012</v>
      </c>
      <c r="AR17" s="1">
        <f t="shared" si="30"/>
        <v>12204.961868906896</v>
      </c>
      <c r="AS17" s="1">
        <f t="shared" si="30"/>
        <v>12168.042066126765</v>
      </c>
      <c r="AT17" s="1">
        <f t="shared" si="30"/>
        <v>12168.351346705329</v>
      </c>
      <c r="AU17" s="1">
        <f t="shared" si="30"/>
        <v>12200.94632321328</v>
      </c>
      <c r="AV17" s="1">
        <f t="shared" si="30"/>
        <v>12261.71001379988</v>
      </c>
      <c r="AW17" s="1">
        <f t="shared" si="30"/>
        <v>12347.208287046571</v>
      </c>
      <c r="AX17" s="1">
        <f t="shared" si="30"/>
        <v>12454.572370615479</v>
      </c>
    </row>
    <row r="18" spans="2:50" s="1" customFormat="1" x14ac:dyDescent="0.2">
      <c r="B18" s="1" t="s">
        <v>77</v>
      </c>
      <c r="C18" s="12"/>
      <c r="D18" s="12"/>
      <c r="E18" s="12">
        <v>272.39999999999998</v>
      </c>
      <c r="F18" s="12">
        <v>202.4</v>
      </c>
      <c r="G18" s="12">
        <v>209.3</v>
      </c>
      <c r="H18" s="12"/>
      <c r="I18" s="12">
        <v>264.3</v>
      </c>
      <c r="J18" s="12">
        <v>261.2</v>
      </c>
      <c r="K18" s="12">
        <v>252.3</v>
      </c>
      <c r="L18" s="12"/>
      <c r="M18" s="12"/>
      <c r="N18" s="12"/>
      <c r="O18" s="12"/>
      <c r="P18" s="12"/>
      <c r="Q18" s="12"/>
      <c r="AC18" s="1">
        <v>748</v>
      </c>
      <c r="AD18" s="1">
        <v>897.6</v>
      </c>
      <c r="AE18" s="1">
        <f t="shared" si="4"/>
        <v>734.8</v>
      </c>
      <c r="AF18" s="1">
        <f>SUM(K18:N18)</f>
        <v>252.3</v>
      </c>
      <c r="AG18" s="1">
        <f>+AF18*0.9</f>
        <v>227.07000000000002</v>
      </c>
      <c r="AH18" s="1">
        <f t="shared" ref="AH18:AX18" si="31">+AG18*0.9</f>
        <v>204.36300000000003</v>
      </c>
      <c r="AI18" s="1">
        <f t="shared" si="31"/>
        <v>183.92670000000004</v>
      </c>
      <c r="AJ18" s="1">
        <f t="shared" si="31"/>
        <v>165.53403000000003</v>
      </c>
      <c r="AK18" s="1">
        <f t="shared" si="31"/>
        <v>148.98062700000003</v>
      </c>
      <c r="AL18" s="1">
        <f t="shared" si="31"/>
        <v>134.08256430000003</v>
      </c>
      <c r="AM18" s="1">
        <f t="shared" si="31"/>
        <v>120.67430787000004</v>
      </c>
      <c r="AN18" s="1">
        <f t="shared" si="31"/>
        <v>108.60687708300003</v>
      </c>
      <c r="AO18" s="1">
        <f t="shared" si="31"/>
        <v>97.746189374700023</v>
      </c>
      <c r="AP18" s="1">
        <f t="shared" si="31"/>
        <v>87.971570437230028</v>
      </c>
      <c r="AQ18" s="1">
        <f t="shared" si="31"/>
        <v>79.174413393507024</v>
      </c>
      <c r="AR18" s="1">
        <f t="shared" si="31"/>
        <v>71.256972054156321</v>
      </c>
      <c r="AS18" s="1">
        <f t="shared" si="31"/>
        <v>64.131274848740688</v>
      </c>
      <c r="AT18" s="1">
        <f t="shared" si="31"/>
        <v>57.71814736386662</v>
      </c>
      <c r="AU18" s="1">
        <f t="shared" si="31"/>
        <v>51.946332627479961</v>
      </c>
      <c r="AV18" s="1">
        <f t="shared" si="31"/>
        <v>46.751699364731969</v>
      </c>
      <c r="AW18" s="1">
        <f t="shared" si="31"/>
        <v>42.076529428258773</v>
      </c>
      <c r="AX18" s="1">
        <f t="shared" si="31"/>
        <v>37.868876485432899</v>
      </c>
    </row>
    <row r="19" spans="2:50" s="1" customFormat="1" x14ac:dyDescent="0.2">
      <c r="B19" s="1" t="s">
        <v>78</v>
      </c>
      <c r="C19" s="12"/>
      <c r="D19" s="12"/>
      <c r="E19" s="12">
        <v>287.7</v>
      </c>
      <c r="F19" s="12">
        <v>216.6</v>
      </c>
      <c r="G19" s="12">
        <v>179.7</v>
      </c>
      <c r="H19" s="12"/>
      <c r="I19" s="12">
        <v>151.1</v>
      </c>
      <c r="J19" s="12">
        <v>152.9</v>
      </c>
      <c r="K19" s="12">
        <v>147.1</v>
      </c>
      <c r="L19" s="12"/>
      <c r="M19" s="12"/>
      <c r="N19" s="12"/>
      <c r="O19" s="12"/>
      <c r="P19" s="12"/>
      <c r="Q19" s="12"/>
      <c r="AC19" s="1">
        <v>1542.4</v>
      </c>
      <c r="AD19" s="1">
        <v>1080.2</v>
      </c>
      <c r="AE19" s="1">
        <f t="shared" si="4"/>
        <v>483.69999999999993</v>
      </c>
      <c r="AF19" s="1">
        <f t="shared" si="5"/>
        <v>147.1</v>
      </c>
      <c r="AG19" s="1">
        <f t="shared" ref="AG19:AX19" si="32">+AF19*0.9</f>
        <v>132.38999999999999</v>
      </c>
      <c r="AH19" s="1">
        <f t="shared" si="32"/>
        <v>119.151</v>
      </c>
      <c r="AI19" s="1">
        <f t="shared" si="32"/>
        <v>107.2359</v>
      </c>
      <c r="AJ19" s="1">
        <f t="shared" si="32"/>
        <v>96.512309999999999</v>
      </c>
      <c r="AK19" s="1">
        <f t="shared" si="32"/>
        <v>86.861079000000004</v>
      </c>
      <c r="AL19" s="1">
        <f t="shared" si="32"/>
        <v>78.174971100000008</v>
      </c>
      <c r="AM19" s="1">
        <f t="shared" si="32"/>
        <v>70.357473990000003</v>
      </c>
      <c r="AN19" s="1">
        <f t="shared" si="32"/>
        <v>63.321726591000001</v>
      </c>
      <c r="AO19" s="1">
        <f t="shared" si="32"/>
        <v>56.989553931900005</v>
      </c>
      <c r="AP19" s="1">
        <f t="shared" si="32"/>
        <v>51.290598538710007</v>
      </c>
      <c r="AQ19" s="1">
        <f t="shared" si="32"/>
        <v>46.161538684839009</v>
      </c>
      <c r="AR19" s="1">
        <f t="shared" si="32"/>
        <v>41.54538481635511</v>
      </c>
      <c r="AS19" s="1">
        <f t="shared" si="32"/>
        <v>37.390846334719598</v>
      </c>
      <c r="AT19" s="1">
        <f t="shared" si="32"/>
        <v>33.651761701247636</v>
      </c>
      <c r="AU19" s="1">
        <f t="shared" si="32"/>
        <v>30.286585531122874</v>
      </c>
      <c r="AV19" s="1">
        <f t="shared" si="32"/>
        <v>27.257926978010588</v>
      </c>
      <c r="AW19" s="1">
        <f t="shared" si="32"/>
        <v>24.532134280209529</v>
      </c>
      <c r="AX19" s="1">
        <f t="shared" si="32"/>
        <v>22.078920852188578</v>
      </c>
    </row>
    <row r="20" spans="2:50" s="1" customFormat="1" x14ac:dyDescent="0.2">
      <c r="B20" s="1" t="s">
        <v>61</v>
      </c>
      <c r="C20" s="12"/>
      <c r="D20" s="12"/>
      <c r="E20" s="12"/>
      <c r="F20" s="12"/>
      <c r="G20" s="12"/>
      <c r="H20" s="12">
        <v>440</v>
      </c>
      <c r="I20" s="12"/>
      <c r="J20" s="12"/>
      <c r="K20" s="12"/>
      <c r="L20" s="12">
        <v>436.3</v>
      </c>
      <c r="M20" s="12">
        <f>281.1+135.8</f>
        <v>416.90000000000003</v>
      </c>
      <c r="N20" s="12">
        <f>+M20</f>
        <v>416.90000000000003</v>
      </c>
      <c r="O20" s="12"/>
      <c r="P20" s="12"/>
      <c r="Q20" s="12"/>
      <c r="AE20" s="1">
        <f t="shared" si="4"/>
        <v>440</v>
      </c>
      <c r="AF20" s="1">
        <f t="shared" si="5"/>
        <v>1270.1000000000001</v>
      </c>
      <c r="AG20" s="1">
        <f t="shared" ref="AG20:AX20" si="33">+AF20*0.9</f>
        <v>1143.0900000000001</v>
      </c>
      <c r="AH20" s="1">
        <f t="shared" si="33"/>
        <v>1028.7810000000002</v>
      </c>
      <c r="AI20" s="1">
        <f t="shared" si="33"/>
        <v>925.90290000000016</v>
      </c>
      <c r="AJ20" s="1">
        <f t="shared" si="33"/>
        <v>833.31261000000018</v>
      </c>
      <c r="AK20" s="1">
        <f t="shared" si="33"/>
        <v>749.98134900000014</v>
      </c>
      <c r="AL20" s="1">
        <f t="shared" si="33"/>
        <v>674.98321410000017</v>
      </c>
      <c r="AM20" s="1">
        <f t="shared" si="33"/>
        <v>607.48489269000015</v>
      </c>
      <c r="AN20" s="1">
        <f t="shared" si="33"/>
        <v>546.7364034210002</v>
      </c>
      <c r="AO20" s="1">
        <f t="shared" si="33"/>
        <v>492.06276307890022</v>
      </c>
      <c r="AP20" s="1">
        <f t="shared" si="33"/>
        <v>442.85648677101022</v>
      </c>
      <c r="AQ20" s="1">
        <f t="shared" si="33"/>
        <v>398.57083809390923</v>
      </c>
      <c r="AR20" s="1">
        <f t="shared" si="33"/>
        <v>358.7137542845183</v>
      </c>
      <c r="AS20" s="1">
        <f t="shared" si="33"/>
        <v>322.84237885606649</v>
      </c>
      <c r="AT20" s="1">
        <f t="shared" si="33"/>
        <v>290.55814097045987</v>
      </c>
      <c r="AU20" s="1">
        <f t="shared" si="33"/>
        <v>261.50232687341389</v>
      </c>
      <c r="AV20" s="1">
        <f t="shared" si="33"/>
        <v>235.35209418607252</v>
      </c>
      <c r="AW20" s="1">
        <f t="shared" si="33"/>
        <v>211.81688476746527</v>
      </c>
      <c r="AX20" s="1">
        <f t="shared" si="33"/>
        <v>190.63519629071874</v>
      </c>
    </row>
    <row r="21" spans="2:50" s="1" customFormat="1" x14ac:dyDescent="0.2">
      <c r="B21" s="1" t="s">
        <v>62</v>
      </c>
      <c r="C21" s="12"/>
      <c r="D21" s="12"/>
      <c r="E21" s="12">
        <v>125.7</v>
      </c>
      <c r="F21" s="12">
        <v>132</v>
      </c>
      <c r="G21" s="12">
        <v>93.3</v>
      </c>
      <c r="H21" s="12">
        <v>99</v>
      </c>
      <c r="I21" s="12">
        <v>157.80000000000001</v>
      </c>
      <c r="J21" s="12">
        <v>126.2</v>
      </c>
      <c r="K21" s="12">
        <v>66.099999999999994</v>
      </c>
      <c r="L21" s="12">
        <v>98</v>
      </c>
      <c r="M21" s="12">
        <v>129.5</v>
      </c>
      <c r="N21" s="12">
        <f>+M21</f>
        <v>129.5</v>
      </c>
      <c r="O21" s="12"/>
      <c r="P21" s="12"/>
      <c r="Q21" s="12"/>
      <c r="AC21" s="1">
        <v>707.7</v>
      </c>
      <c r="AD21" s="1">
        <v>774.6</v>
      </c>
      <c r="AE21" s="1">
        <f t="shared" si="4"/>
        <v>476.3</v>
      </c>
      <c r="AF21" s="1">
        <f t="shared" si="5"/>
        <v>423.1</v>
      </c>
      <c r="AG21" s="1">
        <f t="shared" ref="AG21:AX21" si="34">+AF21*0.9</f>
        <v>380.79</v>
      </c>
      <c r="AH21" s="1">
        <f t="shared" si="34"/>
        <v>342.71100000000001</v>
      </c>
      <c r="AI21" s="1">
        <f t="shared" si="34"/>
        <v>308.43990000000002</v>
      </c>
      <c r="AJ21" s="1">
        <f t="shared" si="34"/>
        <v>277.59591</v>
      </c>
      <c r="AK21" s="1">
        <f t="shared" si="34"/>
        <v>249.836319</v>
      </c>
      <c r="AL21" s="1">
        <f t="shared" si="34"/>
        <v>224.8526871</v>
      </c>
      <c r="AM21" s="1">
        <f t="shared" si="34"/>
        <v>202.36741839000001</v>
      </c>
      <c r="AN21" s="1">
        <f t="shared" si="34"/>
        <v>182.13067655100002</v>
      </c>
      <c r="AO21" s="1">
        <f t="shared" si="34"/>
        <v>163.91760889590003</v>
      </c>
      <c r="AP21" s="1">
        <f t="shared" si="34"/>
        <v>147.52584800631004</v>
      </c>
      <c r="AQ21" s="1">
        <f t="shared" si="34"/>
        <v>132.77326320567903</v>
      </c>
      <c r="AR21" s="1">
        <f t="shared" si="34"/>
        <v>119.49593688511113</v>
      </c>
      <c r="AS21" s="1">
        <f t="shared" si="34"/>
        <v>107.54634319660002</v>
      </c>
      <c r="AT21" s="1">
        <f t="shared" si="34"/>
        <v>96.791708876940021</v>
      </c>
      <c r="AU21" s="1">
        <f t="shared" si="34"/>
        <v>87.112537989246022</v>
      </c>
      <c r="AV21" s="1">
        <f t="shared" si="34"/>
        <v>78.401284190321419</v>
      </c>
      <c r="AW21" s="1">
        <f t="shared" si="34"/>
        <v>70.561155771289279</v>
      </c>
      <c r="AX21" s="1">
        <f t="shared" si="34"/>
        <v>63.505040194160351</v>
      </c>
    </row>
    <row r="22" spans="2:50" s="13" customFormat="1" x14ac:dyDescent="0.2">
      <c r="B22" s="13" t="s">
        <v>37</v>
      </c>
      <c r="C22" s="14"/>
      <c r="D22" s="14"/>
      <c r="E22" s="14">
        <f t="shared" ref="E22:L22" si="35">SUM(E17:E21)</f>
        <v>3376.099999999999</v>
      </c>
      <c r="F22" s="14">
        <f t="shared" si="35"/>
        <v>2852.5999999999995</v>
      </c>
      <c r="G22" s="14">
        <f t="shared" si="35"/>
        <v>2694.0000000000005</v>
      </c>
      <c r="H22" s="14">
        <f t="shared" si="35"/>
        <v>2774.9999999999995</v>
      </c>
      <c r="I22" s="14">
        <f t="shared" si="35"/>
        <v>2778.9000000000005</v>
      </c>
      <c r="J22" s="14">
        <f t="shared" si="35"/>
        <v>2734.0999999999995</v>
      </c>
      <c r="K22" s="14">
        <f t="shared" si="35"/>
        <v>2531.8000000000002</v>
      </c>
      <c r="L22" s="14">
        <f t="shared" si="35"/>
        <v>2589.1</v>
      </c>
      <c r="M22" s="14">
        <f t="shared" ref="M22:R22" si="36">SUM(M17:M21)</f>
        <v>2508.5</v>
      </c>
      <c r="N22" s="14">
        <f t="shared" si="36"/>
        <v>2544.9409999999998</v>
      </c>
      <c r="O22" s="14">
        <f t="shared" si="36"/>
        <v>0</v>
      </c>
      <c r="P22" s="14">
        <f t="shared" si="36"/>
        <v>0</v>
      </c>
      <c r="Q22" s="14">
        <f t="shared" si="36"/>
        <v>0</v>
      </c>
      <c r="R22" s="14">
        <f t="shared" si="36"/>
        <v>0</v>
      </c>
      <c r="AC22" s="14">
        <f t="shared" ref="AC22:AE22" si="37">SUM(AC17:AC21)</f>
        <v>14377.900000000001</v>
      </c>
      <c r="AD22" s="14">
        <f t="shared" si="37"/>
        <v>13444.600000000002</v>
      </c>
      <c r="AE22" s="14">
        <f t="shared" si="37"/>
        <v>10981.999999999998</v>
      </c>
      <c r="AF22" s="14">
        <f>SUM(AF17:AF21)</f>
        <v>10174.341</v>
      </c>
      <c r="AG22" s="14">
        <f t="shared" ref="AG22:AX22" si="38">SUM(AG17:AG21)</f>
        <v>10908.07581</v>
      </c>
      <c r="AH22" s="14">
        <f t="shared" si="38"/>
        <v>12770.513028100002</v>
      </c>
      <c r="AI22" s="14">
        <f t="shared" si="38"/>
        <v>13840.792628885001</v>
      </c>
      <c r="AJ22" s="14">
        <f t="shared" si="38"/>
        <v>15000.341504802253</v>
      </c>
      <c r="AK22" s="14">
        <f t="shared" si="38"/>
        <v>14674.576323779413</v>
      </c>
      <c r="AL22" s="14">
        <f t="shared" si="38"/>
        <v>14467.117263231929</v>
      </c>
      <c r="AM22" s="14">
        <f t="shared" si="38"/>
        <v>14365.128647782296</v>
      </c>
      <c r="AN22" s="14">
        <f t="shared" si="38"/>
        <v>14080.118767316237</v>
      </c>
      <c r="AO22" s="14">
        <f t="shared" si="38"/>
        <v>13415.616153668272</v>
      </c>
      <c r="AP22" s="14">
        <f t="shared" si="38"/>
        <v>13145.132159884854</v>
      </c>
      <c r="AQ22" s="14">
        <f t="shared" si="38"/>
        <v>12941.736239098946</v>
      </c>
      <c r="AR22" s="14">
        <f t="shared" si="38"/>
        <v>12795.973916947034</v>
      </c>
      <c r="AS22" s="14">
        <f t="shared" si="38"/>
        <v>12699.952909362892</v>
      </c>
      <c r="AT22" s="14">
        <f t="shared" si="38"/>
        <v>12647.071105617842</v>
      </c>
      <c r="AU22" s="14">
        <f t="shared" si="38"/>
        <v>12631.794106234542</v>
      </c>
      <c r="AV22" s="14">
        <f t="shared" si="38"/>
        <v>12649.473018519018</v>
      </c>
      <c r="AW22" s="14">
        <f t="shared" si="38"/>
        <v>12696.194991293794</v>
      </c>
      <c r="AX22" s="14">
        <f t="shared" si="38"/>
        <v>12768.66040443798</v>
      </c>
    </row>
    <row r="23" spans="2:50" s="1" customFormat="1" x14ac:dyDescent="0.2">
      <c r="B23" s="1" t="s">
        <v>63</v>
      </c>
      <c r="C23" s="12"/>
      <c r="D23" s="12"/>
      <c r="E23" s="12">
        <v>449.1</v>
      </c>
      <c r="F23" s="12">
        <v>490.6</v>
      </c>
      <c r="G23" s="12">
        <v>478.1</v>
      </c>
      <c r="H23" s="12">
        <v>459.7</v>
      </c>
      <c r="I23" s="12">
        <v>511.8</v>
      </c>
      <c r="J23" s="12">
        <v>660.1</v>
      </c>
      <c r="K23" s="12">
        <v>753.9</v>
      </c>
      <c r="L23" s="12">
        <v>484</v>
      </c>
      <c r="M23" s="12">
        <v>469.5</v>
      </c>
      <c r="N23" s="12">
        <f t="shared" ref="N23" si="39">+N22-N24</f>
        <v>483.53878999999961</v>
      </c>
      <c r="O23" s="12"/>
      <c r="P23" s="12"/>
      <c r="Q23" s="12"/>
      <c r="AC23" s="1">
        <v>1955.4</v>
      </c>
      <c r="AD23" s="1">
        <v>1805.2</v>
      </c>
      <c r="AE23" s="1">
        <f t="shared" ref="AE23" si="40">SUM(G23:J23)</f>
        <v>2109.6999999999998</v>
      </c>
      <c r="AF23" s="1">
        <f t="shared" ref="AF23" si="41">SUM(K23:N23)</f>
        <v>2190.9387899999997</v>
      </c>
      <c r="AG23" s="1">
        <f>+AG22-AG24</f>
        <v>1963.4536458000002</v>
      </c>
      <c r="AH23" s="1">
        <f t="shared" ref="AH23:AX23" si="42">+AH22-AH24</f>
        <v>2298.6923450580016</v>
      </c>
      <c r="AI23" s="1">
        <f t="shared" si="42"/>
        <v>2491.3426731993004</v>
      </c>
      <c r="AJ23" s="1">
        <f t="shared" si="42"/>
        <v>2700.0614708644061</v>
      </c>
      <c r="AK23" s="1">
        <f t="shared" si="42"/>
        <v>2641.4237382802949</v>
      </c>
      <c r="AL23" s="1">
        <f t="shared" si="42"/>
        <v>2604.0811073817476</v>
      </c>
      <c r="AM23" s="1">
        <f t="shared" si="42"/>
        <v>2585.723156600814</v>
      </c>
      <c r="AN23" s="1">
        <f t="shared" si="42"/>
        <v>2534.4213781169237</v>
      </c>
      <c r="AO23" s="1">
        <f t="shared" si="42"/>
        <v>2414.8109076602905</v>
      </c>
      <c r="AP23" s="1">
        <f t="shared" si="42"/>
        <v>2366.123788779274</v>
      </c>
      <c r="AQ23" s="1">
        <f t="shared" si="42"/>
        <v>2329.5125230378108</v>
      </c>
      <c r="AR23" s="1">
        <f t="shared" si="42"/>
        <v>2303.2753050504671</v>
      </c>
      <c r="AS23" s="1">
        <f t="shared" si="42"/>
        <v>2285.9915236853212</v>
      </c>
      <c r="AT23" s="1">
        <f t="shared" si="42"/>
        <v>2276.4727990112115</v>
      </c>
      <c r="AU23" s="1">
        <f t="shared" si="42"/>
        <v>2273.7229391222172</v>
      </c>
      <c r="AV23" s="1">
        <f t="shared" si="42"/>
        <v>2276.9051433334243</v>
      </c>
      <c r="AW23" s="1">
        <f t="shared" si="42"/>
        <v>2285.315098432884</v>
      </c>
      <c r="AX23" s="1">
        <f t="shared" si="42"/>
        <v>2298.3588727988372</v>
      </c>
    </row>
    <row r="24" spans="2:50" s="1" customFormat="1" x14ac:dyDescent="0.2">
      <c r="B24" s="1" t="s">
        <v>64</v>
      </c>
      <c r="C24" s="12"/>
      <c r="D24" s="12"/>
      <c r="E24" s="12">
        <f t="shared" ref="E24:L24" si="43">+E22-E23</f>
        <v>2926.9999999999991</v>
      </c>
      <c r="F24" s="12">
        <f t="shared" si="43"/>
        <v>2361.9999999999995</v>
      </c>
      <c r="G24" s="12">
        <f t="shared" si="43"/>
        <v>2215.9000000000005</v>
      </c>
      <c r="H24" s="12">
        <f t="shared" si="43"/>
        <v>2315.2999999999997</v>
      </c>
      <c r="I24" s="12">
        <f t="shared" si="43"/>
        <v>2267.1000000000004</v>
      </c>
      <c r="J24" s="12">
        <f t="shared" si="43"/>
        <v>2073.9999999999995</v>
      </c>
      <c r="K24" s="12">
        <f t="shared" si="43"/>
        <v>1777.9</v>
      </c>
      <c r="L24" s="12">
        <f t="shared" si="43"/>
        <v>2105.1</v>
      </c>
      <c r="M24" s="12">
        <f>+M22-M23</f>
        <v>2039</v>
      </c>
      <c r="N24" s="12">
        <f t="shared" ref="N24" si="44">+N22*0.81</f>
        <v>2061.4022100000002</v>
      </c>
      <c r="O24" s="12"/>
      <c r="P24" s="12"/>
      <c r="Q24" s="12"/>
      <c r="AC24" s="1">
        <f>+AC22-AC23</f>
        <v>12422.500000000002</v>
      </c>
      <c r="AD24" s="1">
        <f>+AD22-AD23</f>
        <v>11639.400000000001</v>
      </c>
      <c r="AE24" s="1">
        <f>+AE22-AE23</f>
        <v>8872.2999999999993</v>
      </c>
      <c r="AF24" s="1">
        <f>+AF22-AF23</f>
        <v>7983.4022100000002</v>
      </c>
      <c r="AG24" s="1">
        <f>+AG22*0.82</f>
        <v>8944.6221642</v>
      </c>
      <c r="AH24" s="1">
        <f t="shared" ref="AH24:AX24" si="45">+AH22*0.82</f>
        <v>10471.820683042</v>
      </c>
      <c r="AI24" s="1">
        <f t="shared" si="45"/>
        <v>11349.449955685701</v>
      </c>
      <c r="AJ24" s="1">
        <f t="shared" si="45"/>
        <v>12300.280033937846</v>
      </c>
      <c r="AK24" s="1">
        <f t="shared" si="45"/>
        <v>12033.152585499118</v>
      </c>
      <c r="AL24" s="1">
        <f t="shared" si="45"/>
        <v>11863.036155850181</v>
      </c>
      <c r="AM24" s="1">
        <f t="shared" si="45"/>
        <v>11779.405491181482</v>
      </c>
      <c r="AN24" s="1">
        <f t="shared" si="45"/>
        <v>11545.697389199313</v>
      </c>
      <c r="AO24" s="1">
        <f t="shared" si="45"/>
        <v>11000.805246007982</v>
      </c>
      <c r="AP24" s="1">
        <f t="shared" si="45"/>
        <v>10779.008371105579</v>
      </c>
      <c r="AQ24" s="1">
        <f t="shared" si="45"/>
        <v>10612.223716061135</v>
      </c>
      <c r="AR24" s="1">
        <f t="shared" si="45"/>
        <v>10492.698611896567</v>
      </c>
      <c r="AS24" s="1">
        <f t="shared" si="45"/>
        <v>10413.96138567757</v>
      </c>
      <c r="AT24" s="1">
        <f t="shared" si="45"/>
        <v>10370.598306606631</v>
      </c>
      <c r="AU24" s="1">
        <f t="shared" si="45"/>
        <v>10358.071167112324</v>
      </c>
      <c r="AV24" s="1">
        <f t="shared" si="45"/>
        <v>10372.567875185594</v>
      </c>
      <c r="AW24" s="1">
        <f t="shared" si="45"/>
        <v>10410.87989286091</v>
      </c>
      <c r="AX24" s="1">
        <f t="shared" si="45"/>
        <v>10470.301531639143</v>
      </c>
    </row>
    <row r="25" spans="2:50" s="1" customFormat="1" x14ac:dyDescent="0.2">
      <c r="B25" s="1" t="s">
        <v>65</v>
      </c>
      <c r="C25" s="12"/>
      <c r="D25" s="12"/>
      <c r="E25" s="12">
        <v>1140.9000000000001</v>
      </c>
      <c r="F25" s="12">
        <v>1726</v>
      </c>
      <c r="G25" s="12">
        <v>514.20000000000005</v>
      </c>
      <c r="H25" s="12">
        <v>585.1</v>
      </c>
      <c r="I25" s="12">
        <v>702.4</v>
      </c>
      <c r="J25" s="12">
        <v>699.5</v>
      </c>
      <c r="K25" s="12">
        <v>551.70000000000005</v>
      </c>
      <c r="L25" s="12">
        <v>528.6</v>
      </c>
      <c r="M25" s="12">
        <v>549.20000000000005</v>
      </c>
      <c r="N25" s="12"/>
      <c r="O25" s="12"/>
      <c r="P25" s="12"/>
      <c r="Q25" s="12"/>
      <c r="AC25" s="1">
        <v>2280.6</v>
      </c>
      <c r="AD25" s="1">
        <v>3990.9</v>
      </c>
      <c r="AE25" s="1">
        <f t="shared" ref="AE25:AE26" si="46">SUM(G25:J25)</f>
        <v>2501.2000000000003</v>
      </c>
      <c r="AF25" s="1">
        <f t="shared" ref="AF25:AF26" si="47">SUM(K25:N25)</f>
        <v>1629.5000000000002</v>
      </c>
    </row>
    <row r="26" spans="2:50" s="1" customFormat="1" x14ac:dyDescent="0.2">
      <c r="B26" s="1" t="s">
        <v>66</v>
      </c>
      <c r="C26" s="12"/>
      <c r="D26" s="12"/>
      <c r="E26" s="12">
        <v>573.1</v>
      </c>
      <c r="F26" s="12">
        <v>806.3</v>
      </c>
      <c r="G26" s="12">
        <v>595</v>
      </c>
      <c r="H26" s="12">
        <v>637.29999999999995</v>
      </c>
      <c r="I26" s="12">
        <v>654.1</v>
      </c>
      <c r="J26" s="12">
        <v>787.9</v>
      </c>
      <c r="K26" s="12">
        <v>634.9</v>
      </c>
      <c r="L26" s="12">
        <v>572.6</v>
      </c>
      <c r="M26" s="12">
        <v>563.29999999999995</v>
      </c>
      <c r="N26" s="12">
        <f>+M26+50</f>
        <v>613.29999999999995</v>
      </c>
      <c r="O26" s="12"/>
      <c r="P26" s="12"/>
      <c r="Q26" s="12"/>
      <c r="AC26" s="1">
        <v>2374.6999999999998</v>
      </c>
      <c r="AD26" s="1">
        <v>2504.5</v>
      </c>
      <c r="AE26" s="1">
        <f t="shared" si="46"/>
        <v>2674.3</v>
      </c>
      <c r="AF26" s="1">
        <f t="shared" si="47"/>
        <v>2384.1</v>
      </c>
      <c r="AG26" s="1">
        <f>+AF26*0.95</f>
        <v>2264.895</v>
      </c>
      <c r="AH26" s="1">
        <f t="shared" ref="AH26:AX26" si="48">+AG26*0.95</f>
        <v>2151.6502499999997</v>
      </c>
      <c r="AI26" s="1">
        <f t="shared" si="48"/>
        <v>2044.0677374999996</v>
      </c>
      <c r="AJ26" s="1">
        <f t="shared" si="48"/>
        <v>1941.8643506249996</v>
      </c>
      <c r="AK26" s="1">
        <f t="shared" si="48"/>
        <v>1844.7711330937495</v>
      </c>
      <c r="AL26" s="1">
        <f t="shared" si="48"/>
        <v>1752.532576439062</v>
      </c>
      <c r="AM26" s="1">
        <f t="shared" si="48"/>
        <v>1664.9059476171089</v>
      </c>
      <c r="AN26" s="1">
        <f t="shared" si="48"/>
        <v>1581.6606502362533</v>
      </c>
      <c r="AO26" s="1">
        <f t="shared" si="48"/>
        <v>1502.5776177244406</v>
      </c>
      <c r="AP26" s="1">
        <f t="shared" si="48"/>
        <v>1427.4487368382186</v>
      </c>
      <c r="AQ26" s="1">
        <f t="shared" si="48"/>
        <v>1356.0762999963076</v>
      </c>
      <c r="AR26" s="1">
        <f t="shared" si="48"/>
        <v>1288.2724849964923</v>
      </c>
      <c r="AS26" s="1">
        <f t="shared" si="48"/>
        <v>1223.8588607466677</v>
      </c>
      <c r="AT26" s="1">
        <f t="shared" si="48"/>
        <v>1162.6659177093343</v>
      </c>
      <c r="AU26" s="1">
        <f t="shared" si="48"/>
        <v>1104.5326218238674</v>
      </c>
      <c r="AV26" s="1">
        <f t="shared" si="48"/>
        <v>1049.305990732674</v>
      </c>
      <c r="AW26" s="1">
        <f t="shared" si="48"/>
        <v>996.84069119604021</v>
      </c>
      <c r="AX26" s="1">
        <f t="shared" si="48"/>
        <v>946.99865663623814</v>
      </c>
    </row>
    <row r="27" spans="2:50" s="1" customFormat="1" x14ac:dyDescent="0.2">
      <c r="B27" s="1" t="s">
        <v>67</v>
      </c>
      <c r="C27" s="12"/>
      <c r="D27" s="12"/>
      <c r="E27" s="12">
        <f t="shared" ref="E27:L27" si="49">+E25+E26</f>
        <v>1714</v>
      </c>
      <c r="F27" s="12">
        <f t="shared" si="49"/>
        <v>2532.3000000000002</v>
      </c>
      <c r="G27" s="12">
        <f t="shared" si="49"/>
        <v>1109.2</v>
      </c>
      <c r="H27" s="12">
        <f t="shared" si="49"/>
        <v>1222.4000000000001</v>
      </c>
      <c r="I27" s="12">
        <f t="shared" si="49"/>
        <v>1356.5</v>
      </c>
      <c r="J27" s="12">
        <f t="shared" si="49"/>
        <v>1487.4</v>
      </c>
      <c r="K27" s="12">
        <f t="shared" si="49"/>
        <v>1186.5999999999999</v>
      </c>
      <c r="L27" s="12">
        <f t="shared" si="49"/>
        <v>1101.2</v>
      </c>
      <c r="M27" s="12">
        <f t="shared" ref="M27:N27" si="50">+M25+M26</f>
        <v>1112.5</v>
      </c>
      <c r="N27" s="12">
        <f t="shared" si="50"/>
        <v>613.29999999999995</v>
      </c>
      <c r="O27" s="12"/>
      <c r="P27" s="12"/>
      <c r="Q27" s="12"/>
      <c r="AC27" s="1">
        <f t="shared" ref="AC27:AD27" si="51">+AC25+AC26</f>
        <v>4655.2999999999993</v>
      </c>
      <c r="AD27" s="1">
        <f t="shared" si="51"/>
        <v>6495.4</v>
      </c>
      <c r="AE27" s="1">
        <f>+AE25+AE26</f>
        <v>5175.5</v>
      </c>
      <c r="AF27" s="1">
        <f>+AF25+AF26</f>
        <v>4013.6000000000004</v>
      </c>
      <c r="AG27" s="1">
        <f t="shared" ref="AG27:AX27" si="52">+AG25+AG26</f>
        <v>2264.895</v>
      </c>
      <c r="AH27" s="1">
        <f t="shared" si="52"/>
        <v>2151.6502499999997</v>
      </c>
      <c r="AI27" s="1">
        <f t="shared" si="52"/>
        <v>2044.0677374999996</v>
      </c>
      <c r="AJ27" s="1">
        <f t="shared" si="52"/>
        <v>1941.8643506249996</v>
      </c>
      <c r="AK27" s="1">
        <f t="shared" si="52"/>
        <v>1844.7711330937495</v>
      </c>
      <c r="AL27" s="1">
        <f t="shared" si="52"/>
        <v>1752.532576439062</v>
      </c>
      <c r="AM27" s="1">
        <f t="shared" si="52"/>
        <v>1664.9059476171089</v>
      </c>
      <c r="AN27" s="1">
        <f t="shared" si="52"/>
        <v>1581.6606502362533</v>
      </c>
      <c r="AO27" s="1">
        <f t="shared" si="52"/>
        <v>1502.5776177244406</v>
      </c>
      <c r="AP27" s="1">
        <f t="shared" si="52"/>
        <v>1427.4487368382186</v>
      </c>
      <c r="AQ27" s="1">
        <f t="shared" si="52"/>
        <v>1356.0762999963076</v>
      </c>
      <c r="AR27" s="1">
        <f t="shared" si="52"/>
        <v>1288.2724849964923</v>
      </c>
      <c r="AS27" s="1">
        <f t="shared" si="52"/>
        <v>1223.8588607466677</v>
      </c>
      <c r="AT27" s="1">
        <f t="shared" si="52"/>
        <v>1162.6659177093343</v>
      </c>
      <c r="AU27" s="1">
        <f t="shared" si="52"/>
        <v>1104.5326218238674</v>
      </c>
      <c r="AV27" s="1">
        <f t="shared" si="52"/>
        <v>1049.305990732674</v>
      </c>
      <c r="AW27" s="1">
        <f t="shared" si="52"/>
        <v>996.84069119604021</v>
      </c>
      <c r="AX27" s="1">
        <f t="shared" si="52"/>
        <v>946.99865663623814</v>
      </c>
    </row>
    <row r="28" spans="2:50" s="1" customFormat="1" x14ac:dyDescent="0.2">
      <c r="B28" s="1" t="s">
        <v>68</v>
      </c>
      <c r="C28" s="12"/>
      <c r="D28" s="12"/>
      <c r="E28" s="12">
        <f t="shared" ref="E28:L28" si="53">+E24-E27</f>
        <v>1212.9999999999991</v>
      </c>
      <c r="F28" s="12">
        <f t="shared" si="53"/>
        <v>-170.30000000000064</v>
      </c>
      <c r="G28" s="12">
        <f t="shared" si="53"/>
        <v>1106.7000000000005</v>
      </c>
      <c r="H28" s="12">
        <f t="shared" si="53"/>
        <v>1092.8999999999996</v>
      </c>
      <c r="I28" s="12">
        <f t="shared" si="53"/>
        <v>910.60000000000036</v>
      </c>
      <c r="J28" s="12">
        <f t="shared" si="53"/>
        <v>586.59999999999945</v>
      </c>
      <c r="K28" s="12">
        <f t="shared" si="53"/>
        <v>591.30000000000018</v>
      </c>
      <c r="L28" s="12">
        <f t="shared" si="53"/>
        <v>1003.8999999999999</v>
      </c>
      <c r="M28" s="12">
        <f t="shared" ref="M28:N28" si="54">+M24-M27</f>
        <v>926.5</v>
      </c>
      <c r="N28" s="12">
        <f t="shared" si="54"/>
        <v>1448.1022100000002</v>
      </c>
      <c r="O28" s="12"/>
      <c r="P28" s="12"/>
      <c r="Q28" s="12"/>
      <c r="AC28" s="1">
        <f t="shared" ref="AC28:AD28" si="55">+AC24-AC27</f>
        <v>7767.2000000000025</v>
      </c>
      <c r="AD28" s="1">
        <f t="shared" si="55"/>
        <v>5144.0000000000018</v>
      </c>
      <c r="AE28" s="1">
        <f>+AE24-AE27</f>
        <v>3696.7999999999993</v>
      </c>
      <c r="AF28" s="1">
        <f>+AF24-AF27</f>
        <v>3969.8022099999998</v>
      </c>
      <c r="AG28" s="1">
        <f t="shared" ref="AG28:AX28" si="56">+AG24-AG27</f>
        <v>6679.7271641999996</v>
      </c>
      <c r="AH28" s="1">
        <f t="shared" si="56"/>
        <v>8320.1704330419998</v>
      </c>
      <c r="AI28" s="1">
        <f t="shared" si="56"/>
        <v>9305.3822181857013</v>
      </c>
      <c r="AJ28" s="1">
        <f t="shared" si="56"/>
        <v>10358.415683312847</v>
      </c>
      <c r="AK28" s="1">
        <f t="shared" si="56"/>
        <v>10188.381452405369</v>
      </c>
      <c r="AL28" s="1">
        <f t="shared" si="56"/>
        <v>10110.503579411119</v>
      </c>
      <c r="AM28" s="1">
        <f t="shared" si="56"/>
        <v>10114.499543564372</v>
      </c>
      <c r="AN28" s="1">
        <f t="shared" si="56"/>
        <v>9964.0367389630592</v>
      </c>
      <c r="AO28" s="1">
        <f t="shared" si="56"/>
        <v>9498.227628283541</v>
      </c>
      <c r="AP28" s="1">
        <f t="shared" si="56"/>
        <v>9351.5596342673616</v>
      </c>
      <c r="AQ28" s="1">
        <f t="shared" si="56"/>
        <v>9256.1474160648268</v>
      </c>
      <c r="AR28" s="1">
        <f t="shared" si="56"/>
        <v>9204.4261269000745</v>
      </c>
      <c r="AS28" s="1">
        <f t="shared" si="56"/>
        <v>9190.1025249309023</v>
      </c>
      <c r="AT28" s="1">
        <f t="shared" si="56"/>
        <v>9207.9323888972976</v>
      </c>
      <c r="AU28" s="1">
        <f t="shared" si="56"/>
        <v>9253.5385452884566</v>
      </c>
      <c r="AV28" s="1">
        <f t="shared" si="56"/>
        <v>9323.2618844529206</v>
      </c>
      <c r="AW28" s="1">
        <f t="shared" si="56"/>
        <v>9414.0392016648693</v>
      </c>
      <c r="AX28" s="1">
        <f t="shared" si="56"/>
        <v>9523.3028750029043</v>
      </c>
    </row>
    <row r="29" spans="2:50" s="1" customFormat="1" x14ac:dyDescent="0.2">
      <c r="B29" s="1" t="s">
        <v>69</v>
      </c>
      <c r="C29" s="12"/>
      <c r="D29" s="12"/>
      <c r="E29" s="12">
        <f>73-128.6</f>
        <v>-55.599999999999994</v>
      </c>
      <c r="F29" s="12">
        <f>66.4+683.5</f>
        <v>749.9</v>
      </c>
      <c r="G29" s="12">
        <f>68.5-506.9</f>
        <v>-438.4</v>
      </c>
      <c r="H29" s="12">
        <v>-15.2</v>
      </c>
      <c r="I29" s="12">
        <f>21.2-502.9</f>
        <v>-481.7</v>
      </c>
      <c r="J29" s="12">
        <f>67.3-182.1</f>
        <v>-114.8</v>
      </c>
      <c r="K29" s="12">
        <f>-117.3-263.3</f>
        <v>-380.6</v>
      </c>
      <c r="L29" s="12">
        <v>29.4</v>
      </c>
      <c r="M29" s="12">
        <f>45.3+56</f>
        <v>101.3</v>
      </c>
      <c r="N29" s="12"/>
      <c r="O29" s="12"/>
      <c r="P29" s="12"/>
      <c r="Q29" s="12"/>
      <c r="AC29" s="1">
        <f>241.6+83.3</f>
        <v>324.89999999999998</v>
      </c>
      <c r="AD29" s="1">
        <f>232.9+497.4</f>
        <v>730.3</v>
      </c>
      <c r="AE29" s="1">
        <f t="shared" ref="AE29" si="57">SUM(G29:J29)</f>
        <v>-1050.0999999999999</v>
      </c>
      <c r="AF29" s="1">
        <f t="shared" ref="AF29" si="58">SUM(K29:N29)</f>
        <v>-249.90000000000003</v>
      </c>
    </row>
    <row r="30" spans="2:50" s="1" customFormat="1" x14ac:dyDescent="0.2">
      <c r="B30" s="1" t="s">
        <v>70</v>
      </c>
      <c r="C30" s="12"/>
      <c r="D30" s="12"/>
      <c r="E30" s="12">
        <f t="shared" ref="E30:L30" si="59">+E28+E29</f>
        <v>1157.3999999999992</v>
      </c>
      <c r="F30" s="12">
        <f t="shared" si="59"/>
        <v>579.59999999999934</v>
      </c>
      <c r="G30" s="12">
        <f t="shared" si="59"/>
        <v>668.30000000000052</v>
      </c>
      <c r="H30" s="12">
        <f t="shared" si="59"/>
        <v>1077.6999999999996</v>
      </c>
      <c r="I30" s="12">
        <f t="shared" si="59"/>
        <v>428.90000000000038</v>
      </c>
      <c r="J30" s="12">
        <f t="shared" si="59"/>
        <v>471.79999999999944</v>
      </c>
      <c r="K30" s="12">
        <f t="shared" si="59"/>
        <v>210.70000000000016</v>
      </c>
      <c r="L30" s="12">
        <f t="shared" si="59"/>
        <v>1033.3</v>
      </c>
      <c r="M30" s="12">
        <f>+L30</f>
        <v>1033.3</v>
      </c>
      <c r="N30" s="12">
        <f>+M30</f>
        <v>1033.3</v>
      </c>
      <c r="O30" s="12"/>
      <c r="P30" s="12"/>
      <c r="Q30" s="12"/>
      <c r="AC30" s="1">
        <f t="shared" ref="AC30:AD30" si="60">+AC28+AC29</f>
        <v>8092.1000000000022</v>
      </c>
      <c r="AD30" s="1">
        <f t="shared" si="60"/>
        <v>5874.300000000002</v>
      </c>
      <c r="AE30" s="1">
        <f>+AE28+AE29</f>
        <v>2646.6999999999994</v>
      </c>
      <c r="AF30" s="1">
        <f>+AF28+AF29</f>
        <v>3719.9022099999997</v>
      </c>
      <c r="AG30" s="1">
        <f t="shared" ref="AG30:AX30" si="61">+AG28+AG29</f>
        <v>6679.7271641999996</v>
      </c>
      <c r="AH30" s="1">
        <f t="shared" si="61"/>
        <v>8320.1704330419998</v>
      </c>
      <c r="AI30" s="1">
        <f t="shared" si="61"/>
        <v>9305.3822181857013</v>
      </c>
      <c r="AJ30" s="1">
        <f t="shared" si="61"/>
        <v>10358.415683312847</v>
      </c>
      <c r="AK30" s="1">
        <f t="shared" si="61"/>
        <v>10188.381452405369</v>
      </c>
      <c r="AL30" s="1">
        <f t="shared" si="61"/>
        <v>10110.503579411119</v>
      </c>
      <c r="AM30" s="1">
        <f t="shared" si="61"/>
        <v>10114.499543564372</v>
      </c>
      <c r="AN30" s="1">
        <f t="shared" si="61"/>
        <v>9964.0367389630592</v>
      </c>
      <c r="AO30" s="1">
        <f t="shared" si="61"/>
        <v>9498.227628283541</v>
      </c>
      <c r="AP30" s="1">
        <f t="shared" si="61"/>
        <v>9351.5596342673616</v>
      </c>
      <c r="AQ30" s="1">
        <f t="shared" si="61"/>
        <v>9256.1474160648268</v>
      </c>
      <c r="AR30" s="1">
        <f t="shared" si="61"/>
        <v>9204.4261269000745</v>
      </c>
      <c r="AS30" s="1">
        <f t="shared" si="61"/>
        <v>9190.1025249309023</v>
      </c>
      <c r="AT30" s="1">
        <f t="shared" si="61"/>
        <v>9207.9323888972976</v>
      </c>
      <c r="AU30" s="1">
        <f t="shared" si="61"/>
        <v>9253.5385452884566</v>
      </c>
      <c r="AV30" s="1">
        <f t="shared" si="61"/>
        <v>9323.2618844529206</v>
      </c>
      <c r="AW30" s="1">
        <f t="shared" si="61"/>
        <v>9414.0392016648693</v>
      </c>
      <c r="AX30" s="1">
        <f t="shared" si="61"/>
        <v>9523.3028750029043</v>
      </c>
    </row>
    <row r="31" spans="2:50" s="1" customFormat="1" x14ac:dyDescent="0.2">
      <c r="B31" s="1" t="s">
        <v>71</v>
      </c>
      <c r="C31" s="12"/>
      <c r="D31" s="12"/>
      <c r="E31" s="12">
        <f>240.8+13.1+2.4</f>
        <v>256.3</v>
      </c>
      <c r="F31" s="12">
        <f>13.3-18-0.3</f>
        <v>-4.9999999999999991</v>
      </c>
      <c r="G31" s="12">
        <f>44.2+18.2-5.6</f>
        <v>56.800000000000004</v>
      </c>
      <c r="H31" s="12">
        <f>409.1-34.3+577</f>
        <v>951.8</v>
      </c>
      <c r="I31" s="12">
        <f>-25.9-1.1-11.1</f>
        <v>-38.1</v>
      </c>
      <c r="J31" s="12">
        <f>443.2-17.7-388.7</f>
        <v>36.800000000000011</v>
      </c>
      <c r="K31" s="12">
        <f>125.6+3.3-85.3</f>
        <v>43.600000000000009</v>
      </c>
      <c r="L31" s="12">
        <f>216.7-5.9</f>
        <v>210.79999999999998</v>
      </c>
      <c r="M31" s="12">
        <v>236.2</v>
      </c>
      <c r="N31" s="12">
        <f>+N30*0.2</f>
        <v>206.66</v>
      </c>
      <c r="O31" s="12"/>
      <c r="P31" s="12"/>
      <c r="Q31" s="12"/>
      <c r="AC31" s="1">
        <f>1158+79.4</f>
        <v>1237.4000000000001</v>
      </c>
      <c r="AD31" s="1">
        <f>992.3+59.9</f>
        <v>1052.2</v>
      </c>
      <c r="AE31" s="1">
        <f t="shared" ref="AE31" si="62">SUM(G31:J31)</f>
        <v>1007.3</v>
      </c>
      <c r="AF31" s="1">
        <f t="shared" ref="AF31" si="63">SUM(K31:N31)</f>
        <v>697.26</v>
      </c>
      <c r="AG31" s="1">
        <f>+AG30*0.2</f>
        <v>1335.94543284</v>
      </c>
      <c r="AH31" s="1">
        <f t="shared" ref="AH31:AX31" si="64">+AH30*0.2</f>
        <v>1664.0340866084</v>
      </c>
      <c r="AI31" s="1">
        <f t="shared" si="64"/>
        <v>1861.0764436371403</v>
      </c>
      <c r="AJ31" s="1">
        <f t="shared" si="64"/>
        <v>2071.6831366625697</v>
      </c>
      <c r="AK31" s="1">
        <f t="shared" si="64"/>
        <v>2037.6762904810739</v>
      </c>
      <c r="AL31" s="1">
        <f t="shared" si="64"/>
        <v>2022.100715882224</v>
      </c>
      <c r="AM31" s="1">
        <f t="shared" si="64"/>
        <v>2022.8999087128745</v>
      </c>
      <c r="AN31" s="1">
        <f t="shared" si="64"/>
        <v>1992.8073477926118</v>
      </c>
      <c r="AO31" s="1">
        <f t="shared" si="64"/>
        <v>1899.6455256567083</v>
      </c>
      <c r="AP31" s="1">
        <f t="shared" si="64"/>
        <v>1870.3119268534724</v>
      </c>
      <c r="AQ31" s="1">
        <f t="shared" si="64"/>
        <v>1851.2294832129655</v>
      </c>
      <c r="AR31" s="1">
        <f t="shared" si="64"/>
        <v>1840.8852253800151</v>
      </c>
      <c r="AS31" s="1">
        <f t="shared" si="64"/>
        <v>1838.0205049861806</v>
      </c>
      <c r="AT31" s="1">
        <f t="shared" si="64"/>
        <v>1841.5864777794595</v>
      </c>
      <c r="AU31" s="1">
        <f t="shared" si="64"/>
        <v>1850.7077090576913</v>
      </c>
      <c r="AV31" s="1">
        <f t="shared" si="64"/>
        <v>1864.6523768905843</v>
      </c>
      <c r="AW31" s="1">
        <f t="shared" si="64"/>
        <v>1882.8078403329739</v>
      </c>
      <c r="AX31" s="1">
        <f t="shared" si="64"/>
        <v>1904.660575000581</v>
      </c>
    </row>
    <row r="32" spans="2:50" x14ac:dyDescent="0.2">
      <c r="B32" s="1" t="s">
        <v>72</v>
      </c>
      <c r="E32" s="12">
        <f t="shared" ref="E32:N32" si="65">+E30-E31</f>
        <v>901.09999999999923</v>
      </c>
      <c r="F32" s="12">
        <f t="shared" si="65"/>
        <v>584.59999999999934</v>
      </c>
      <c r="G32" s="12">
        <f t="shared" si="65"/>
        <v>611.50000000000057</v>
      </c>
      <c r="H32" s="12">
        <f t="shared" si="65"/>
        <v>125.89999999999964</v>
      </c>
      <c r="I32" s="12">
        <f t="shared" si="65"/>
        <v>467.0000000000004</v>
      </c>
      <c r="J32" s="12">
        <f t="shared" si="65"/>
        <v>434.99999999999943</v>
      </c>
      <c r="K32" s="12">
        <f t="shared" si="65"/>
        <v>167.10000000000014</v>
      </c>
      <c r="L32" s="12">
        <f t="shared" si="65"/>
        <v>822.5</v>
      </c>
      <c r="M32" s="12">
        <f>+M30-M31</f>
        <v>797.09999999999991</v>
      </c>
      <c r="N32" s="12">
        <f t="shared" si="65"/>
        <v>826.64</v>
      </c>
      <c r="O32" s="12"/>
      <c r="P32" s="12"/>
      <c r="Q32" s="12"/>
      <c r="AC32" s="1">
        <f>+AC30-AC31</f>
        <v>6854.7000000000025</v>
      </c>
      <c r="AD32" s="1">
        <f>+AD30-AD31</f>
        <v>4822.1000000000022</v>
      </c>
      <c r="AE32" s="1">
        <f>+AE30-AE31</f>
        <v>1639.3999999999994</v>
      </c>
      <c r="AF32" s="1">
        <f>+AF30-AF31</f>
        <v>3022.64221</v>
      </c>
      <c r="AG32" s="1">
        <f>+AG30-AG31</f>
        <v>5343.7817313599999</v>
      </c>
      <c r="AH32" s="1">
        <f t="shared" ref="AH32:AX32" si="66">+AH30-AH31</f>
        <v>6656.1363464336</v>
      </c>
      <c r="AI32" s="1">
        <f t="shared" si="66"/>
        <v>7444.3057745485612</v>
      </c>
      <c r="AJ32" s="1">
        <f t="shared" si="66"/>
        <v>8286.7325466502771</v>
      </c>
      <c r="AK32" s="1">
        <f t="shared" si="66"/>
        <v>8150.7051619242948</v>
      </c>
      <c r="AL32" s="1">
        <f t="shared" si="66"/>
        <v>8088.4028635288951</v>
      </c>
      <c r="AM32" s="1">
        <f t="shared" si="66"/>
        <v>8091.5996348514982</v>
      </c>
      <c r="AN32" s="1">
        <f t="shared" si="66"/>
        <v>7971.2293911704473</v>
      </c>
      <c r="AO32" s="1">
        <f t="shared" si="66"/>
        <v>7598.5821026268331</v>
      </c>
      <c r="AP32" s="1">
        <f t="shared" si="66"/>
        <v>7481.2477074138897</v>
      </c>
      <c r="AQ32" s="1">
        <f t="shared" si="66"/>
        <v>7404.9179328518612</v>
      </c>
      <c r="AR32" s="1">
        <f t="shared" si="66"/>
        <v>7363.5409015200594</v>
      </c>
      <c r="AS32" s="1">
        <f t="shared" si="66"/>
        <v>7352.0820199447217</v>
      </c>
      <c r="AT32" s="1">
        <f t="shared" si="66"/>
        <v>7366.3459111178381</v>
      </c>
      <c r="AU32" s="1">
        <f t="shared" si="66"/>
        <v>7402.8308362307653</v>
      </c>
      <c r="AV32" s="1">
        <f t="shared" si="66"/>
        <v>7458.6095075623361</v>
      </c>
      <c r="AW32" s="1">
        <f t="shared" si="66"/>
        <v>7531.2313613318956</v>
      </c>
      <c r="AX32" s="1">
        <f t="shared" si="66"/>
        <v>7618.6423000023233</v>
      </c>
    </row>
    <row r="33" spans="2:53" x14ac:dyDescent="0.2">
      <c r="B33" s="1" t="s">
        <v>1</v>
      </c>
      <c r="E33" s="15">
        <f t="shared" ref="E33:L33" si="67">+E32/E34</f>
        <v>5.7321882951653897</v>
      </c>
      <c r="F33" s="15">
        <f t="shared" si="67"/>
        <v>3.796103896103892</v>
      </c>
      <c r="G33" s="15">
        <f t="shared" si="67"/>
        <v>4.0151017728168128</v>
      </c>
      <c r="H33" s="15">
        <f t="shared" si="67"/>
        <v>0.83877415056628679</v>
      </c>
      <c r="I33" s="15">
        <f t="shared" si="67"/>
        <v>3.1426648721399757</v>
      </c>
      <c r="J33" s="15">
        <f t="shared" si="67"/>
        <v>2.9491525423728775</v>
      </c>
      <c r="K33" s="15">
        <f t="shared" si="67"/>
        <v>1.1321138211382122</v>
      </c>
      <c r="L33" s="15">
        <f t="shared" si="67"/>
        <v>5.625854993160055</v>
      </c>
      <c r="M33" s="15">
        <f t="shared" ref="M33:N33" si="68">+M32/M34</f>
        <v>5.5048342541436455</v>
      </c>
      <c r="N33" s="15">
        <f t="shared" si="68"/>
        <v>5.7088397790055243</v>
      </c>
      <c r="O33" s="15"/>
      <c r="P33" s="15"/>
      <c r="Q33" s="15"/>
      <c r="AC33" s="17">
        <f>+AC32/AC34</f>
        <v>36.577908217716129</v>
      </c>
      <c r="AD33" s="17">
        <f>+AD32/AD34</f>
        <v>29.895226286422826</v>
      </c>
      <c r="AE33" s="17">
        <f>+AE32/AE34</f>
        <v>10.956725146198826</v>
      </c>
      <c r="AF33" s="17">
        <f>+AF32/AF34</f>
        <v>20.724320946177581</v>
      </c>
      <c r="AG33" s="17">
        <f>+AG32/AG34</f>
        <v>36.638887427905381</v>
      </c>
      <c r="AH33" s="17">
        <f t="shared" ref="AH33:AX33" si="69">+AH32/AH34</f>
        <v>45.636862162726089</v>
      </c>
      <c r="AI33" s="17">
        <f t="shared" si="69"/>
        <v>51.040834930055276</v>
      </c>
      <c r="AJ33" s="17">
        <f t="shared" si="69"/>
        <v>56.816815540968648</v>
      </c>
      <c r="AK33" s="17">
        <f t="shared" si="69"/>
        <v>55.884162920289988</v>
      </c>
      <c r="AL33" s="17">
        <f t="shared" si="69"/>
        <v>55.456995978943404</v>
      </c>
      <c r="AM33" s="17">
        <f t="shared" si="69"/>
        <v>55.478914191645515</v>
      </c>
      <c r="AN33" s="17">
        <f t="shared" si="69"/>
        <v>54.653612555162482</v>
      </c>
      <c r="AO33" s="17">
        <f t="shared" si="69"/>
        <v>52.098608862713974</v>
      </c>
      <c r="AP33" s="17">
        <f t="shared" si="69"/>
        <v>51.294122094027358</v>
      </c>
      <c r="AQ33" s="17">
        <f t="shared" si="69"/>
        <v>50.770777736385746</v>
      </c>
      <c r="AR33" s="17">
        <f t="shared" si="69"/>
        <v>50.487081943915392</v>
      </c>
      <c r="AS33" s="17">
        <f t="shared" si="69"/>
        <v>50.408515734965526</v>
      </c>
      <c r="AT33" s="17">
        <f t="shared" si="69"/>
        <v>50.506314097482608</v>
      </c>
      <c r="AU33" s="17">
        <f t="shared" si="69"/>
        <v>50.75646785211358</v>
      </c>
      <c r="AV33" s="17">
        <f t="shared" si="69"/>
        <v>51.138906462546018</v>
      </c>
      <c r="AW33" s="17">
        <f t="shared" si="69"/>
        <v>51.636827983077794</v>
      </c>
      <c r="AX33" s="17">
        <f t="shared" si="69"/>
        <v>52.236148783012162</v>
      </c>
    </row>
    <row r="34" spans="2:53" x14ac:dyDescent="0.2">
      <c r="B34" s="1" t="s">
        <v>73</v>
      </c>
      <c r="E34" s="12">
        <v>157.19999999999999</v>
      </c>
      <c r="F34" s="12">
        <v>154</v>
      </c>
      <c r="G34" s="12">
        <v>152.30000000000001</v>
      </c>
      <c r="H34" s="12">
        <v>150.1</v>
      </c>
      <c r="I34" s="12">
        <v>148.6</v>
      </c>
      <c r="J34" s="12">
        <v>147.5</v>
      </c>
      <c r="K34" s="12">
        <v>147.6</v>
      </c>
      <c r="L34" s="12">
        <v>146.19999999999999</v>
      </c>
      <c r="M34" s="12">
        <v>144.80000000000001</v>
      </c>
      <c r="N34" s="12">
        <f>+M34</f>
        <v>144.80000000000001</v>
      </c>
      <c r="O34" s="12"/>
      <c r="P34" s="12"/>
      <c r="Q34" s="12"/>
      <c r="AC34" s="1">
        <v>187.4</v>
      </c>
      <c r="AD34" s="1">
        <v>161.30000000000001</v>
      </c>
      <c r="AE34" s="1">
        <f>AVERAGE(G34:J34)</f>
        <v>149.625</v>
      </c>
      <c r="AF34" s="1">
        <f>AVERAGE(K34:N34)</f>
        <v>145.85</v>
      </c>
      <c r="AG34" s="1">
        <f>+AF34</f>
        <v>145.85</v>
      </c>
      <c r="AH34" s="1">
        <f t="shared" ref="AH34:AX34" si="70">+AG34</f>
        <v>145.85</v>
      </c>
      <c r="AI34" s="1">
        <f t="shared" si="70"/>
        <v>145.85</v>
      </c>
      <c r="AJ34" s="1">
        <f t="shared" si="70"/>
        <v>145.85</v>
      </c>
      <c r="AK34" s="1">
        <f t="shared" si="70"/>
        <v>145.85</v>
      </c>
      <c r="AL34" s="1">
        <f t="shared" si="70"/>
        <v>145.85</v>
      </c>
      <c r="AM34" s="1">
        <f t="shared" si="70"/>
        <v>145.85</v>
      </c>
      <c r="AN34" s="1">
        <f t="shared" si="70"/>
        <v>145.85</v>
      </c>
      <c r="AO34" s="1">
        <f t="shared" si="70"/>
        <v>145.85</v>
      </c>
      <c r="AP34" s="1">
        <f t="shared" si="70"/>
        <v>145.85</v>
      </c>
      <c r="AQ34" s="1">
        <f t="shared" si="70"/>
        <v>145.85</v>
      </c>
      <c r="AR34" s="1">
        <f t="shared" si="70"/>
        <v>145.85</v>
      </c>
      <c r="AS34" s="1">
        <f t="shared" si="70"/>
        <v>145.85</v>
      </c>
      <c r="AT34" s="1">
        <f t="shared" si="70"/>
        <v>145.85</v>
      </c>
      <c r="AU34" s="1">
        <f t="shared" si="70"/>
        <v>145.85</v>
      </c>
      <c r="AV34" s="1">
        <f t="shared" si="70"/>
        <v>145.85</v>
      </c>
      <c r="AW34" s="1">
        <f t="shared" si="70"/>
        <v>145.85</v>
      </c>
      <c r="AX34" s="1">
        <f t="shared" si="70"/>
        <v>145.85</v>
      </c>
    </row>
    <row r="35" spans="2:53" x14ac:dyDescent="0.2">
      <c r="AZ35" t="s">
        <v>82</v>
      </c>
      <c r="BA35" s="18">
        <v>-0.01</v>
      </c>
    </row>
    <row r="36" spans="2:53" x14ac:dyDescent="0.2">
      <c r="AZ36" t="s">
        <v>83</v>
      </c>
      <c r="BA36" s="18">
        <v>0.08</v>
      </c>
    </row>
    <row r="37" spans="2:53" x14ac:dyDescent="0.2">
      <c r="B37" s="1" t="s">
        <v>79</v>
      </c>
      <c r="I37" s="16">
        <f>+I22/E22-1</f>
        <v>-0.1768904949497937</v>
      </c>
      <c r="J37" s="16">
        <f>+J22/F22-1</f>
        <v>-4.1541050269929158E-2</v>
      </c>
      <c r="K37" s="16">
        <f>+K22/G22-1</f>
        <v>-6.0207869339272579E-2</v>
      </c>
      <c r="L37" s="16">
        <f>+L22/H22-1</f>
        <v>-6.6990990990990817E-2</v>
      </c>
      <c r="M37" s="16">
        <f>+M22/I22-1</f>
        <v>-9.7304688905682335E-2</v>
      </c>
      <c r="AD37" s="18">
        <f>+AD22/AC22-1</f>
        <v>-6.4912122076241974E-2</v>
      </c>
      <c r="AE37" s="18">
        <f t="shared" ref="AE37:AX37" si="71">+AE22/AD22-1</f>
        <v>-0.18316647575978484</v>
      </c>
      <c r="AF37" s="18">
        <f t="shared" si="71"/>
        <v>-7.3543890001820933E-2</v>
      </c>
      <c r="AG37" s="18">
        <f t="shared" si="71"/>
        <v>7.211619995830687E-2</v>
      </c>
      <c r="AH37" s="18">
        <f t="shared" si="71"/>
        <v>0.17073929907900065</v>
      </c>
      <c r="AI37" s="18">
        <f t="shared" si="71"/>
        <v>8.3808661283221397E-2</v>
      </c>
      <c r="AJ37" s="18">
        <f t="shared" si="71"/>
        <v>8.3777635212692436E-2</v>
      </c>
      <c r="AK37" s="18">
        <f t="shared" si="71"/>
        <v>-2.1717184300007353E-2</v>
      </c>
      <c r="AL37" s="18">
        <f t="shared" si="71"/>
        <v>-1.4137311767652649E-2</v>
      </c>
      <c r="AM37" s="18">
        <f t="shared" si="71"/>
        <v>-7.0496847156161779E-3</v>
      </c>
      <c r="AN37" s="18">
        <f t="shared" si="71"/>
        <v>-1.9840398749931043E-2</v>
      </c>
      <c r="AO37" s="18">
        <f t="shared" si="71"/>
        <v>-4.7194389808021708E-2</v>
      </c>
      <c r="AP37" s="18">
        <f t="shared" si="71"/>
        <v>-2.0161876330179518E-2</v>
      </c>
      <c r="AQ37" s="18">
        <f t="shared" si="71"/>
        <v>-1.5473098201828184E-2</v>
      </c>
      <c r="AR37" s="18">
        <f t="shared" si="71"/>
        <v>-1.1262964988541624E-2</v>
      </c>
      <c r="AS37" s="18">
        <f t="shared" si="71"/>
        <v>-7.5040015091756285E-3</v>
      </c>
      <c r="AT37" s="18">
        <f t="shared" si="71"/>
        <v>-4.1639369942909621E-3</v>
      </c>
      <c r="AU37" s="18">
        <f t="shared" si="71"/>
        <v>-1.2079476153584734E-3</v>
      </c>
      <c r="AV37" s="18">
        <f t="shared" si="71"/>
        <v>1.3995567166307232E-3</v>
      </c>
      <c r="AW37" s="18">
        <f t="shared" si="71"/>
        <v>3.6935904528492269E-3</v>
      </c>
      <c r="AX37" s="18">
        <f t="shared" si="71"/>
        <v>5.7076480940847496E-3</v>
      </c>
      <c r="AZ37" t="s">
        <v>84</v>
      </c>
      <c r="BA37" s="1">
        <f>NPV(BA36,AG32:AX32)+Main!J5-Main!J6</f>
        <v>70462.859365994213</v>
      </c>
    </row>
    <row r="38" spans="2:53" x14ac:dyDescent="0.2">
      <c r="B38" s="1" t="s">
        <v>80</v>
      </c>
      <c r="E38" s="16">
        <f>+E24/E22</f>
        <v>0.86697668907911496</v>
      </c>
      <c r="F38" s="16">
        <f>+F24/F22</f>
        <v>0.82801654630863075</v>
      </c>
      <c r="G38" s="16">
        <f>+G24/G22</f>
        <v>0.82253155159613967</v>
      </c>
      <c r="H38" s="16">
        <f t="shared" ref="H38" si="72">+H24/H22</f>
        <v>0.83434234234234239</v>
      </c>
      <c r="I38" s="16">
        <f t="shared" ref="I38:J38" si="73">+I24/I22</f>
        <v>0.8158264061319227</v>
      </c>
      <c r="J38" s="16">
        <f t="shared" si="73"/>
        <v>0.7585677188105775</v>
      </c>
      <c r="K38" s="16">
        <f t="shared" ref="K38:N38" si="74">+K24/K22</f>
        <v>0.70222766411248916</v>
      </c>
      <c r="L38" s="16">
        <f t="shared" si="74"/>
        <v>0.8130624541346414</v>
      </c>
      <c r="M38" s="16">
        <f t="shared" si="74"/>
        <v>0.81283635638827989</v>
      </c>
      <c r="N38" s="16">
        <f t="shared" si="74"/>
        <v>0.81000000000000016</v>
      </c>
      <c r="O38" s="16"/>
      <c r="P38" s="16"/>
      <c r="Q38" s="16"/>
      <c r="AC38" s="18">
        <f t="shared" ref="AC38:AE38" si="75">+AC24/AC22</f>
        <v>0.86399961051335739</v>
      </c>
      <c r="AD38" s="18">
        <f t="shared" si="75"/>
        <v>0.86573047915148083</v>
      </c>
      <c r="AE38" s="18">
        <f>+AE24/AE22</f>
        <v>0.80789473684210533</v>
      </c>
      <c r="AF38" s="18">
        <f t="shared" ref="AF38:AX38" si="76">+AF24/AF22</f>
        <v>0.78466037358095231</v>
      </c>
      <c r="AG38" s="18">
        <f t="shared" si="76"/>
        <v>0.82</v>
      </c>
      <c r="AH38" s="18">
        <f t="shared" si="76"/>
        <v>0.82</v>
      </c>
      <c r="AI38" s="18">
        <f t="shared" si="76"/>
        <v>0.82</v>
      </c>
      <c r="AJ38" s="18">
        <f t="shared" si="76"/>
        <v>0.82</v>
      </c>
      <c r="AK38" s="18">
        <f t="shared" si="76"/>
        <v>0.82</v>
      </c>
      <c r="AL38" s="18">
        <f t="shared" si="76"/>
        <v>0.82</v>
      </c>
      <c r="AM38" s="18">
        <f t="shared" si="76"/>
        <v>0.82</v>
      </c>
      <c r="AN38" s="18">
        <f t="shared" si="76"/>
        <v>0.82</v>
      </c>
      <c r="AO38" s="18">
        <f t="shared" si="76"/>
        <v>0.81999999999999984</v>
      </c>
      <c r="AP38" s="18">
        <f t="shared" si="76"/>
        <v>0.82</v>
      </c>
      <c r="AQ38" s="18">
        <f t="shared" si="76"/>
        <v>0.82</v>
      </c>
      <c r="AR38" s="18">
        <f t="shared" si="76"/>
        <v>0.82</v>
      </c>
      <c r="AS38" s="18">
        <f t="shared" si="76"/>
        <v>0.82</v>
      </c>
      <c r="AT38" s="18">
        <f t="shared" si="76"/>
        <v>0.82000000000000006</v>
      </c>
      <c r="AU38" s="18">
        <f t="shared" si="76"/>
        <v>0.82000000000000006</v>
      </c>
      <c r="AV38" s="18">
        <f t="shared" si="76"/>
        <v>0.82</v>
      </c>
      <c r="AW38" s="18">
        <f t="shared" si="76"/>
        <v>0.82</v>
      </c>
      <c r="AX38" s="18">
        <f t="shared" si="76"/>
        <v>0.82</v>
      </c>
      <c r="AZ38" t="s">
        <v>85</v>
      </c>
      <c r="BA38" s="17">
        <f>BA37/Main!J3</f>
        <v>485.95075424823597</v>
      </c>
    </row>
    <row r="40" spans="2:53" x14ac:dyDescent="0.2">
      <c r="B40" t="s">
        <v>118</v>
      </c>
      <c r="M40" s="12">
        <f>M41-M55</f>
        <v>1104.8000000000002</v>
      </c>
    </row>
    <row r="41" spans="2:53" s="1" customFormat="1" x14ac:dyDescent="0.2">
      <c r="B41" s="1" t="s">
        <v>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>
        <f>3675.6+1235.5+860.3+1612.6</f>
        <v>7384</v>
      </c>
      <c r="N41" s="12"/>
      <c r="O41" s="12"/>
      <c r="P41" s="12"/>
      <c r="Q41" s="12"/>
    </row>
    <row r="42" spans="2:53" s="1" customFormat="1" x14ac:dyDescent="0.2">
      <c r="B42" s="1" t="s">
        <v>108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>
        <v>1568.8</v>
      </c>
      <c r="N42" s="12"/>
      <c r="O42" s="12"/>
      <c r="P42" s="12"/>
      <c r="Q42" s="12"/>
    </row>
    <row r="43" spans="2:53" s="1" customFormat="1" x14ac:dyDescent="0.2">
      <c r="B43" s="1" t="s">
        <v>61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>
        <v>415.4</v>
      </c>
      <c r="N43" s="12"/>
      <c r="O43" s="12"/>
      <c r="P43" s="12"/>
      <c r="Q43" s="12"/>
    </row>
    <row r="44" spans="2:53" s="1" customFormat="1" x14ac:dyDescent="0.2">
      <c r="B44" s="1" t="s">
        <v>109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>
        <v>1375</v>
      </c>
      <c r="N44" s="12"/>
      <c r="O44" s="12"/>
      <c r="P44" s="12"/>
      <c r="Q44" s="12"/>
    </row>
    <row r="45" spans="2:53" s="1" customFormat="1" x14ac:dyDescent="0.2">
      <c r="B45" s="1" t="s">
        <v>110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>
        <v>1495.5</v>
      </c>
      <c r="N45" s="12"/>
      <c r="O45" s="12"/>
      <c r="P45" s="12"/>
      <c r="Q45" s="12"/>
    </row>
    <row r="46" spans="2:53" s="1" customFormat="1" x14ac:dyDescent="0.2">
      <c r="B46" s="1" t="s">
        <v>111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>
        <v>3266.4</v>
      </c>
      <c r="N46" s="12"/>
      <c r="O46" s="12"/>
      <c r="P46" s="12"/>
      <c r="Q46" s="12"/>
    </row>
    <row r="47" spans="2:53" s="1" customFormat="1" x14ac:dyDescent="0.2">
      <c r="B47" s="1" t="s">
        <v>112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>
        <v>424.5</v>
      </c>
      <c r="N47" s="12"/>
      <c r="O47" s="12"/>
      <c r="P47" s="12"/>
      <c r="Q47" s="12"/>
    </row>
    <row r="48" spans="2:53" s="1" customFormat="1" x14ac:dyDescent="0.2">
      <c r="B48" s="1" t="s">
        <v>113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>
        <f>5741.2+2008.9</f>
        <v>7750.1</v>
      </c>
      <c r="N48" s="12"/>
      <c r="O48" s="12"/>
      <c r="P48" s="12"/>
      <c r="Q48" s="12"/>
    </row>
    <row r="49" spans="2:17" s="1" customFormat="1" x14ac:dyDescent="0.2">
      <c r="B49" s="1" t="s">
        <v>114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>
        <v>1174.5</v>
      </c>
      <c r="N49" s="12"/>
      <c r="O49" s="12"/>
      <c r="P49" s="12"/>
      <c r="Q49" s="12"/>
    </row>
    <row r="50" spans="2:17" x14ac:dyDescent="0.2">
      <c r="B50" s="1" t="s">
        <v>115</v>
      </c>
      <c r="M50" s="12">
        <f>SUM(M41:M49)</f>
        <v>24854.199999999997</v>
      </c>
    </row>
    <row r="52" spans="2:17" s="1" customFormat="1" x14ac:dyDescent="0.2">
      <c r="B52" s="1" t="s">
        <v>71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>
        <f>237.3+328.9</f>
        <v>566.20000000000005</v>
      </c>
      <c r="N52" s="12"/>
      <c r="O52" s="12"/>
      <c r="P52" s="12"/>
      <c r="Q52" s="12"/>
    </row>
    <row r="53" spans="2:17" s="1" customFormat="1" x14ac:dyDescent="0.2">
      <c r="B53" s="1" t="s">
        <v>116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>
        <v>383.2</v>
      </c>
      <c r="N53" s="12"/>
      <c r="O53" s="12"/>
      <c r="P53" s="12"/>
      <c r="Q53" s="12"/>
    </row>
    <row r="54" spans="2:17" s="1" customFormat="1" x14ac:dyDescent="0.2">
      <c r="B54" s="1" t="s">
        <v>117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>
        <v>3305.9</v>
      </c>
      <c r="N54" s="12"/>
      <c r="O54" s="12"/>
      <c r="P54" s="12"/>
      <c r="Q54" s="12"/>
    </row>
    <row r="55" spans="2:17" s="1" customFormat="1" x14ac:dyDescent="0.2">
      <c r="B55" s="1" t="s">
        <v>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>
        <v>6279.2</v>
      </c>
      <c r="N55" s="12"/>
      <c r="O55" s="12"/>
      <c r="P55" s="12"/>
      <c r="Q55" s="12"/>
    </row>
    <row r="56" spans="2:17" s="1" customFormat="1" x14ac:dyDescent="0.2">
      <c r="B56" s="1" t="s">
        <v>114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>
        <v>354.8</v>
      </c>
      <c r="N56" s="12"/>
      <c r="O56" s="12"/>
      <c r="P56" s="12"/>
      <c r="Q56" s="12"/>
    </row>
    <row r="57" spans="2:17" s="1" customFormat="1" x14ac:dyDescent="0.2">
      <c r="B57" s="1" t="s">
        <v>112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>
        <v>1198.0999999999999</v>
      </c>
      <c r="N57" s="12"/>
      <c r="O57" s="12"/>
      <c r="P57" s="12"/>
      <c r="Q57" s="12"/>
    </row>
    <row r="58" spans="2:17" s="1" customFormat="1" x14ac:dyDescent="0.2">
      <c r="B58" s="1" t="s">
        <v>107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>
        <v>12766.8</v>
      </c>
      <c r="N58" s="12"/>
      <c r="O58" s="12"/>
      <c r="P58" s="12"/>
      <c r="Q58" s="12"/>
    </row>
    <row r="59" spans="2:17" s="1" customFormat="1" x14ac:dyDescent="0.2">
      <c r="B59" s="1" t="s">
        <v>106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>
        <f>SUM(M52:M58)</f>
        <v>24854.199999999997</v>
      </c>
      <c r="N59" s="12"/>
      <c r="O59" s="12"/>
      <c r="P59" s="12"/>
      <c r="Q59" s="12"/>
    </row>
  </sheetData>
  <hyperlinks>
    <hyperlink ref="A1" location="Main!A1" display="Main" xr:uid="{B820F574-645F-4D74-9059-6520877C6957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2022-10-12T00:37:40Z</dcterms:created>
  <dcterms:modified xsi:type="dcterms:W3CDTF">2022-12-27T05:16:05Z</dcterms:modified>
</cp:coreProperties>
</file>