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7806359-859C-49F1-878E-B0594474FB35}" xr6:coauthVersionLast="47" xr6:coauthVersionMax="47" xr10:uidLastSave="{00000000-0000-0000-0000-000000000000}"/>
  <bookViews>
    <workbookView xWindow="-50955" yWindow="1005" windowWidth="35460" windowHeight="1926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I45" i="1"/>
  <c r="F45" i="1" s="1"/>
  <c r="G51" i="1"/>
  <c r="I51" i="1"/>
  <c r="F51" i="1" s="1"/>
  <c r="G52" i="1"/>
  <c r="I52" i="1"/>
  <c r="F52" i="1" s="1"/>
  <c r="G40" i="1"/>
  <c r="H40" i="1" s="1"/>
  <c r="I40" i="1"/>
  <c r="I39" i="1"/>
  <c r="F39" i="1" s="1" a="1"/>
  <c r="F39" i="1" s="1"/>
  <c r="H39" i="1" s="1"/>
  <c r="F141" i="1"/>
  <c r="H51" i="1" l="1"/>
  <c r="H52" i="1"/>
  <c r="G61" i="1"/>
  <c r="I61" i="1"/>
  <c r="F61" i="1" s="1"/>
  <c r="P41" i="1"/>
  <c r="O41" i="1"/>
  <c r="N41" i="1"/>
  <c r="L41" i="1"/>
  <c r="M41" i="1" s="1"/>
  <c r="H61" i="1" l="1"/>
  <c r="I49" i="1"/>
  <c r="F49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5" i="1" l="1"/>
  <c r="I15" i="1"/>
  <c r="F15" i="1" s="1"/>
  <c r="H15" i="1" l="1"/>
  <c r="G42" i="1"/>
  <c r="I42" i="1"/>
  <c r="F42" i="1" s="1"/>
  <c r="H42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6" i="1"/>
  <c r="I46" i="1"/>
  <c r="F46" i="1" s="1"/>
  <c r="H46" i="1" l="1"/>
  <c r="H50" i="1" l="1"/>
  <c r="I43" i="1"/>
  <c r="F43" i="1" s="1"/>
  <c r="G43" i="1"/>
  <c r="G29" i="1"/>
  <c r="I29" i="1"/>
  <c r="F29" i="1" s="1"/>
  <c r="G13" i="1"/>
  <c r="I13" i="1"/>
  <c r="F13" i="1" s="1"/>
  <c r="G12" i="1"/>
  <c r="I12" i="1"/>
  <c r="F12" i="1" s="1"/>
  <c r="H43" i="1" l="1"/>
  <c r="H13" i="1"/>
  <c r="H12" i="1"/>
  <c r="G33" i="1"/>
  <c r="I33" i="1"/>
  <c r="F33" i="1" s="1"/>
  <c r="H33" i="1" l="1"/>
  <c r="G41" i="1"/>
  <c r="I41" i="1"/>
  <c r="F41" i="1" s="1"/>
  <c r="H41" i="1" l="1"/>
  <c r="H29" i="1"/>
  <c r="G32" i="1"/>
  <c r="I32" i="1"/>
  <c r="F32" i="1" s="1" a="1"/>
  <c r="F32" i="1" s="1"/>
  <c r="G38" i="1"/>
  <c r="I38" i="1"/>
  <c r="F38" i="1" s="1" a="1"/>
  <c r="F38" i="1" s="1"/>
  <c r="G23" i="1"/>
  <c r="I23" i="1"/>
  <c r="F23" i="1" s="1"/>
  <c r="H38" i="1" l="1"/>
  <c r="H32" i="1"/>
  <c r="H23" i="1"/>
  <c r="G34" i="1"/>
  <c r="I34" i="1"/>
  <c r="F34" i="1" s="1"/>
  <c r="H34" i="1" l="1"/>
  <c r="G35" i="1"/>
  <c r="I35" i="1" l="1"/>
  <c r="G145" i="1" l="1"/>
  <c r="I145" i="1"/>
  <c r="F145" i="1" s="1"/>
  <c r="I110" i="1"/>
  <c r="F110" i="1" s="1"/>
  <c r="G110" i="1"/>
  <c r="G111" i="1"/>
  <c r="I111" i="1"/>
  <c r="F111" i="1" s="1"/>
  <c r="H145" i="1" l="1"/>
  <c r="H111" i="1"/>
  <c r="H110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7" i="1" l="1"/>
  <c r="I157" i="1"/>
  <c r="F157" i="1" s="1"/>
  <c r="B10" i="1"/>
  <c r="G112" i="1"/>
  <c r="I112" i="1"/>
  <c r="F112" i="1" s="1"/>
  <c r="B11" i="1" l="1"/>
  <c r="B12" i="1" s="1"/>
  <c r="H112" i="1"/>
  <c r="H157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57" i="1" s="1"/>
  <c r="B58" i="1" s="1"/>
  <c r="B59" i="1" s="1"/>
  <c r="B60" i="1" s="1"/>
  <c r="B61" i="1" s="1"/>
  <c r="B62" i="1" s="1"/>
  <c r="B63" i="1" s="1"/>
  <c r="B64" i="1" s="1"/>
  <c r="B65" i="1" s="1"/>
  <c r="G22" i="1"/>
  <c r="F22" i="1"/>
  <c r="I18" i="1" l="1"/>
  <c r="I17" i="1" l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2" i="1"/>
  <c r="I152" i="1"/>
  <c r="F152" i="1" s="1"/>
  <c r="G60" i="1"/>
  <c r="I60" i="1"/>
  <c r="F60" i="1" s="1"/>
  <c r="H60" i="1" l="1"/>
  <c r="H152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4" i="1"/>
  <c r="F144" i="1"/>
  <c r="H144" i="1" l="1"/>
  <c r="H48" i="1" l="1"/>
  <c r="G109" i="1"/>
  <c r="F109" i="1"/>
  <c r="G143" i="1"/>
  <c r="F143" i="1"/>
  <c r="F28" i="1"/>
  <c r="G28" i="1"/>
  <c r="H109" i="1" l="1"/>
  <c r="H143" i="1"/>
  <c r="H28" i="1"/>
  <c r="G45" i="1"/>
  <c r="H45" i="1" s="1"/>
  <c r="G159" i="1"/>
  <c r="F159" i="1"/>
  <c r="H35" i="1" l="1"/>
  <c r="H159" i="1"/>
  <c r="F58" i="1"/>
  <c r="G58" i="1"/>
  <c r="G19" i="1"/>
  <c r="H58" i="1" l="1"/>
  <c r="H19" i="1"/>
  <c r="F4" i="1"/>
  <c r="G49" i="1" l="1"/>
  <c r="H49" i="1" l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8" i="1"/>
  <c r="F158" i="1"/>
  <c r="G156" i="1"/>
  <c r="F156" i="1"/>
  <c r="G24" i="1"/>
  <c r="G18" i="1"/>
  <c r="F18" i="1"/>
  <c r="G17" i="1"/>
  <c r="H10" i="1"/>
  <c r="G4" i="1"/>
  <c r="H4" i="1" s="1"/>
  <c r="H24" i="1" l="1"/>
  <c r="H164" i="1"/>
  <c r="H21" i="1"/>
  <c r="H14" i="1"/>
  <c r="H8" i="1"/>
  <c r="H163" i="1"/>
  <c r="H165" i="1"/>
  <c r="H18" i="1"/>
  <c r="H160" i="1"/>
  <c r="H20" i="1"/>
  <c r="H161" i="1"/>
  <c r="H17" i="1"/>
  <c r="H22" i="1"/>
  <c r="H156" i="1"/>
  <c r="H158" i="1"/>
  <c r="H7" i="1"/>
  <c r="H16" i="1"/>
  <c r="H162" i="1"/>
  <c r="H6" i="1"/>
  <c r="H5" i="1" l="1"/>
  <c r="V5" i="1" l="1"/>
  <c r="S5" i="1"/>
  <c r="R5" i="1"/>
  <c r="Q5" i="1"/>
  <c r="U5" i="1"/>
  <c r="T5" i="1"/>
  <c r="B3" i="5"/>
  <c r="B4" i="5" s="1"/>
  <c r="B5" i="5" s="1"/>
  <c r="B66" i="1"/>
  <c r="B67" i="1" s="1"/>
  <c r="B68" i="1" s="1"/>
  <c r="B69" i="1" s="1"/>
  <c r="B70" i="1" s="1"/>
  <c r="B71" i="1" s="1"/>
  <c r="B72" i="1" s="1"/>
  <c r="B73" i="1" s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8" i="5"/>
  <c r="B101" i="1" l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2" i="5"/>
  <c r="B158" i="1" l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" i="1"/>
  <c r="B173" i="1" l="1"/>
  <c r="B174" i="1" s="1"/>
  <c r="B175" i="1"/>
  <c r="B1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<sst xmlns="http://schemas.openxmlformats.org/spreadsheetml/2006/main" count="589" uniqueCount="450">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</sst>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" Type="http://schemas.openxmlformats.org/officeDocument/2006/relationships/externalLink" Target="externalLinks/externalLink2.xml"/><Relationship Id="rId7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6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2" sqref="C1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RANDBETWEEN(1,B157)</f>
        <v>148</v>
      </c>
    </row>
    <row r="2" spans="1:29" x14ac:dyDescent="0.2">
      <c r="K2" s="9">
        <f>MIN(K4:K38)</f>
        <v>44849</v>
      </c>
      <c r="Q2" s="23" t="s">
        <v>321</v>
      </c>
      <c r="R2" s="23"/>
      <c r="S2" s="23"/>
      <c r="T2" s="23"/>
      <c r="U2" s="23"/>
      <c r="V2" s="23"/>
      <c r="W2" s="23" t="s">
        <v>320</v>
      </c>
      <c r="X2" s="23"/>
      <c r="Y2" s="23"/>
      <c r="Z2" s="23"/>
      <c r="AA2" s="23"/>
      <c r="AB2" s="23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21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7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90.72</v>
      </c>
      <c r="F14" s="6">
        <f>+E14*I14</f>
        <v>198022.58070336</v>
      </c>
      <c r="G14" s="6">
        <f>+[9]Main!$K$5-[9]Main!$K$6</f>
        <v>-9519</v>
      </c>
      <c r="H14" s="6">
        <f t="shared" si="0"/>
        <v>207541.58070336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E15" s="21">
        <v>83.59</v>
      </c>
      <c r="F15" s="6">
        <f>+E15*I15/CHF</f>
        <v>198325.32399013042</v>
      </c>
      <c r="G15" s="6">
        <f>+[9]Main!$K$5-[9]Main!$K$6</f>
        <v>-9519</v>
      </c>
      <c r="H15" s="6">
        <f t="shared" si="0"/>
        <v>207844.32399013042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44917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434</v>
      </c>
      <c r="K28" s="9">
        <v>44917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310</v>
      </c>
      <c r="K29" s="9">
        <v>44918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65" si="2">B31+1</f>
        <v>24</v>
      </c>
      <c r="C32" s="5" t="s">
        <v>265</v>
      </c>
      <c r="D32" t="s">
        <v>266</v>
      </c>
      <c r="E32" s="20">
        <v>822000</v>
      </c>
      <c r="F32" s="6" cm="1">
        <f t="array" ref="F32">+E32*I32/KRW</f>
        <v>40826.956036287513</v>
      </c>
      <c r="G32" s="6">
        <f>([24]Main!$M$5-[24]Main!$M$6)/KRW*1000</f>
        <v>712.77041172365671</v>
      </c>
      <c r="H32" s="6">
        <f>+F32-G32</f>
        <v>40114.185624563856</v>
      </c>
      <c r="I32" s="6">
        <f>+[24]Main!$M$3</f>
        <v>71.174000000000007</v>
      </c>
      <c r="J32" s="3" t="s">
        <v>434</v>
      </c>
      <c r="K32" s="9">
        <v>44921</v>
      </c>
    </row>
    <row r="33" spans="1:29" x14ac:dyDescent="0.2">
      <c r="A33" t="s">
        <v>344</v>
      </c>
      <c r="B33" s="1">
        <f t="shared" si="2"/>
        <v>25</v>
      </c>
      <c r="C33" s="5" t="s">
        <v>271</v>
      </c>
      <c r="D33" t="s">
        <v>272</v>
      </c>
      <c r="E33" s="7">
        <v>279</v>
      </c>
      <c r="F33" s="6">
        <f>+E33*I33</f>
        <v>40455</v>
      </c>
      <c r="G33" s="6">
        <f>+[25]Main!$J$5-[25]Main!$J$6</f>
        <v>1105</v>
      </c>
      <c r="H33" s="6">
        <f>+F33-G33</f>
        <v>39350</v>
      </c>
      <c r="I33" s="6">
        <f>+[25]Main!$J$3</f>
        <v>145</v>
      </c>
      <c r="J33" s="3" t="s">
        <v>434</v>
      </c>
      <c r="K33" s="9">
        <v>44922</v>
      </c>
    </row>
    <row r="34" spans="1:29" x14ac:dyDescent="0.2">
      <c r="A34" t="s">
        <v>344</v>
      </c>
      <c r="B34" s="1">
        <f t="shared" si="2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310</v>
      </c>
      <c r="K34" s="9">
        <v>44889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44917</v>
      </c>
      <c r="AC38" s="1">
        <v>2014</v>
      </c>
    </row>
    <row r="39" spans="1:29" x14ac:dyDescent="0.2">
      <c r="A39" t="s">
        <v>344</v>
      </c>
      <c r="B39" s="1">
        <f t="shared" si="2"/>
        <v>31</v>
      </c>
      <c r="C39" s="5" t="s">
        <v>273</v>
      </c>
      <c r="D39" t="s">
        <v>274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434</v>
      </c>
      <c r="K39" s="9">
        <v>44925</v>
      </c>
    </row>
    <row r="40" spans="1:29" x14ac:dyDescent="0.2">
      <c r="B40" s="1">
        <f t="shared" si="2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434</v>
      </c>
      <c r="K40" s="9">
        <v>44925</v>
      </c>
    </row>
    <row r="41" spans="1:29" x14ac:dyDescent="0.2">
      <c r="A41" s="1" t="s">
        <v>344</v>
      </c>
      <c r="B41" s="1">
        <f t="shared" si="2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434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344</v>
      </c>
      <c r="B42" s="1">
        <f t="shared" si="2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434</v>
      </c>
      <c r="K42" s="9">
        <v>44870</v>
      </c>
    </row>
    <row r="43" spans="1:29" x14ac:dyDescent="0.2">
      <c r="B43" s="1">
        <f t="shared" si="2"/>
        <v>35</v>
      </c>
      <c r="C43" s="5" t="s">
        <v>58</v>
      </c>
      <c r="D43" s="1" t="s">
        <v>59</v>
      </c>
      <c r="E43" s="7">
        <v>198</v>
      </c>
      <c r="F43" s="6">
        <f t="shared" ref="F43:F49" si="3">+E43*I43</f>
        <v>23765.258682</v>
      </c>
      <c r="G43" s="6">
        <f>+[35]Main!$L$5-[35]Main!$L$6</f>
        <v>267.96899999999982</v>
      </c>
      <c r="H43" s="6">
        <f>F43-G43</f>
        <v>23497.289681999999</v>
      </c>
      <c r="I43" s="6">
        <f>+[35]Main!$L$3</f>
        <v>120.02655900000001</v>
      </c>
      <c r="J43" s="3" t="s">
        <v>310</v>
      </c>
      <c r="K43" s="9">
        <v>44857</v>
      </c>
    </row>
    <row r="44" spans="1:29" x14ac:dyDescent="0.2">
      <c r="B44" s="1">
        <f t="shared" si="2"/>
        <v>36</v>
      </c>
      <c r="C44" s="5" t="s">
        <v>64</v>
      </c>
      <c r="D44" s="1" t="s">
        <v>65</v>
      </c>
      <c r="E44" s="7">
        <v>394</v>
      </c>
      <c r="F44" s="6">
        <f t="shared" si="3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434</v>
      </c>
      <c r="K44" s="9">
        <v>44900</v>
      </c>
    </row>
    <row r="45" spans="1:29" x14ac:dyDescent="0.2">
      <c r="B45" s="1">
        <f t="shared" si="2"/>
        <v>37</v>
      </c>
      <c r="C45" s="5" t="s">
        <v>80</v>
      </c>
      <c r="D45" s="1" t="s">
        <v>81</v>
      </c>
      <c r="E45" s="7">
        <v>219.94</v>
      </c>
      <c r="F45" s="6">
        <f t="shared" si="3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434</v>
      </c>
      <c r="K45" s="9">
        <v>44926</v>
      </c>
    </row>
    <row r="46" spans="1:29" x14ac:dyDescent="0.2">
      <c r="B46" s="1">
        <f t="shared" si="2"/>
        <v>38</v>
      </c>
      <c r="C46" s="5" t="s">
        <v>70</v>
      </c>
      <c r="D46" s="1" t="s">
        <v>71</v>
      </c>
      <c r="E46" s="7">
        <v>89</v>
      </c>
      <c r="F46" s="6">
        <f t="shared" si="3"/>
        <v>16507.174163</v>
      </c>
      <c r="G46" s="6">
        <f>+[38]Main!$L$5-[38]Main!$L$6</f>
        <v>441.20299999999997</v>
      </c>
      <c r="H46" s="6">
        <f>F46-G46</f>
        <v>16065.971163</v>
      </c>
      <c r="I46" s="6">
        <f>+[38]Main!$L$3</f>
        <v>185.47386700000001</v>
      </c>
      <c r="J46" s="3" t="s">
        <v>310</v>
      </c>
      <c r="K46" s="9">
        <v>44858</v>
      </c>
    </row>
    <row r="47" spans="1:29" x14ac:dyDescent="0.2">
      <c r="B47" s="1">
        <f t="shared" si="2"/>
        <v>39</v>
      </c>
      <c r="C47" s="5" t="s">
        <v>94</v>
      </c>
      <c r="D47" s="1" t="s">
        <v>95</v>
      </c>
      <c r="E47" s="7">
        <v>156</v>
      </c>
      <c r="F47" s="6">
        <f t="shared" si="3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434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2"/>
        <v>40</v>
      </c>
      <c r="C48" s="5" t="s">
        <v>50</v>
      </c>
      <c r="D48" s="1" t="s">
        <v>51</v>
      </c>
      <c r="E48" s="7">
        <v>77.83</v>
      </c>
      <c r="F48" s="6">
        <f t="shared" si="3"/>
        <v>17315.265674440001</v>
      </c>
      <c r="G48" s="6">
        <f>+[40]Main!$K$5-[40]Main!$K$6</f>
        <v>3126.2459999999996</v>
      </c>
      <c r="H48" s="6">
        <f>F48-G48</f>
        <v>14189.019674440002</v>
      </c>
      <c r="I48" s="6">
        <f>+[40]Main!$K$3</f>
        <v>222.47546800000001</v>
      </c>
      <c r="J48" s="3" t="s">
        <v>434</v>
      </c>
      <c r="K48" s="9">
        <v>44893</v>
      </c>
    </row>
    <row r="49" spans="1:11" x14ac:dyDescent="0.2">
      <c r="B49" s="1">
        <f t="shared" si="2"/>
        <v>41</v>
      </c>
      <c r="C49" s="5" t="s">
        <v>90</v>
      </c>
      <c r="D49" s="1" t="s">
        <v>91</v>
      </c>
      <c r="E49" s="7">
        <v>273.75</v>
      </c>
      <c r="F49" s="6">
        <f t="shared" si="3"/>
        <v>13057.875</v>
      </c>
      <c r="G49" s="6">
        <f>[41]Main!$K$5-[41]Main!$K$6</f>
        <v>3027</v>
      </c>
      <c r="H49" s="6">
        <f>F49-G49</f>
        <v>10030.875</v>
      </c>
      <c r="I49" s="6">
        <f>+[41]Main!$K$3</f>
        <v>47.7</v>
      </c>
      <c r="J49" s="3" t="s">
        <v>434</v>
      </c>
      <c r="K49" s="9">
        <v>44917</v>
      </c>
    </row>
    <row r="50" spans="1:11" x14ac:dyDescent="0.2">
      <c r="B50" s="1">
        <f t="shared" si="2"/>
        <v>42</v>
      </c>
      <c r="C50" s="5" t="s">
        <v>92</v>
      </c>
      <c r="D50" s="1" t="s">
        <v>93</v>
      </c>
      <c r="E50" s="3">
        <v>109.54</v>
      </c>
      <c r="F50" s="6">
        <v>10476.331222340001</v>
      </c>
      <c r="G50" s="6">
        <v>968.3</v>
      </c>
      <c r="H50" s="6">
        <f>F50-G50</f>
        <v>9508.0312223400015</v>
      </c>
      <c r="I50" s="6">
        <v>95.639320999999995</v>
      </c>
      <c r="J50" s="3" t="s">
        <v>310</v>
      </c>
      <c r="K50" s="9">
        <v>44848</v>
      </c>
    </row>
    <row r="51" spans="1:11" x14ac:dyDescent="0.2">
      <c r="A51" t="s">
        <v>344</v>
      </c>
      <c r="B51" s="1">
        <f t="shared" si="2"/>
        <v>43</v>
      </c>
      <c r="C51" s="5" t="s">
        <v>423</v>
      </c>
      <c r="D51" t="s">
        <v>424</v>
      </c>
      <c r="E51" s="19">
        <v>14.84</v>
      </c>
      <c r="F51" s="6">
        <f>+E51*I51/HKD</f>
        <v>11195.882170547771</v>
      </c>
      <c r="G51" s="6">
        <f>([42]Main!$J$5-[42]Main!$J$6)/HKD</f>
        <v>2154.8816560509554</v>
      </c>
      <c r="H51" s="6">
        <f>F51-G51</f>
        <v>9041.0005144968163</v>
      </c>
      <c r="I51" s="6">
        <f>+[42]Main!$J$3</f>
        <v>5922.3500700000004</v>
      </c>
      <c r="J51" s="3" t="s">
        <v>310</v>
      </c>
      <c r="K51" s="9">
        <v>44926</v>
      </c>
    </row>
    <row r="52" spans="1:11" x14ac:dyDescent="0.2">
      <c r="A52" t="s">
        <v>344</v>
      </c>
      <c r="B52" s="1">
        <f t="shared" si="2"/>
        <v>44</v>
      </c>
      <c r="C52" s="5" t="s">
        <v>421</v>
      </c>
      <c r="D52" t="s">
        <v>422</v>
      </c>
      <c r="E52" s="19">
        <v>4.57</v>
      </c>
      <c r="F52" s="6">
        <f>+E52*I52/HKD</f>
        <v>10862.525383277709</v>
      </c>
      <c r="G52" s="6">
        <f>([43]Main!$K$5-[43]Main!$K$6)/HKD</f>
        <v>3753.9449681528663</v>
      </c>
      <c r="H52" s="6">
        <f>F52-G52</f>
        <v>7108.5804151248431</v>
      </c>
      <c r="I52" s="6">
        <f>+[43]Main!$K$3</f>
        <v>18658.823689000001</v>
      </c>
      <c r="J52" s="3" t="s">
        <v>310</v>
      </c>
      <c r="K52" s="9">
        <v>44926</v>
      </c>
    </row>
    <row r="53" spans="1:11" x14ac:dyDescent="0.2">
      <c r="B53" s="1">
        <f t="shared" si="2"/>
        <v>45</v>
      </c>
      <c r="C53" s="1" t="s">
        <v>68</v>
      </c>
      <c r="D53" s="1" t="s">
        <v>69</v>
      </c>
      <c r="E53" s="17">
        <v>4360</v>
      </c>
      <c r="K53" s="9"/>
    </row>
    <row r="54" spans="1:11" x14ac:dyDescent="0.2">
      <c r="B54" s="1">
        <f t="shared" si="2"/>
        <v>46</v>
      </c>
      <c r="C54" t="s">
        <v>364</v>
      </c>
      <c r="D54" t="s">
        <v>365</v>
      </c>
      <c r="E54" s="20">
        <v>160500</v>
      </c>
      <c r="K54" s="9"/>
    </row>
    <row r="55" spans="1:11" x14ac:dyDescent="0.2">
      <c r="A55" t="s">
        <v>344</v>
      </c>
      <c r="B55" s="1">
        <f t="shared" si="2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2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344</v>
      </c>
      <c r="B57" s="1">
        <f t="shared" si="2"/>
        <v>49</v>
      </c>
      <c r="C57" t="s">
        <v>282</v>
      </c>
      <c r="D57" t="s">
        <v>283</v>
      </c>
      <c r="E57" s="17">
        <v>8704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+E58*[44]Main!$L$3</f>
        <v>6071.7436259999995</v>
      </c>
      <c r="G58" s="6">
        <f>+[44]Main!$L$5-[44]Main!$L$6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22">
        <v>1721.48</v>
      </c>
      <c r="F59" s="6">
        <f>+E59*I59/100*GBP</f>
        <v>4492.3742080000002</v>
      </c>
      <c r="G59" s="6">
        <f>+[45]Main!$K$5-[45]Main!$K$6</f>
        <v>-337</v>
      </c>
      <c r="H59" s="6">
        <f>+F59-G59</f>
        <v>4829.3742080000002</v>
      </c>
      <c r="I59" s="6">
        <f>+[45]Main!$K$3</f>
        <v>233</v>
      </c>
      <c r="J59" s="3" t="s">
        <v>23</v>
      </c>
    </row>
    <row r="60" spans="1:11" x14ac:dyDescent="0.2">
      <c r="B60" s="1">
        <f t="shared" si="2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+[46]Main!$L$5-[46]Main!$L$6</f>
        <v>465.44</v>
      </c>
      <c r="H60" s="6">
        <f>+F60-G60</f>
        <v>4138.607328250001</v>
      </c>
      <c r="I60" s="6">
        <f>+[46]Main!$L$3</f>
        <v>164.25427500000001</v>
      </c>
      <c r="J60" s="3" t="s">
        <v>310</v>
      </c>
      <c r="K60" s="9">
        <v>44782</v>
      </c>
    </row>
    <row r="61" spans="1:11" x14ac:dyDescent="0.2">
      <c r="B61" s="1">
        <f t="shared" si="2"/>
        <v>53</v>
      </c>
      <c r="C61" s="5" t="s">
        <v>447</v>
      </c>
      <c r="D61" t="s">
        <v>448</v>
      </c>
      <c r="E61" s="7">
        <v>73.790000000000006</v>
      </c>
      <c r="F61" s="6">
        <f>+E61*I61</f>
        <v>3204.4164939800003</v>
      </c>
      <c r="G61" s="6">
        <f>+[47]Main!$L$5-[47]Main!$L$6</f>
        <v>133.33705900000001</v>
      </c>
      <c r="H61" s="6">
        <f>+F61-G61</f>
        <v>3071.0794349800003</v>
      </c>
      <c r="I61" s="6">
        <f>+[47]Main!$L$3</f>
        <v>43.426161999999998</v>
      </c>
      <c r="J61" s="3" t="s">
        <v>434</v>
      </c>
      <c r="K61" s="9">
        <v>44920</v>
      </c>
    </row>
    <row r="62" spans="1:11" x14ac:dyDescent="0.2">
      <c r="B62" s="1">
        <f t="shared" si="2"/>
        <v>54</v>
      </c>
      <c r="C62" s="1" t="s">
        <v>376</v>
      </c>
      <c r="D62" t="s">
        <v>377</v>
      </c>
      <c r="E62" s="15">
        <v>38.75</v>
      </c>
    </row>
    <row r="63" spans="1:11" x14ac:dyDescent="0.2">
      <c r="B63" s="1">
        <f t="shared" si="2"/>
        <v>55</v>
      </c>
      <c r="C63" s="1" t="s">
        <v>393</v>
      </c>
      <c r="D63" t="s">
        <v>394</v>
      </c>
    </row>
    <row r="64" spans="1:11" x14ac:dyDescent="0.2">
      <c r="B64" s="1">
        <f t="shared" si="2"/>
        <v>56</v>
      </c>
      <c r="C64" s="1" t="s">
        <v>393</v>
      </c>
      <c r="D64" t="s">
        <v>395</v>
      </c>
    </row>
    <row r="65" spans="2:5" x14ac:dyDescent="0.2">
      <c r="B65" s="1">
        <f t="shared" si="2"/>
        <v>57</v>
      </c>
      <c r="C65" t="s">
        <v>279</v>
      </c>
      <c r="D65" t="s">
        <v>279</v>
      </c>
      <c r="E65" s="15">
        <v>73.56</v>
      </c>
    </row>
    <row r="66" spans="2:5" x14ac:dyDescent="0.2">
      <c r="B66" s="1">
        <f t="shared" ref="B66:B90" si="4">B65+1</f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4"/>
        <v>59</v>
      </c>
      <c r="C67" t="s">
        <v>380</v>
      </c>
      <c r="D67" t="s">
        <v>381</v>
      </c>
    </row>
    <row r="68" spans="2:5" x14ac:dyDescent="0.2">
      <c r="B68" s="1">
        <f t="shared" si="4"/>
        <v>60</v>
      </c>
      <c r="C68" t="s">
        <v>382</v>
      </c>
      <c r="D68" t="s">
        <v>383</v>
      </c>
    </row>
    <row r="69" spans="2:5" x14ac:dyDescent="0.2">
      <c r="B69" s="1">
        <f t="shared" si="4"/>
        <v>61</v>
      </c>
      <c r="C69" t="s">
        <v>384</v>
      </c>
      <c r="D69" t="s">
        <v>385</v>
      </c>
    </row>
    <row r="70" spans="2:5" x14ac:dyDescent="0.2">
      <c r="B70" s="1">
        <f t="shared" si="4"/>
        <v>62</v>
      </c>
      <c r="C70" t="s">
        <v>378</v>
      </c>
      <c r="D70" t="s">
        <v>379</v>
      </c>
    </row>
    <row r="71" spans="2:5" x14ac:dyDescent="0.2">
      <c r="B71" s="1">
        <f t="shared" si="4"/>
        <v>63</v>
      </c>
      <c r="C71" t="s">
        <v>284</v>
      </c>
      <c r="D71" t="s">
        <v>285</v>
      </c>
    </row>
    <row r="72" spans="2:5" x14ac:dyDescent="0.2">
      <c r="B72" s="1">
        <f t="shared" si="4"/>
        <v>64</v>
      </c>
      <c r="C72" t="s">
        <v>366</v>
      </c>
      <c r="D72" t="s">
        <v>367</v>
      </c>
    </row>
    <row r="73" spans="2:5" x14ac:dyDescent="0.2">
      <c r="B73" s="1">
        <f t="shared" si="4"/>
        <v>65</v>
      </c>
      <c r="C73" t="s">
        <v>370</v>
      </c>
      <c r="D73" t="s">
        <v>371</v>
      </c>
    </row>
    <row r="74" spans="2:5" x14ac:dyDescent="0.2">
      <c r="B74" s="1">
        <f t="shared" si="4"/>
        <v>66</v>
      </c>
      <c r="C74" t="s">
        <v>368</v>
      </c>
      <c r="D74" t="s">
        <v>369</v>
      </c>
    </row>
    <row r="75" spans="2:5" x14ac:dyDescent="0.2">
      <c r="B75" s="1">
        <f t="shared" si="4"/>
        <v>67</v>
      </c>
      <c r="C75" t="s">
        <v>280</v>
      </c>
      <c r="D75" t="s">
        <v>281</v>
      </c>
    </row>
    <row r="76" spans="2:5" x14ac:dyDescent="0.2">
      <c r="B76" s="1">
        <f t="shared" si="4"/>
        <v>68</v>
      </c>
      <c r="C76" t="s">
        <v>277</v>
      </c>
      <c r="D76" t="s">
        <v>278</v>
      </c>
    </row>
    <row r="77" spans="2:5" x14ac:dyDescent="0.2">
      <c r="B77" s="1">
        <f t="shared" si="4"/>
        <v>69</v>
      </c>
      <c r="C77" t="s">
        <v>374</v>
      </c>
      <c r="D77" t="s">
        <v>375</v>
      </c>
    </row>
    <row r="78" spans="2:5" x14ac:dyDescent="0.2">
      <c r="B78" s="1">
        <f t="shared" si="4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4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4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4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4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4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4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4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4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4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4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4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4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00" si="5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5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5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5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5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5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5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5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5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5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ref="B101:B164" si="6">B100+1</f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6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6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6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6"/>
        <v>97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6"/>
        <v>98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6"/>
        <v>99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6"/>
        <v>100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 t="shared" si="6"/>
        <v>101</v>
      </c>
      <c r="C109" s="5" t="s">
        <v>160</v>
      </c>
      <c r="D109" s="1" t="s">
        <v>161</v>
      </c>
      <c r="E109" s="3">
        <v>9.18</v>
      </c>
      <c r="F109" s="6">
        <f>+E109*[48]Main!$N$3</f>
        <v>2859.4049160599998</v>
      </c>
      <c r="G109" s="6">
        <f>+[48]Main!$N$5-[48]Main!$N$6</f>
        <v>869.93499999999995</v>
      </c>
      <c r="H109" s="6">
        <f>+F109-G109</f>
        <v>1989.4699160599998</v>
      </c>
      <c r="J109" s="3" t="s">
        <v>16</v>
      </c>
    </row>
    <row r="110" spans="2:29" x14ac:dyDescent="0.2">
      <c r="B110" s="1">
        <f t="shared" si="6"/>
        <v>102</v>
      </c>
      <c r="C110" s="5" t="s">
        <v>162</v>
      </c>
      <c r="D110" s="1" t="s">
        <v>163</v>
      </c>
      <c r="E110" s="7">
        <v>46.19</v>
      </c>
      <c r="F110" s="6">
        <f>+E110*I110</f>
        <v>3249.6786968599999</v>
      </c>
      <c r="G110" s="6">
        <f>+[49]Main!$K$5-[49]Main!$K$6</f>
        <v>1178.8610000000001</v>
      </c>
      <c r="H110" s="6">
        <f>+F110-G110</f>
        <v>2070.8176968600001</v>
      </c>
      <c r="I110" s="6">
        <f>+[49]Main!$K$3</f>
        <v>70.354594000000006</v>
      </c>
      <c r="J110" s="3" t="s">
        <v>310</v>
      </c>
      <c r="K110" s="9">
        <v>44827</v>
      </c>
    </row>
    <row r="111" spans="2:29" x14ac:dyDescent="0.2">
      <c r="B111" s="1">
        <f t="shared" si="6"/>
        <v>103</v>
      </c>
      <c r="C111" s="5" t="s">
        <v>387</v>
      </c>
      <c r="D111" t="s">
        <v>388</v>
      </c>
      <c r="E111" s="3">
        <v>24.73</v>
      </c>
      <c r="F111" s="6">
        <f>+E111*I111</f>
        <v>1436.0261408599999</v>
      </c>
      <c r="G111" s="6">
        <f>+[50]Main!$J$5-[50]Main!$J$6</f>
        <v>566.44900000000007</v>
      </c>
      <c r="H111" s="6">
        <f>+F111-G111</f>
        <v>869.57714085999987</v>
      </c>
      <c r="I111" s="6">
        <f>+[50]Main!$J$3</f>
        <v>58.068182</v>
      </c>
      <c r="J111" s="3" t="s">
        <v>310</v>
      </c>
      <c r="K111" s="9">
        <v>44824</v>
      </c>
    </row>
    <row r="112" spans="2:29" x14ac:dyDescent="0.2">
      <c r="B112" s="1">
        <f t="shared" si="6"/>
        <v>104</v>
      </c>
      <c r="C112" s="5" t="s">
        <v>360</v>
      </c>
      <c r="D112" t="s">
        <v>361</v>
      </c>
      <c r="E112" s="3">
        <v>3.42</v>
      </c>
      <c r="F112" s="6">
        <f>+E112*I112</f>
        <v>2379.9056977800001</v>
      </c>
      <c r="G112" s="6">
        <f>+[51]Main!$K$5-[51]Main!$K$6</f>
        <v>1840.732</v>
      </c>
      <c r="H112" s="6">
        <f>+F112-G112</f>
        <v>539.17369778000011</v>
      </c>
      <c r="I112" s="6">
        <f>+[51]Main!$K$3</f>
        <v>695.87885900000003</v>
      </c>
      <c r="J112" s="3" t="s">
        <v>310</v>
      </c>
      <c r="K112" s="9">
        <v>44816</v>
      </c>
    </row>
    <row r="113" spans="2:6" x14ac:dyDescent="0.2">
      <c r="B113" s="1">
        <f t="shared" si="6"/>
        <v>105</v>
      </c>
      <c r="C113" s="1" t="s">
        <v>166</v>
      </c>
      <c r="D113" s="1" t="s">
        <v>167</v>
      </c>
      <c r="E113" s="3">
        <v>6.2</v>
      </c>
      <c r="F113" s="6">
        <v>2230</v>
      </c>
    </row>
    <row r="114" spans="2:6" x14ac:dyDescent="0.2">
      <c r="B114" s="1">
        <f t="shared" si="6"/>
        <v>106</v>
      </c>
      <c r="C114" s="1" t="s">
        <v>178</v>
      </c>
      <c r="D114" s="1" t="s">
        <v>179</v>
      </c>
      <c r="E114" s="7">
        <v>20.010000000000002</v>
      </c>
      <c r="F114" s="6">
        <v>2150</v>
      </c>
    </row>
    <row r="115" spans="2:6" x14ac:dyDescent="0.2">
      <c r="B115" s="1">
        <f t="shared" si="6"/>
        <v>107</v>
      </c>
      <c r="C115" s="1" t="s">
        <v>180</v>
      </c>
      <c r="D115" s="1" t="s">
        <v>181</v>
      </c>
      <c r="E115" s="3">
        <v>19.010000000000002</v>
      </c>
      <c r="F115" s="6">
        <v>2580</v>
      </c>
    </row>
    <row r="116" spans="2:6" x14ac:dyDescent="0.2">
      <c r="B116" s="1">
        <f t="shared" si="6"/>
        <v>108</v>
      </c>
      <c r="C116" t="s">
        <v>353</v>
      </c>
      <c r="D116" t="s">
        <v>354</v>
      </c>
      <c r="E116" s="7">
        <v>14.86</v>
      </c>
      <c r="F116" s="6">
        <v>2880</v>
      </c>
    </row>
    <row r="117" spans="2:6" x14ac:dyDescent="0.2">
      <c r="B117" s="1">
        <f t="shared" si="6"/>
        <v>109</v>
      </c>
      <c r="C117" s="1" t="s">
        <v>209</v>
      </c>
      <c r="D117" s="1" t="s">
        <v>210</v>
      </c>
      <c r="E117" s="7">
        <v>57.1</v>
      </c>
      <c r="F117" s="6">
        <v>2590</v>
      </c>
    </row>
    <row r="118" spans="2:6" x14ac:dyDescent="0.2">
      <c r="B118" s="1">
        <f t="shared" si="6"/>
        <v>110</v>
      </c>
      <c r="C118" s="1" t="s">
        <v>184</v>
      </c>
      <c r="D118" s="1" t="s">
        <v>185</v>
      </c>
      <c r="E118" s="3">
        <v>48.73</v>
      </c>
      <c r="F118" s="6">
        <v>2540</v>
      </c>
    </row>
    <row r="119" spans="2:6" x14ac:dyDescent="0.2">
      <c r="B119" s="1">
        <f t="shared" si="6"/>
        <v>111</v>
      </c>
      <c r="C119" s="1" t="s">
        <v>197</v>
      </c>
      <c r="D119" s="1" t="s">
        <v>198</v>
      </c>
      <c r="E119" s="3">
        <v>37.96</v>
      </c>
      <c r="F119" s="6">
        <v>2360</v>
      </c>
    </row>
    <row r="120" spans="2:6" x14ac:dyDescent="0.2">
      <c r="B120" s="1">
        <f t="shared" si="6"/>
        <v>112</v>
      </c>
      <c r="C120" s="1" t="s">
        <v>186</v>
      </c>
      <c r="D120" s="1" t="s">
        <v>187</v>
      </c>
      <c r="E120" s="3">
        <v>37.96</v>
      </c>
      <c r="F120" s="6">
        <v>2250</v>
      </c>
    </row>
    <row r="121" spans="2:6" x14ac:dyDescent="0.2">
      <c r="B121" s="1">
        <f t="shared" si="6"/>
        <v>113</v>
      </c>
      <c r="C121" s="1" t="s">
        <v>301</v>
      </c>
      <c r="D121" s="1" t="s">
        <v>190</v>
      </c>
      <c r="E121" s="3">
        <v>10.85</v>
      </c>
      <c r="F121" s="6">
        <v>2020</v>
      </c>
    </row>
    <row r="122" spans="2:6" x14ac:dyDescent="0.2">
      <c r="B122" s="1">
        <f>B121+1</f>
        <v>114</v>
      </c>
      <c r="C122" s="1" t="s">
        <v>219</v>
      </c>
      <c r="D122" s="1" t="s">
        <v>220</v>
      </c>
      <c r="E122" s="3">
        <v>3.17</v>
      </c>
      <c r="F122" s="6">
        <v>2010</v>
      </c>
    </row>
    <row r="123" spans="2:6" x14ac:dyDescent="0.2">
      <c r="B123" s="1">
        <f t="shared" si="6"/>
        <v>115</v>
      </c>
      <c r="C123" s="1" t="s">
        <v>217</v>
      </c>
      <c r="D123" s="1" t="s">
        <v>218</v>
      </c>
      <c r="E123" s="3">
        <v>36.86</v>
      </c>
      <c r="F123" s="6">
        <v>1990</v>
      </c>
    </row>
    <row r="124" spans="2:6" x14ac:dyDescent="0.2">
      <c r="B124" s="1">
        <f t="shared" si="6"/>
        <v>116</v>
      </c>
      <c r="C124" s="1" t="s">
        <v>205</v>
      </c>
      <c r="D124" s="1" t="s">
        <v>206</v>
      </c>
      <c r="E124" s="7">
        <v>76.78</v>
      </c>
      <c r="F124" s="6">
        <v>1970</v>
      </c>
    </row>
    <row r="125" spans="2:6" x14ac:dyDescent="0.2">
      <c r="B125" s="1">
        <f t="shared" si="6"/>
        <v>117</v>
      </c>
      <c r="C125" s="1" t="s">
        <v>223</v>
      </c>
      <c r="D125" s="1" t="s">
        <v>224</v>
      </c>
      <c r="E125" s="3">
        <v>18.309999999999999</v>
      </c>
      <c r="F125" s="6">
        <v>1930</v>
      </c>
    </row>
    <row r="126" spans="2:6" x14ac:dyDescent="0.2">
      <c r="B126" s="1">
        <f t="shared" si="6"/>
        <v>118</v>
      </c>
      <c r="C126" s="1" t="s">
        <v>193</v>
      </c>
      <c r="D126" s="1" t="s">
        <v>194</v>
      </c>
      <c r="E126" s="7">
        <v>10.1</v>
      </c>
      <c r="F126" s="6">
        <v>1880</v>
      </c>
    </row>
    <row r="127" spans="2:6" x14ac:dyDescent="0.2">
      <c r="B127" s="1">
        <f t="shared" si="6"/>
        <v>119</v>
      </c>
      <c r="C127" s="1" t="s">
        <v>174</v>
      </c>
      <c r="D127" s="1" t="s">
        <v>175</v>
      </c>
      <c r="E127" s="3">
        <v>38.67</v>
      </c>
      <c r="F127" s="6">
        <v>1770</v>
      </c>
    </row>
    <row r="128" spans="2:6" x14ac:dyDescent="0.2">
      <c r="B128" s="1">
        <f t="shared" si="6"/>
        <v>120</v>
      </c>
      <c r="C128" s="1" t="s">
        <v>188</v>
      </c>
      <c r="D128" s="1" t="s">
        <v>189</v>
      </c>
      <c r="E128" s="3">
        <v>41.59</v>
      </c>
      <c r="F128" s="6">
        <v>1730</v>
      </c>
    </row>
    <row r="129" spans="2:16" x14ac:dyDescent="0.2">
      <c r="B129" s="1">
        <f t="shared" si="6"/>
        <v>121</v>
      </c>
      <c r="C129" s="1" t="s">
        <v>182</v>
      </c>
      <c r="D129" s="1" t="s">
        <v>183</v>
      </c>
      <c r="E129" s="3">
        <v>22.22</v>
      </c>
      <c r="F129" s="6">
        <v>1720</v>
      </c>
    </row>
    <row r="130" spans="2:16" x14ac:dyDescent="0.2">
      <c r="B130" s="1">
        <f t="shared" si="6"/>
        <v>122</v>
      </c>
      <c r="C130" s="1" t="s">
        <v>211</v>
      </c>
      <c r="D130" s="1" t="s">
        <v>212</v>
      </c>
      <c r="E130" s="3">
        <v>28.37</v>
      </c>
      <c r="F130" s="6">
        <v>1370</v>
      </c>
    </row>
    <row r="131" spans="2:16" x14ac:dyDescent="0.2">
      <c r="B131" s="1">
        <f>B130+1</f>
        <v>123</v>
      </c>
      <c r="C131" s="1" t="s">
        <v>213</v>
      </c>
      <c r="D131" s="1" t="s">
        <v>214</v>
      </c>
      <c r="E131" s="7">
        <v>7.13</v>
      </c>
      <c r="F131" s="6">
        <v>1350</v>
      </c>
    </row>
    <row r="132" spans="2:16" x14ac:dyDescent="0.2">
      <c r="B132" s="1">
        <f t="shared" si="6"/>
        <v>124</v>
      </c>
      <c r="C132" s="1" t="s">
        <v>164</v>
      </c>
      <c r="D132" s="1" t="s">
        <v>165</v>
      </c>
      <c r="E132" s="7">
        <v>5.75</v>
      </c>
      <c r="F132" s="6">
        <v>1100</v>
      </c>
    </row>
    <row r="133" spans="2:16" x14ac:dyDescent="0.2">
      <c r="B133" s="1">
        <f t="shared" si="6"/>
        <v>125</v>
      </c>
      <c r="C133" s="1" t="s">
        <v>172</v>
      </c>
      <c r="D133" s="1" t="s">
        <v>173</v>
      </c>
      <c r="E133" s="3">
        <v>2.15</v>
      </c>
      <c r="F133" s="6">
        <v>1050</v>
      </c>
    </row>
    <row r="134" spans="2:16" x14ac:dyDescent="0.2">
      <c r="B134" s="1">
        <f t="shared" si="6"/>
        <v>126</v>
      </c>
      <c r="C134" s="1" t="s">
        <v>176</v>
      </c>
      <c r="D134" s="1" t="s">
        <v>177</v>
      </c>
      <c r="E134" s="7">
        <v>21.6</v>
      </c>
      <c r="F134" s="6">
        <v>991</v>
      </c>
    </row>
    <row r="135" spans="2:16" x14ac:dyDescent="0.2">
      <c r="B135" s="1">
        <f t="shared" si="6"/>
        <v>127</v>
      </c>
      <c r="C135" s="1" t="s">
        <v>221</v>
      </c>
      <c r="D135" s="1" t="s">
        <v>222</v>
      </c>
      <c r="E135" s="3">
        <v>9.7799999999999994</v>
      </c>
      <c r="F135" s="6">
        <v>903</v>
      </c>
    </row>
    <row r="136" spans="2:16" x14ac:dyDescent="0.2">
      <c r="B136" s="1">
        <f t="shared" si="6"/>
        <v>128</v>
      </c>
      <c r="C136" s="1" t="s">
        <v>88</v>
      </c>
      <c r="D136" s="1" t="s">
        <v>89</v>
      </c>
      <c r="E136" s="3">
        <v>12.61</v>
      </c>
      <c r="F136" s="6">
        <v>860</v>
      </c>
    </row>
    <row r="137" spans="2:16" x14ac:dyDescent="0.2">
      <c r="B137" s="1">
        <f t="shared" si="6"/>
        <v>129</v>
      </c>
      <c r="C137" s="1" t="s">
        <v>203</v>
      </c>
      <c r="D137" s="1" t="s">
        <v>204</v>
      </c>
      <c r="E137" s="3">
        <v>2.42</v>
      </c>
      <c r="F137" s="6">
        <v>823</v>
      </c>
    </row>
    <row r="138" spans="2:16" x14ac:dyDescent="0.2">
      <c r="B138" s="1">
        <f t="shared" si="6"/>
        <v>130</v>
      </c>
      <c r="C138" s="1" t="s">
        <v>201</v>
      </c>
      <c r="D138" s="1" t="s">
        <v>202</v>
      </c>
      <c r="E138" s="7">
        <v>5.7</v>
      </c>
      <c r="F138" s="6">
        <v>821</v>
      </c>
    </row>
    <row r="139" spans="2:16" x14ac:dyDescent="0.2">
      <c r="B139" s="1">
        <f t="shared" si="6"/>
        <v>131</v>
      </c>
      <c r="C139" t="s">
        <v>313</v>
      </c>
      <c r="D139" t="s">
        <v>314</v>
      </c>
      <c r="E139" s="3">
        <v>3.23</v>
      </c>
      <c r="F139" s="6">
        <v>630</v>
      </c>
    </row>
    <row r="140" spans="2:16" x14ac:dyDescent="0.2">
      <c r="B140" s="1">
        <f>B139+1</f>
        <v>132</v>
      </c>
      <c r="C140" s="1" t="s">
        <v>207</v>
      </c>
      <c r="D140" s="1" t="s">
        <v>208</v>
      </c>
      <c r="E140" s="3">
        <v>4.16</v>
      </c>
      <c r="F140" s="6">
        <v>590</v>
      </c>
    </row>
    <row r="141" spans="2:16" x14ac:dyDescent="0.2">
      <c r="B141" s="1">
        <f t="shared" si="6"/>
        <v>133</v>
      </c>
      <c r="C141" t="s">
        <v>299</v>
      </c>
      <c r="D141" t="s">
        <v>300</v>
      </c>
      <c r="E141" s="3">
        <v>8.4499999999999993</v>
      </c>
      <c r="F141" s="6">
        <f>4406/HKD</f>
        <v>561.27388535031855</v>
      </c>
    </row>
    <row r="142" spans="2:16" x14ac:dyDescent="0.2">
      <c r="B142" s="1">
        <f t="shared" si="6"/>
        <v>134</v>
      </c>
      <c r="C142" s="1" t="s">
        <v>215</v>
      </c>
      <c r="D142" s="1" t="s">
        <v>216</v>
      </c>
      <c r="E142" s="3">
        <v>10.98</v>
      </c>
      <c r="F142" s="6">
        <v>548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E143*[52]Main!$L$3</f>
        <v>1253.1559559500001</v>
      </c>
      <c r="G143" s="6">
        <f>+[52]Main!$L$5-[52]Main!$L$6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+E144*[53]Main!$L$3</f>
        <v>798.23003700000004</v>
      </c>
      <c r="G144" s="6">
        <f>+[53]Main!$L$5-[53]Main!$L$6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+[54]Main!$J$5-[54]Main!$J$6</f>
        <v>601.58999999999992</v>
      </c>
      <c r="H145" s="6">
        <f>+F145-G145</f>
        <v>295.5923366400001</v>
      </c>
      <c r="I145" s="6">
        <f>+[54]Main!$J$3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t="s">
        <v>311</v>
      </c>
      <c r="D146" t="s">
        <v>312</v>
      </c>
      <c r="E146" s="3">
        <v>12.42</v>
      </c>
      <c r="F146" s="6">
        <v>516</v>
      </c>
    </row>
    <row r="147" spans="2:29" x14ac:dyDescent="0.2">
      <c r="B147" s="1">
        <f t="shared" si="6"/>
        <v>139</v>
      </c>
      <c r="C147" t="s">
        <v>318</v>
      </c>
      <c r="D147" t="s">
        <v>319</v>
      </c>
      <c r="E147" s="3">
        <v>3.26</v>
      </c>
      <c r="F147" s="6">
        <v>272</v>
      </c>
    </row>
    <row r="148" spans="2:29" x14ac:dyDescent="0.2">
      <c r="B148" s="1">
        <f t="shared" si="6"/>
        <v>140</v>
      </c>
      <c r="C148" s="1" t="s">
        <v>225</v>
      </c>
      <c r="D148" s="1" t="s">
        <v>226</v>
      </c>
      <c r="E148" s="3">
        <v>6.34</v>
      </c>
    </row>
    <row r="149" spans="2:29" x14ac:dyDescent="0.2">
      <c r="B149" s="1">
        <f t="shared" si="6"/>
        <v>141</v>
      </c>
      <c r="C149" s="1" t="s">
        <v>227</v>
      </c>
      <c r="D149" s="1" t="s">
        <v>228</v>
      </c>
      <c r="E149" s="7">
        <v>31.39</v>
      </c>
    </row>
    <row r="150" spans="2:29" x14ac:dyDescent="0.2">
      <c r="B150" s="1">
        <f t="shared" si="6"/>
        <v>142</v>
      </c>
      <c r="C150" s="1" t="s">
        <v>229</v>
      </c>
      <c r="D150" s="1" t="s">
        <v>230</v>
      </c>
      <c r="E150" s="7">
        <v>20.97</v>
      </c>
    </row>
    <row r="151" spans="2:29" x14ac:dyDescent="0.2">
      <c r="B151" s="1">
        <f t="shared" si="6"/>
        <v>143</v>
      </c>
      <c r="C151" s="1" t="s">
        <v>231</v>
      </c>
      <c r="D151" s="1" t="s">
        <v>232</v>
      </c>
      <c r="E151" s="3">
        <v>22.11</v>
      </c>
    </row>
    <row r="152" spans="2:29" x14ac:dyDescent="0.2">
      <c r="B152" s="1">
        <f t="shared" si="6"/>
        <v>144</v>
      </c>
      <c r="C152" s="5" t="s">
        <v>331</v>
      </c>
      <c r="D152" t="s">
        <v>332</v>
      </c>
      <c r="E152" s="3">
        <v>3.23</v>
      </c>
      <c r="F152" s="6">
        <f>+E152*I152</f>
        <v>30.407559149999997</v>
      </c>
      <c r="G152" s="6">
        <f>+[55]Main!$N$5-[55]Main!$N$6</f>
        <v>-7.4640000000000004</v>
      </c>
      <c r="H152" s="6">
        <f>+F152-G152</f>
        <v>37.871559149999996</v>
      </c>
      <c r="I152" s="6">
        <f>+[55]Main!$N$3</f>
        <v>9.4141049999999993</v>
      </c>
      <c r="J152" s="3" t="s">
        <v>310</v>
      </c>
      <c r="K152" s="9">
        <v>44780</v>
      </c>
    </row>
    <row r="153" spans="2:29" x14ac:dyDescent="0.2">
      <c r="B153" s="1">
        <f t="shared" si="6"/>
        <v>145</v>
      </c>
      <c r="C153" s="1" t="s">
        <v>233</v>
      </c>
      <c r="D153" s="1" t="s">
        <v>234</v>
      </c>
      <c r="E153" s="3">
        <v>10.31</v>
      </c>
    </row>
    <row r="154" spans="2:29" x14ac:dyDescent="0.2">
      <c r="B154" s="1">
        <f t="shared" si="6"/>
        <v>146</v>
      </c>
      <c r="C154" s="1" t="s">
        <v>235</v>
      </c>
      <c r="D154" s="1" t="s">
        <v>236</v>
      </c>
      <c r="E154" s="7">
        <v>1.3</v>
      </c>
    </row>
    <row r="155" spans="2:29" x14ac:dyDescent="0.2">
      <c r="B155" s="1">
        <f t="shared" si="6"/>
        <v>147</v>
      </c>
      <c r="C155" s="1" t="s">
        <v>237</v>
      </c>
      <c r="D155" s="1" t="s">
        <v>238</v>
      </c>
      <c r="E155" s="3">
        <v>3.35</v>
      </c>
    </row>
    <row r="156" spans="2:29" x14ac:dyDescent="0.2">
      <c r="B156" s="1">
        <f t="shared" si="6"/>
        <v>148</v>
      </c>
      <c r="C156" s="5" t="s">
        <v>239</v>
      </c>
      <c r="D156" s="1" t="s">
        <v>240</v>
      </c>
      <c r="E156" s="3">
        <v>7.06</v>
      </c>
      <c r="F156" s="6">
        <f>E156*[56]Main!$J$3</f>
        <v>725.62786605999997</v>
      </c>
      <c r="G156" s="6">
        <f>[56]Main!$J$5-[56]Main!$J$6</f>
        <v>197.79600000000002</v>
      </c>
      <c r="H156" s="8">
        <f>+F156-G156</f>
        <v>527.83186605999992</v>
      </c>
      <c r="J156" s="3" t="s">
        <v>16</v>
      </c>
    </row>
    <row r="157" spans="2:29" x14ac:dyDescent="0.2">
      <c r="B157" s="1">
        <f t="shared" si="6"/>
        <v>149</v>
      </c>
      <c r="C157" s="5" t="s">
        <v>362</v>
      </c>
      <c r="D157" s="1" t="s">
        <v>363</v>
      </c>
      <c r="E157" s="7">
        <v>0.6</v>
      </c>
      <c r="F157" s="6">
        <f>+E157*I157</f>
        <v>486.43225439999998</v>
      </c>
      <c r="G157" s="6">
        <f>+[57]Main!$K$5-[57]Main!$K$6</f>
        <v>-37.984000000000002</v>
      </c>
      <c r="H157" s="8">
        <f t="shared" ref="H157" si="7">+F157-G157</f>
        <v>524.41625439999996</v>
      </c>
      <c r="I157" s="6">
        <f>+[57]Main!$K$3</f>
        <v>810.72042399999998</v>
      </c>
      <c r="J157" s="3" t="s">
        <v>310</v>
      </c>
      <c r="K157" s="9">
        <v>44816</v>
      </c>
      <c r="AC157" s="1">
        <v>2002</v>
      </c>
    </row>
    <row r="158" spans="2:29" x14ac:dyDescent="0.2">
      <c r="B158" s="1">
        <f t="shared" si="6"/>
        <v>150</v>
      </c>
      <c r="C158" s="5" t="s">
        <v>241</v>
      </c>
      <c r="D158" s="1" t="s">
        <v>242</v>
      </c>
      <c r="E158" s="3">
        <v>14.68</v>
      </c>
      <c r="F158" s="6">
        <f>E158*[58]Main!$L$3</f>
        <v>587.26396075999992</v>
      </c>
      <c r="G158" s="6">
        <f>[58]Main!$L$5-[58]Main!$L$6</f>
        <v>277.88299999999998</v>
      </c>
      <c r="H158" s="8">
        <f>+F158-G158</f>
        <v>309.38096075999994</v>
      </c>
      <c r="J158" s="3" t="s">
        <v>16</v>
      </c>
    </row>
    <row r="159" spans="2:29" x14ac:dyDescent="0.2">
      <c r="B159" s="1">
        <f t="shared" si="6"/>
        <v>151</v>
      </c>
      <c r="C159" s="5" t="s">
        <v>243</v>
      </c>
      <c r="D159" s="1" t="s">
        <v>244</v>
      </c>
      <c r="E159" s="3">
        <v>4.8600000000000003</v>
      </c>
      <c r="F159" s="6">
        <f>E159*[59]Main!$J$3</f>
        <v>312.71415336000001</v>
      </c>
      <c r="G159" s="8">
        <f>+[59]Main!$J$5-[59]Main!$J$6</f>
        <v>92.317999999999998</v>
      </c>
      <c r="H159" s="8">
        <f>+F159-G159</f>
        <v>220.39615336000003</v>
      </c>
      <c r="J159" s="3" t="s">
        <v>16</v>
      </c>
    </row>
    <row r="160" spans="2:29" x14ac:dyDescent="0.2">
      <c r="B160" s="1">
        <f t="shared" si="6"/>
        <v>152</v>
      </c>
      <c r="C160" s="5" t="s">
        <v>245</v>
      </c>
      <c r="D160" s="1" t="s">
        <v>246</v>
      </c>
      <c r="E160" s="3">
        <v>7.57</v>
      </c>
      <c r="F160" s="6">
        <f>E160*[60]Main!$M$3</f>
        <v>338.45983246000003</v>
      </c>
      <c r="G160" s="6">
        <f>[60]Main!$M$5-[60]Main!$M$6</f>
        <v>120.43700000000001</v>
      </c>
      <c r="H160" s="8">
        <f t="shared" ref="H160:H165" si="8">+F160-G160</f>
        <v>218.02283246000002</v>
      </c>
      <c r="J160" s="3" t="s">
        <v>16</v>
      </c>
    </row>
    <row r="161" spans="2:10" x14ac:dyDescent="0.2">
      <c r="B161" s="1">
        <f t="shared" si="6"/>
        <v>153</v>
      </c>
      <c r="C161" s="5" t="s">
        <v>247</v>
      </c>
      <c r="D161" s="1" t="s">
        <v>248</v>
      </c>
      <c r="E161" s="7">
        <v>0.7</v>
      </c>
      <c r="F161" s="6">
        <f>E161*[61]Main!$M$3</f>
        <v>128.9392503</v>
      </c>
      <c r="G161" s="6">
        <f>[61]Main!$M$5-[61]Main!$M$6</f>
        <v>-59.50200000000001</v>
      </c>
      <c r="H161" s="8">
        <f t="shared" si="8"/>
        <v>188.44125030000001</v>
      </c>
      <c r="J161" s="3" t="s">
        <v>16</v>
      </c>
    </row>
    <row r="162" spans="2:10" x14ac:dyDescent="0.2">
      <c r="B162" s="1">
        <f t="shared" si="6"/>
        <v>154</v>
      </c>
      <c r="C162" s="5" t="s">
        <v>249</v>
      </c>
      <c r="D162" s="1" t="s">
        <v>250</v>
      </c>
      <c r="E162" s="3">
        <v>1.98</v>
      </c>
      <c r="F162" s="6">
        <f>E162*[62]Main!$N$3</f>
        <v>39.757463459999997</v>
      </c>
      <c r="G162" s="6">
        <f>[62]Main!$N$5-[62]Main!$N$6</f>
        <v>15.942</v>
      </c>
      <c r="H162" s="8">
        <f t="shared" si="8"/>
        <v>23.815463459999997</v>
      </c>
      <c r="J162" s="3" t="s">
        <v>16</v>
      </c>
    </row>
    <row r="163" spans="2:10" x14ac:dyDescent="0.2">
      <c r="B163" s="1">
        <f t="shared" si="6"/>
        <v>155</v>
      </c>
      <c r="C163" s="5" t="s">
        <v>251</v>
      </c>
      <c r="D163" s="1" t="s">
        <v>252</v>
      </c>
      <c r="E163" s="3">
        <v>0.62</v>
      </c>
      <c r="F163" s="6">
        <f>E163*[63]Main!$L$3</f>
        <v>30.1881658</v>
      </c>
      <c r="G163" s="6">
        <f>[63]Main!$L$5-[63]Main!$L$6</f>
        <v>13.262999999999998</v>
      </c>
      <c r="H163" s="8">
        <f t="shared" si="8"/>
        <v>16.925165800000002</v>
      </c>
      <c r="J163" s="3" t="s">
        <v>16</v>
      </c>
    </row>
    <row r="164" spans="2:10" x14ac:dyDescent="0.2">
      <c r="B164" s="1">
        <f t="shared" si="6"/>
        <v>156</v>
      </c>
      <c r="C164" s="5" t="s">
        <v>253</v>
      </c>
      <c r="D164" s="1" t="s">
        <v>254</v>
      </c>
      <c r="E164" s="3">
        <v>6.12</v>
      </c>
      <c r="F164" s="6">
        <f>E164*[64]Main!$M$3</f>
        <v>125.46108324000001</v>
      </c>
      <c r="G164" s="6">
        <f>[64]Main!$M$5-[64]Main!$M$6</f>
        <v>131.17699999999999</v>
      </c>
      <c r="H164" s="8">
        <f t="shared" si="8"/>
        <v>-5.7159167599999847</v>
      </c>
      <c r="J164" s="3" t="s">
        <v>16</v>
      </c>
    </row>
    <row r="165" spans="2:10" x14ac:dyDescent="0.2">
      <c r="B165" s="1">
        <f t="shared" ref="B165:B176" si="9">B164+1</f>
        <v>157</v>
      </c>
      <c r="C165" s="5" t="s">
        <v>255</v>
      </c>
      <c r="D165" s="1" t="s">
        <v>256</v>
      </c>
      <c r="E165" s="3">
        <v>0.98</v>
      </c>
      <c r="F165" s="6">
        <f>E165*[65]Main!$M$3</f>
        <v>20.935517539999999</v>
      </c>
      <c r="G165" s="6">
        <f>[65]Main!$M$5-[65]Main!$M$6</f>
        <v>55.28</v>
      </c>
      <c r="H165" s="8">
        <f t="shared" si="8"/>
        <v>-34.344482460000002</v>
      </c>
      <c r="J165" s="3" t="s">
        <v>16</v>
      </c>
    </row>
    <row r="166" spans="2:10" x14ac:dyDescent="0.2">
      <c r="B166" s="1">
        <f t="shared" si="9"/>
        <v>158</v>
      </c>
      <c r="C166" s="1" t="s">
        <v>257</v>
      </c>
      <c r="D166" s="1" t="s">
        <v>258</v>
      </c>
      <c r="E166" s="3">
        <v>0.61</v>
      </c>
    </row>
    <row r="167" spans="2:10" x14ac:dyDescent="0.2">
      <c r="B167" s="1">
        <f t="shared" si="9"/>
        <v>159</v>
      </c>
      <c r="C167" s="1" t="s">
        <v>259</v>
      </c>
      <c r="D167" s="1" t="s">
        <v>260</v>
      </c>
      <c r="E167" s="3">
        <v>5.55</v>
      </c>
    </row>
    <row r="168" spans="2:10" x14ac:dyDescent="0.2">
      <c r="B168" s="1">
        <f t="shared" si="9"/>
        <v>160</v>
      </c>
      <c r="C168" s="1" t="s">
        <v>358</v>
      </c>
      <c r="D168" t="s">
        <v>359</v>
      </c>
      <c r="E168" s="7">
        <v>4.2</v>
      </c>
    </row>
    <row r="169" spans="2:10" x14ac:dyDescent="0.2">
      <c r="B169" s="1">
        <f t="shared" si="9"/>
        <v>161</v>
      </c>
      <c r="C169" s="1" t="s">
        <v>342</v>
      </c>
      <c r="D169" t="s">
        <v>343</v>
      </c>
      <c r="E169" s="7">
        <v>4</v>
      </c>
    </row>
    <row r="170" spans="2:10" x14ac:dyDescent="0.2">
      <c r="B170" s="1">
        <f t="shared" si="9"/>
        <v>162</v>
      </c>
      <c r="C170" t="s">
        <v>346</v>
      </c>
      <c r="D170" t="s">
        <v>347</v>
      </c>
      <c r="E170" s="3">
        <v>20.18</v>
      </c>
    </row>
    <row r="171" spans="2:10" x14ac:dyDescent="0.2">
      <c r="B171" s="1">
        <f t="shared" si="9"/>
        <v>163</v>
      </c>
      <c r="C171" s="1" t="s">
        <v>391</v>
      </c>
      <c r="D171" s="1" t="s">
        <v>392</v>
      </c>
      <c r="E171" s="3">
        <v>25.85</v>
      </c>
    </row>
    <row r="172" spans="2:10" x14ac:dyDescent="0.2">
      <c r="B172" s="1">
        <f t="shared" si="9"/>
        <v>164</v>
      </c>
      <c r="C172" t="s">
        <v>397</v>
      </c>
      <c r="D172" t="s">
        <v>398</v>
      </c>
      <c r="E172" s="3">
        <v>9.26</v>
      </c>
      <c r="F172" s="3">
        <v>204</v>
      </c>
    </row>
    <row r="173" spans="2:10" x14ac:dyDescent="0.2">
      <c r="B173" s="1">
        <f t="shared" si="9"/>
        <v>165</v>
      </c>
      <c r="C173" t="s">
        <v>444</v>
      </c>
      <c r="D173" t="s">
        <v>443</v>
      </c>
    </row>
    <row r="174" spans="2:10" x14ac:dyDescent="0.2">
      <c r="B174" s="1">
        <f t="shared" si="9"/>
        <v>166</v>
      </c>
      <c r="C174" t="s">
        <v>445</v>
      </c>
      <c r="D174" t="s">
        <v>446</v>
      </c>
    </row>
    <row r="175" spans="2:10" x14ac:dyDescent="0.2">
      <c r="B175" s="1">
        <f>B172+1</f>
        <v>165</v>
      </c>
      <c r="C175" s="1" t="s">
        <v>408</v>
      </c>
      <c r="D175" s="1" t="s">
        <v>409</v>
      </c>
    </row>
    <row r="176" spans="2:10" x14ac:dyDescent="0.2">
      <c r="B176" s="1">
        <f t="shared" si="9"/>
        <v>166</v>
      </c>
      <c r="C176" t="s">
        <v>438</v>
      </c>
      <c r="D176" t="s">
        <v>439</v>
      </c>
      <c r="E176" s="3">
        <v>20.32</v>
      </c>
    </row>
  </sheetData>
  <sortState xmlns:xlrd2="http://schemas.microsoft.com/office/spreadsheetml/2017/richdata2" ref="A116:AC142">
    <sortCondition descending="1" ref="F116:F142"/>
  </sortState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59" r:id="rId22" xr:uid="{14A63DAF-63A6-4B91-A2AF-AE28EA251457}"/>
    <hyperlink ref="C162" r:id="rId23" xr:uid="{4ACA7C7F-E42A-4687-A776-AB8065DB40FF}"/>
    <hyperlink ref="C158" r:id="rId24" xr:uid="{B3421391-7EC0-4253-8F62-5ED45A5BFA02}"/>
    <hyperlink ref="C163" r:id="rId25" xr:uid="{F6A45FC7-B73C-4143-9CAB-B3ADA19B5FD7}"/>
    <hyperlink ref="C160" r:id="rId26" xr:uid="{BBD267CB-7407-4913-9D05-6A6AA380019F}"/>
    <hyperlink ref="C165" r:id="rId27" xr:uid="{85368858-6D0F-4ABE-975C-AE5530342445}"/>
    <hyperlink ref="C156" r:id="rId28" xr:uid="{8B5BC1F5-14D4-45A0-B224-31FAF227EAF3}"/>
    <hyperlink ref="C164" r:id="rId29" xr:uid="{D5FB3BFE-F0A8-4C09-90A1-9F506EF0ADE4}"/>
    <hyperlink ref="C161" r:id="rId30" xr:uid="{11598046-2AED-42E7-ACA5-251A20A59427}"/>
    <hyperlink ref="C49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3" r:id="rId35" xr:uid="{C3A06396-38CD-486E-9F4F-233A79292B4F}"/>
    <hyperlink ref="C109" r:id="rId36" xr:uid="{B83625D8-44D2-4842-9139-F29C8D5F2D8E}"/>
    <hyperlink ref="C144" r:id="rId37" xr:uid="{5FF32E6A-C6C7-4793-8271-BD230B9C7641}"/>
    <hyperlink ref="C59" r:id="rId38" xr:uid="{E5739E03-9FE4-4D05-90C8-36ABF7D078CB}"/>
    <hyperlink ref="C60" r:id="rId39" xr:uid="{25285F59-771C-40DB-8B78-E1E454C61406}"/>
    <hyperlink ref="C152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2" r:id="rId44" xr:uid="{559FAD8A-D620-4B93-BE14-CC22630BD57E}"/>
    <hyperlink ref="C11" r:id="rId45" xr:uid="{467EEBCD-6BD7-4E71-B2C9-FCF3DB57F059}"/>
    <hyperlink ref="C157" r:id="rId46" xr:uid="{6A576FDB-A573-4A00-8381-4BECF13B35A1}"/>
    <hyperlink ref="C21" r:id="rId47" xr:uid="{994E2867-C411-41E7-8332-43A0B3B0CC2B}"/>
    <hyperlink ref="C111" r:id="rId48" xr:uid="{51C9506E-5D60-43F8-BADA-7F72A25DAFF6}"/>
    <hyperlink ref="C110" r:id="rId49" xr:uid="{9E4325F2-98CF-4735-96D0-66A9DC5A8E86}"/>
    <hyperlink ref="C145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50" r:id="rId56" xr:uid="{04E7711A-AB14-45D0-B73B-7EA804EC5564}"/>
    <hyperlink ref="C41" r:id="rId57" xr:uid="{547F117B-55D8-401A-AD75-411778B2F717}"/>
    <hyperlink ref="C33" r:id="rId58" xr:uid="{76CA7CFE-7B9B-4C27-8561-3A158A30ED77}"/>
    <hyperlink ref="C13" r:id="rId59" xr:uid="{B0ABAFBD-FFC1-42E3-AFB4-259F4DD19FEC}"/>
    <hyperlink ref="C46" r:id="rId60" xr:uid="{F5D5A68A-4783-46B8-B717-79A0E802B6C4}"/>
    <hyperlink ref="C43" r:id="rId61" xr:uid="{DD930D2F-20A9-46C3-8AA4-5E62A88271DB}"/>
    <hyperlink ref="C31" r:id="rId62" xr:uid="{E248BEED-DD02-463E-BFAC-D02D5521E787}"/>
    <hyperlink ref="C42" r:id="rId63" xr:uid="{01444C35-CEE7-41B7-B694-AE47417B7019}"/>
    <hyperlink ref="C15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2" r:id="rId71" xr:uid="{1D3A6A47-22C9-4CC1-94BD-20DE3BB08016}"/>
    <hyperlink ref="C51" r:id="rId72" xr:uid="{27FB3DB4-8430-405F-9558-F31A0B69ED5F}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Main!B41+1</f>
        <v>34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Main!B42+1</f>
        <v>35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Main!B39+1</f>
        <v>32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33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34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Main!B51+1</f>
        <v>44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45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0"/>
  <sheetViews>
    <sheetView zoomScale="160" zoomScaleNormal="160" workbookViewId="0">
      <selection activeCell="C3" sqref="C3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  <row r="10" spans="2:3" x14ac:dyDescent="0.2">
      <c r="B10" t="s">
        <v>449</v>
      </c>
      <c r="C10">
        <v>82.55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:C16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  <c r="C16" t="s">
        <v>262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2023-01-03T03:37:37Z</dcterms:modified>
</cp:coreProperties>
</file>