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showInkAnnotation="0" defaultThemeVersion="166925"/>
  <xr:revisionPtr revIDLastSave="0" documentId="13_ncr:1_{51BE1D57-064D-4076-8CC6-63891665E584}" xr6:coauthVersionLast="47" xr6:coauthVersionMax="47" xr10:uidLastSave="{00000000-0000-0000-0000-000000000000}"/>
  <bookViews>
    <workbookView xWindow="-48480" yWindow="3120" windowWidth="38700" windowHeight="15345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9" l="1"/>
  <c r="H14" i="9"/>
  <c r="E14" i="9" s="1"/>
  <c r="O5" i="8"/>
  <c r="N5" i="8"/>
  <c r="G14" i="9" l="1"/>
  <c r="M3" i="8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<sst xmlns="http://schemas.openxmlformats.org/spreadsheetml/2006/main" count="1009" uniqueCount="629">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</sst>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9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0" fillId="0" borderId="0" applyNumberFormat="0" applyFill="0" applyBorder="0" applyAlignment="0" applyProtection="0"/>
  </cellStyleXfs>
  <cellXfs count="227">
    <xf numFmtId="0" fontId="0" fillId="0" borderId="0" xfId="0"/>
    <xf numFmtId="0" fontId="89" fillId="0" borderId="0" xfId="0" applyFont="1"/>
    <xf numFmtId="2" fontId="89" fillId="0" borderId="0" xfId="0" applyNumberFormat="1" applyFont="1" applyAlignment="1">
      <alignment horizontal="right"/>
    </xf>
    <xf numFmtId="3" fontId="89" fillId="0" borderId="0" xfId="0" applyNumberFormat="1" applyFont="1" applyAlignment="1">
      <alignment horizontal="right"/>
    </xf>
    <xf numFmtId="0" fontId="89" fillId="0" borderId="0" xfId="0" applyFont="1" applyAlignment="1">
      <alignment horizontal="right"/>
    </xf>
    <xf numFmtId="0" fontId="91" fillId="0" borderId="0" xfId="1" applyFont="1"/>
    <xf numFmtId="0" fontId="88" fillId="0" borderId="0" xfId="0" applyFont="1"/>
    <xf numFmtId="3" fontId="88" fillId="0" borderId="0" xfId="0" applyNumberFormat="1" applyFont="1" applyAlignment="1">
      <alignment horizontal="right"/>
    </xf>
    <xf numFmtId="0" fontId="87" fillId="0" borderId="0" xfId="0" applyFont="1"/>
    <xf numFmtId="3" fontId="92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0" xfId="0" applyFont="1"/>
    <xf numFmtId="2" fontId="83" fillId="0" borderId="0" xfId="0" applyNumberFormat="1" applyFont="1" applyAlignment="1">
      <alignment horizontal="right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0" fontId="83" fillId="0" borderId="0" xfId="0" applyFont="1" applyAlignment="1">
      <alignment horizontal="center"/>
    </xf>
    <xf numFmtId="0" fontId="83" fillId="0" borderId="1" xfId="0" applyFont="1" applyBorder="1" applyAlignment="1">
      <alignment horizontal="center"/>
    </xf>
    <xf numFmtId="0" fontId="83" fillId="0" borderId="2" xfId="0" applyFont="1" applyBorder="1" applyAlignment="1">
      <alignment horizontal="center"/>
    </xf>
    <xf numFmtId="4" fontId="83" fillId="0" borderId="0" xfId="0" applyNumberFormat="1" applyFont="1" applyAlignment="1">
      <alignment horizontal="center"/>
    </xf>
    <xf numFmtId="9" fontId="83" fillId="0" borderId="0" xfId="0" applyNumberFormat="1" applyFont="1" applyAlignment="1">
      <alignment horizontal="center"/>
    </xf>
    <xf numFmtId="164" fontId="83" fillId="0" borderId="1" xfId="0" applyNumberFormat="1" applyFont="1" applyBorder="1" applyAlignment="1">
      <alignment horizontal="center"/>
    </xf>
    <xf numFmtId="164" fontId="83" fillId="0" borderId="0" xfId="0" applyNumberFormat="1" applyFont="1" applyAlignment="1">
      <alignment horizontal="center"/>
    </xf>
    <xf numFmtId="164" fontId="83" fillId="0" borderId="2" xfId="0" applyNumberFormat="1" applyFont="1" applyBorder="1" applyAlignment="1">
      <alignment horizontal="center"/>
    </xf>
    <xf numFmtId="4" fontId="83" fillId="0" borderId="1" xfId="0" applyNumberFormat="1" applyFont="1" applyBorder="1" applyAlignment="1">
      <alignment horizontal="center"/>
    </xf>
    <xf numFmtId="4" fontId="83" fillId="0" borderId="2" xfId="0" applyNumberFormat="1" applyFont="1" applyBorder="1" applyAlignment="1">
      <alignment horizontal="center"/>
    </xf>
    <xf numFmtId="0" fontId="82" fillId="0" borderId="0" xfId="0" applyFont="1" applyAlignment="1">
      <alignment horizontal="right"/>
    </xf>
    <xf numFmtId="0" fontId="81" fillId="0" borderId="0" xfId="0" applyFont="1" applyAlignment="1">
      <alignment horizontal="right"/>
    </xf>
    <xf numFmtId="9" fontId="81" fillId="0" borderId="0" xfId="0" applyNumberFormat="1" applyFont="1" applyAlignment="1">
      <alignment horizontal="center"/>
    </xf>
    <xf numFmtId="164" fontId="83" fillId="0" borderId="6" xfId="0" applyNumberFormat="1" applyFont="1" applyBorder="1" applyAlignment="1">
      <alignment horizontal="center"/>
    </xf>
    <xf numFmtId="0" fontId="80" fillId="0" borderId="0" xfId="0" applyFont="1" applyAlignment="1">
      <alignment horizontal="right"/>
    </xf>
    <xf numFmtId="0" fontId="79" fillId="0" borderId="0" xfId="0" applyFont="1" applyAlignment="1">
      <alignment horizontal="right"/>
    </xf>
    <xf numFmtId="0" fontId="78" fillId="0" borderId="0" xfId="0" applyFont="1"/>
    <xf numFmtId="4" fontId="83" fillId="0" borderId="0" xfId="0" applyNumberFormat="1" applyFont="1" applyAlignment="1">
      <alignment horizontal="right"/>
    </xf>
    <xf numFmtId="0" fontId="77" fillId="0" borderId="4" xfId="0" applyFont="1" applyBorder="1" applyAlignment="1">
      <alignment horizontal="right"/>
    </xf>
    <xf numFmtId="14" fontId="83" fillId="0" borderId="0" xfId="0" applyNumberFormat="1" applyFont="1" applyAlignment="1">
      <alignment horizontal="right"/>
    </xf>
    <xf numFmtId="0" fontId="77" fillId="0" borderId="0" xfId="0" applyFont="1" applyAlignment="1">
      <alignment horizontal="right"/>
    </xf>
    <xf numFmtId="0" fontId="77" fillId="0" borderId="0" xfId="0" applyFont="1"/>
    <xf numFmtId="0" fontId="76" fillId="0" borderId="0" xfId="0" applyFont="1"/>
    <xf numFmtId="0" fontId="76" fillId="0" borderId="3" xfId="0" applyFont="1" applyBorder="1" applyAlignment="1">
      <alignment horizontal="center"/>
    </xf>
    <xf numFmtId="0" fontId="76" fillId="0" borderId="6" xfId="0" applyFont="1" applyBorder="1" applyAlignment="1">
      <alignment horizontal="center"/>
    </xf>
    <xf numFmtId="0" fontId="76" fillId="0" borderId="4" xfId="0" applyFont="1" applyBorder="1" applyAlignment="1">
      <alignment horizontal="center"/>
    </xf>
    <xf numFmtId="0" fontId="83" fillId="0" borderId="5" xfId="0" applyFont="1" applyBorder="1"/>
    <xf numFmtId="3" fontId="86" fillId="0" borderId="0" xfId="0" applyNumberFormat="1" applyFont="1"/>
    <xf numFmtId="0" fontId="75" fillId="0" borderId="0" xfId="0" applyFont="1"/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0" fontId="73" fillId="0" borderId="0" xfId="0" applyFont="1"/>
    <xf numFmtId="3" fontId="89" fillId="0" borderId="0" xfId="0" applyNumberFormat="1" applyFont="1"/>
    <xf numFmtId="3" fontId="92" fillId="0" borderId="0" xfId="0" applyNumberFormat="1" applyFont="1"/>
    <xf numFmtId="3" fontId="73" fillId="0" borderId="0" xfId="0" applyNumberFormat="1" applyFont="1"/>
    <xf numFmtId="4" fontId="89" fillId="0" borderId="0" xfId="0" applyNumberFormat="1" applyFont="1" applyAlignment="1">
      <alignment horizontal="right"/>
    </xf>
    <xf numFmtId="4" fontId="92" fillId="0" borderId="0" xfId="0" applyNumberFormat="1" applyFont="1" applyAlignment="1">
      <alignment horizontal="right"/>
    </xf>
    <xf numFmtId="0" fontId="72" fillId="0" borderId="0" xfId="0" applyFont="1"/>
    <xf numFmtId="0" fontId="71" fillId="0" borderId="0" xfId="0" applyFont="1"/>
    <xf numFmtId="0" fontId="93" fillId="0" borderId="0" xfId="0" applyFont="1"/>
    <xf numFmtId="0" fontId="70" fillId="0" borderId="0" xfId="0" applyFont="1"/>
    <xf numFmtId="0" fontId="70" fillId="0" borderId="0" xfId="0" applyFont="1" applyAlignment="1">
      <alignment horizontal="right"/>
    </xf>
    <xf numFmtId="14" fontId="86" fillId="0" borderId="0" xfId="0" applyNumberFormat="1" applyFont="1"/>
    <xf numFmtId="0" fontId="86" fillId="0" borderId="0" xfId="0" applyFont="1" applyAlignment="1">
      <alignment horizontal="right"/>
    </xf>
    <xf numFmtId="4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3" fontId="69" fillId="0" borderId="0" xfId="0" applyNumberFormat="1" applyFont="1"/>
    <xf numFmtId="0" fontId="69" fillId="0" borderId="0" xfId="0" applyFont="1"/>
    <xf numFmtId="0" fontId="69" fillId="0" borderId="3" xfId="0" applyFont="1" applyBorder="1"/>
    <xf numFmtId="0" fontId="69" fillId="0" borderId="4" xfId="0" applyFont="1" applyBorder="1"/>
    <xf numFmtId="2" fontId="69" fillId="0" borderId="4" xfId="0" applyNumberFormat="1" applyFont="1" applyBorder="1" applyAlignment="1">
      <alignment horizontal="right"/>
    </xf>
    <xf numFmtId="3" fontId="69" fillId="0" borderId="4" xfId="0" applyNumberFormat="1" applyFont="1" applyBorder="1" applyAlignment="1">
      <alignment horizontal="right"/>
    </xf>
    <xf numFmtId="0" fontId="69" fillId="0" borderId="4" xfId="0" applyFont="1" applyBorder="1" applyAlignment="1">
      <alignment horizontal="right"/>
    </xf>
    <xf numFmtId="0" fontId="69" fillId="0" borderId="4" xfId="0" applyFont="1" applyBorder="1" applyAlignment="1">
      <alignment horizontal="center"/>
    </xf>
    <xf numFmtId="0" fontId="69" fillId="0" borderId="5" xfId="0" applyFont="1" applyBorder="1" applyAlignment="1">
      <alignment horizontal="center"/>
    </xf>
    <xf numFmtId="0" fontId="69" fillId="0" borderId="3" xfId="0" applyFont="1" applyBorder="1" applyAlignment="1">
      <alignment horizontal="center"/>
    </xf>
    <xf numFmtId="0" fontId="69" fillId="0" borderId="6" xfId="0" applyFont="1" applyBorder="1" applyAlignment="1">
      <alignment horizontal="center"/>
    </xf>
    <xf numFmtId="0" fontId="68" fillId="0" borderId="0" xfId="0" applyFont="1"/>
    <xf numFmtId="3" fontId="68" fillId="0" borderId="0" xfId="0" applyNumberFormat="1" applyFont="1"/>
    <xf numFmtId="3" fontId="67" fillId="0" borderId="0" xfId="0" applyNumberFormat="1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3" fontId="61" fillId="0" borderId="0" xfId="0" applyNumberFormat="1" applyFont="1"/>
    <xf numFmtId="3" fontId="60" fillId="0" borderId="0" xfId="0" applyNumberFormat="1" applyFont="1"/>
    <xf numFmtId="0" fontId="59" fillId="0" borderId="0" xfId="0" applyFont="1"/>
    <xf numFmtId="0" fontId="94" fillId="0" borderId="0" xfId="0" applyFont="1"/>
    <xf numFmtId="0" fontId="58" fillId="0" borderId="0" xfId="0" applyFont="1"/>
    <xf numFmtId="0" fontId="95" fillId="0" borderId="0" xfId="1" applyFont="1"/>
    <xf numFmtId="0" fontId="57" fillId="0" borderId="0" xfId="0" applyFont="1"/>
    <xf numFmtId="3" fontId="57" fillId="0" borderId="0" xfId="0" applyNumberFormat="1" applyFont="1"/>
    <xf numFmtId="0" fontId="56" fillId="0" borderId="0" xfId="0" applyFont="1" applyAlignment="1">
      <alignment horizontal="right"/>
    </xf>
    <xf numFmtId="0" fontId="55" fillId="0" borderId="0" xfId="0" applyFont="1"/>
    <xf numFmtId="0" fontId="55" fillId="0" borderId="0" xfId="0" applyFont="1" applyAlignment="1">
      <alignment horizontal="right"/>
    </xf>
    <xf numFmtId="14" fontId="69" fillId="0" borderId="0" xfId="0" applyNumberFormat="1" applyFont="1"/>
    <xf numFmtId="3" fontId="54" fillId="0" borderId="0" xfId="0" applyNumberFormat="1" applyFont="1"/>
    <xf numFmtId="0" fontId="53" fillId="0" borderId="0" xfId="0" applyFont="1"/>
    <xf numFmtId="3" fontId="53" fillId="0" borderId="0" xfId="0" applyNumberFormat="1" applyFont="1"/>
    <xf numFmtId="0" fontId="52" fillId="0" borderId="0" xfId="0" applyFont="1"/>
    <xf numFmtId="0" fontId="51" fillId="0" borderId="0" xfId="0" applyFont="1"/>
    <xf numFmtId="3" fontId="50" fillId="0" borderId="0" xfId="0" applyNumberFormat="1" applyFont="1"/>
    <xf numFmtId="0" fontId="49" fillId="0" borderId="0" xfId="0" applyFont="1"/>
    <xf numFmtId="0" fontId="48" fillId="0" borderId="0" xfId="0" applyFont="1"/>
    <xf numFmtId="3" fontId="47" fillId="0" borderId="0" xfId="0" applyNumberFormat="1" applyFont="1"/>
    <xf numFmtId="0" fontId="46" fillId="0" borderId="0" xfId="0" applyFont="1"/>
    <xf numFmtId="0" fontId="91" fillId="0" borderId="1" xfId="1" applyFont="1" applyBorder="1"/>
    <xf numFmtId="9" fontId="83" fillId="0" borderId="2" xfId="0" applyNumberFormat="1" applyFont="1" applyBorder="1" applyAlignment="1">
      <alignment horizontal="center"/>
    </xf>
    <xf numFmtId="0" fontId="59" fillId="0" borderId="0" xfId="0" applyFont="1" applyAlignment="1">
      <alignment horizontal="right"/>
    </xf>
    <xf numFmtId="0" fontId="51" fillId="0" borderId="1" xfId="0" applyFont="1" applyBorder="1"/>
    <xf numFmtId="0" fontId="80" fillId="0" borderId="0" xfId="0" applyFont="1"/>
    <xf numFmtId="0" fontId="48" fillId="0" borderId="1" xfId="0" applyFont="1" applyBorder="1"/>
    <xf numFmtId="0" fontId="83" fillId="0" borderId="1" xfId="0" applyFont="1" applyBorder="1"/>
    <xf numFmtId="0" fontId="81" fillId="0" borderId="1" xfId="0" applyFont="1" applyBorder="1"/>
    <xf numFmtId="0" fontId="81" fillId="0" borderId="0" xfId="0" applyFont="1"/>
    <xf numFmtId="0" fontId="76" fillId="0" borderId="1" xfId="0" applyFont="1" applyBorder="1"/>
    <xf numFmtId="2" fontId="83" fillId="0" borderId="6" xfId="0" applyNumberFormat="1" applyFont="1" applyBorder="1" applyAlignment="1">
      <alignment horizontal="right"/>
    </xf>
    <xf numFmtId="3" fontId="83" fillId="0" borderId="6" xfId="0" applyNumberFormat="1" applyFont="1" applyBorder="1" applyAlignment="1">
      <alignment horizontal="right"/>
    </xf>
    <xf numFmtId="0" fontId="83" fillId="0" borderId="6" xfId="0" applyFont="1" applyBorder="1" applyAlignment="1">
      <alignment horizontal="right"/>
    </xf>
    <xf numFmtId="0" fontId="83" fillId="0" borderId="6" xfId="0" applyFont="1" applyBorder="1" applyAlignment="1">
      <alignment horizontal="center"/>
    </xf>
    <xf numFmtId="0" fontId="83" fillId="0" borderId="8" xfId="0" applyFont="1" applyBorder="1" applyAlignment="1">
      <alignment horizontal="center"/>
    </xf>
    <xf numFmtId="0" fontId="46" fillId="0" borderId="0" xfId="0" applyFont="1" applyAlignment="1">
      <alignment horizontal="right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91" fillId="0" borderId="0" xfId="1" applyFont="1" applyBorder="1"/>
    <xf numFmtId="0" fontId="37" fillId="0" borderId="0" xfId="0" applyFont="1"/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3" fontId="34" fillId="0" borderId="0" xfId="0" applyNumberFormat="1" applyFont="1" applyAlignment="1">
      <alignment horizontal="right"/>
    </xf>
    <xf numFmtId="0" fontId="33" fillId="0" borderId="0" xfId="0" applyFont="1"/>
    <xf numFmtId="14" fontId="33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14" fontId="89" fillId="0" borderId="0" xfId="0" applyNumberFormat="1" applyFont="1"/>
    <xf numFmtId="0" fontId="31" fillId="0" borderId="0" xfId="0" applyFont="1"/>
    <xf numFmtId="165" fontId="83" fillId="0" borderId="0" xfId="0" applyNumberFormat="1" applyFont="1" applyAlignment="1">
      <alignment horizontal="right"/>
    </xf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4" fontId="69" fillId="0" borderId="0" xfId="0" applyNumberFormat="1" applyFont="1"/>
    <xf numFmtId="0" fontId="27" fillId="0" borderId="0" xfId="0" applyFont="1"/>
    <xf numFmtId="0" fontId="26" fillId="0" borderId="1" xfId="0" applyFont="1" applyBorder="1"/>
    <xf numFmtId="0" fontId="26" fillId="0" borderId="0" xfId="0" applyFont="1"/>
    <xf numFmtId="0" fontId="25" fillId="0" borderId="0" xfId="0" applyFont="1"/>
    <xf numFmtId="3" fontId="96" fillId="0" borderId="0" xfId="0" applyNumberFormat="1" applyFont="1"/>
    <xf numFmtId="4" fontId="97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14" fontId="25" fillId="0" borderId="0" xfId="0" applyNumberFormat="1" applyFont="1" applyAlignment="1">
      <alignment horizontal="right"/>
    </xf>
    <xf numFmtId="3" fontId="71" fillId="0" borderId="0" xfId="0" applyNumberFormat="1" applyFont="1"/>
    <xf numFmtId="0" fontId="24" fillId="0" borderId="0" xfId="0" applyFont="1"/>
    <xf numFmtId="0" fontId="23" fillId="0" borderId="0" xfId="0" applyFont="1"/>
    <xf numFmtId="3" fontId="23" fillId="0" borderId="0" xfId="0" applyNumberFormat="1" applyFont="1"/>
    <xf numFmtId="3" fontId="23" fillId="2" borderId="0" xfId="0" applyNumberFormat="1" applyFont="1" applyFill="1"/>
    <xf numFmtId="0" fontId="22" fillId="0" borderId="0" xfId="0" applyFont="1" applyAlignment="1">
      <alignment horizontal="right"/>
    </xf>
    <xf numFmtId="0" fontId="22" fillId="0" borderId="0" xfId="0" applyFont="1"/>
    <xf numFmtId="3" fontId="22" fillId="0" borderId="0" xfId="0" applyNumberFormat="1" applyFont="1"/>
    <xf numFmtId="3" fontId="91" fillId="0" borderId="0" xfId="1" applyNumberFormat="1" applyFont="1"/>
    <xf numFmtId="3" fontId="21" fillId="0" borderId="0" xfId="0" applyNumberFormat="1" applyFont="1" applyAlignment="1">
      <alignment horizontal="right"/>
    </xf>
    <xf numFmtId="0" fontId="20" fillId="0" borderId="0" xfId="0" applyFont="1"/>
    <xf numFmtId="4" fontId="83" fillId="0" borderId="0" xfId="0" applyNumberFormat="1" applyFont="1"/>
    <xf numFmtId="4" fontId="89" fillId="0" borderId="0" xfId="0" applyNumberFormat="1" applyFont="1"/>
    <xf numFmtId="0" fontId="19" fillId="0" borderId="1" xfId="0" applyFont="1" applyBorder="1"/>
    <xf numFmtId="0" fontId="19" fillId="0" borderId="0" xfId="0" applyFont="1"/>
    <xf numFmtId="0" fontId="93" fillId="0" borderId="1" xfId="0" applyFont="1" applyBorder="1"/>
    <xf numFmtId="2" fontId="93" fillId="0" borderId="0" xfId="0" applyNumberFormat="1" applyFont="1" applyAlignment="1">
      <alignment horizontal="right"/>
    </xf>
    <xf numFmtId="3" fontId="93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/>
    <xf numFmtId="0" fontId="94" fillId="0" borderId="0" xfId="0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2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3" fontId="11" fillId="0" borderId="0" xfId="0" applyNumberFormat="1" applyFont="1"/>
    <xf numFmtId="0" fontId="11" fillId="0" borderId="1" xfId="0" applyFont="1" applyBorder="1"/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0" fillId="0" borderId="0" xfId="0" applyFont="1"/>
    <xf numFmtId="0" fontId="10" fillId="0" borderId="1" xfId="0" applyFont="1" applyBorder="1"/>
    <xf numFmtId="0" fontId="9" fillId="0" borderId="0" xfId="0" applyFont="1"/>
    <xf numFmtId="0" fontId="9" fillId="0" borderId="7" xfId="0" applyFont="1" applyBorder="1"/>
    <xf numFmtId="0" fontId="9" fillId="0" borderId="6" xfId="0" applyFont="1" applyBorder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6" fontId="86" fillId="0" borderId="0" xfId="0" applyNumberFormat="1" applyFont="1" applyAlignment="1">
      <alignment horizontal="center"/>
    </xf>
    <xf numFmtId="166" fontId="86" fillId="0" borderId="0" xfId="0" applyNumberFormat="1" applyFont="1"/>
    <xf numFmtId="166" fontId="8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455</v>
      </c>
    </row>
    <row r="3" spans="1:4" x14ac:dyDescent="0.2">
      <c r="B3" s="185" t="s">
        <v>459</v>
      </c>
      <c r="C3" s="185" t="s">
        <v>258</v>
      </c>
    </row>
    <row r="4" spans="1:4" x14ac:dyDescent="0.2">
      <c r="B4" s="185" t="s">
        <v>460</v>
      </c>
      <c r="C4" s="185" t="s">
        <v>461</v>
      </c>
    </row>
    <row r="5" spans="1:4" x14ac:dyDescent="0.2">
      <c r="B5" s="185" t="s">
        <v>419</v>
      </c>
      <c r="C5" s="185" t="s">
        <v>13</v>
      </c>
    </row>
    <row r="6" spans="1:4" x14ac:dyDescent="0.2">
      <c r="B6" s="185" t="s">
        <v>462</v>
      </c>
      <c r="C6" s="185" t="s">
        <v>13</v>
      </c>
    </row>
    <row r="7" spans="1:4" x14ac:dyDescent="0.2">
      <c r="B7" s="185" t="s">
        <v>463</v>
      </c>
      <c r="C7" s="185" t="s">
        <v>13</v>
      </c>
    </row>
    <row r="8" spans="1:4" x14ac:dyDescent="0.2">
      <c r="B8" s="185" t="s">
        <v>464</v>
      </c>
      <c r="C8" s="185" t="s">
        <v>465</v>
      </c>
      <c r="D8" s="185">
        <v>1999</v>
      </c>
    </row>
    <row r="9" spans="1:4" x14ac:dyDescent="0.2">
      <c r="B9" s="185" t="s">
        <v>466</v>
      </c>
      <c r="C9" s="185" t="s">
        <v>7</v>
      </c>
    </row>
    <row r="10" spans="1:4" x14ac:dyDescent="0.2">
      <c r="B10" s="189" t="s">
        <v>487</v>
      </c>
      <c r="C10" s="189" t="s">
        <v>258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226</v>
      </c>
      <c r="C2" s="191" t="s">
        <v>490</v>
      </c>
      <c r="D2" s="191" t="s">
        <v>491</v>
      </c>
    </row>
    <row r="3" spans="1:4" x14ac:dyDescent="0.2">
      <c r="B3" s="191" t="s">
        <v>488</v>
      </c>
      <c r="C3" s="191" t="s">
        <v>489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341</v>
      </c>
      <c r="C3" s="132" t="s">
        <v>342</v>
      </c>
    </row>
    <row r="4" spans="1:3" x14ac:dyDescent="0.2">
      <c r="B4" s="132" t="s">
        <v>343</v>
      </c>
      <c r="C4" s="132" t="s">
        <v>344</v>
      </c>
    </row>
    <row r="5" spans="1:3" x14ac:dyDescent="0.2">
      <c r="B5" s="132" t="s">
        <v>345</v>
      </c>
    </row>
    <row r="6" spans="1:3" x14ac:dyDescent="0.2">
      <c r="B6" s="132" t="s">
        <v>338</v>
      </c>
    </row>
    <row r="7" spans="1:3" x14ac:dyDescent="0.2">
      <c r="B7" s="132" t="s">
        <v>336</v>
      </c>
    </row>
    <row r="8" spans="1:3" x14ac:dyDescent="0.2">
      <c r="B8" s="132" t="s">
        <v>340</v>
      </c>
    </row>
    <row r="9" spans="1:3" x14ac:dyDescent="0.2">
      <c r="B9" s="132" t="s">
        <v>337</v>
      </c>
    </row>
    <row r="10" spans="1:3" x14ac:dyDescent="0.2">
      <c r="B10" s="132" t="s">
        <v>346</v>
      </c>
    </row>
    <row r="11" spans="1:3" x14ac:dyDescent="0.2">
      <c r="B11" s="132" t="s">
        <v>347</v>
      </c>
    </row>
    <row r="12" spans="1:3" x14ac:dyDescent="0.2">
      <c r="B12" s="132" t="s">
        <v>339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422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409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410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258</v>
      </c>
    </row>
    <row r="15" spans="1:15" x14ac:dyDescent="0.2">
      <c r="B15" s="165" t="s">
        <v>44</v>
      </c>
    </row>
    <row r="16" spans="1:15" x14ac:dyDescent="0.2">
      <c r="B16" s="165" t="s">
        <v>174</v>
      </c>
    </row>
    <row r="17" spans="2:15" x14ac:dyDescent="0.2">
      <c r="B17" s="165" t="s">
        <v>29</v>
      </c>
    </row>
    <row r="18" spans="2:15" x14ac:dyDescent="0.2">
      <c r="B18" s="165" t="s">
        <v>411</v>
      </c>
    </row>
    <row r="19" spans="2:15" x14ac:dyDescent="0.2">
      <c r="B19" s="169" t="s">
        <v>176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395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298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420</v>
      </c>
    </row>
    <row r="3" spans="1:3" x14ac:dyDescent="0.2">
      <c r="A3" s="5"/>
      <c r="B3" s="169" t="s">
        <v>416</v>
      </c>
    </row>
    <row r="4" spans="1:3" x14ac:dyDescent="0.2">
      <c r="A4" s="5"/>
      <c r="B4" s="169" t="s">
        <v>419</v>
      </c>
    </row>
    <row r="5" spans="1:3" x14ac:dyDescent="0.2">
      <c r="A5" s="5"/>
      <c r="B5" s="169" t="s">
        <v>417</v>
      </c>
    </row>
    <row r="6" spans="1:3" x14ac:dyDescent="0.2">
      <c r="A6" s="5"/>
      <c r="B6" s="169" t="s">
        <v>421</v>
      </c>
    </row>
    <row r="7" spans="1:3" x14ac:dyDescent="0.2">
      <c r="A7" s="5"/>
      <c r="B7" s="169" t="s">
        <v>418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352</v>
      </c>
    </row>
    <row r="11" spans="1:3" x14ac:dyDescent="0.2">
      <c r="B11" s="132" t="s">
        <v>348</v>
      </c>
    </row>
    <row r="12" spans="1:3" x14ac:dyDescent="0.2">
      <c r="B12" s="132" t="s">
        <v>349</v>
      </c>
      <c r="C12" s="132" t="s">
        <v>350</v>
      </c>
    </row>
    <row r="13" spans="1:3" x14ac:dyDescent="0.2">
      <c r="B13" s="132" t="s">
        <v>351</v>
      </c>
    </row>
    <row r="14" spans="1:3" x14ac:dyDescent="0.2">
      <c r="B14" s="165" t="s">
        <v>412</v>
      </c>
      <c r="C14" s="165" t="s">
        <v>413</v>
      </c>
    </row>
    <row r="15" spans="1:3" x14ac:dyDescent="0.2">
      <c r="B15" s="165" t="s">
        <v>414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215</v>
      </c>
      <c r="I3" s="17" t="s">
        <v>6</v>
      </c>
      <c r="J3" s="42" t="s">
        <v>226</v>
      </c>
      <c r="K3" s="18" t="s">
        <v>210</v>
      </c>
      <c r="L3" s="18" t="s">
        <v>214</v>
      </c>
      <c r="M3" s="18" t="s">
        <v>211</v>
      </c>
      <c r="N3" s="18" t="s">
        <v>212</v>
      </c>
      <c r="O3" s="19" t="s">
        <v>213</v>
      </c>
      <c r="P3" s="47" t="s">
        <v>231</v>
      </c>
      <c r="Q3" s="48" t="s">
        <v>232</v>
      </c>
      <c r="R3" s="48" t="s">
        <v>233</v>
      </c>
      <c r="S3" s="19">
        <v>2025</v>
      </c>
      <c r="T3" s="47" t="s">
        <v>230</v>
      </c>
      <c r="U3" s="18">
        <v>2023</v>
      </c>
      <c r="V3" s="18">
        <v>2024</v>
      </c>
      <c r="W3" s="19">
        <v>2025</v>
      </c>
      <c r="X3" s="20" t="s">
        <v>216</v>
      </c>
    </row>
    <row r="4" spans="1:24" x14ac:dyDescent="0.2">
      <c r="A4" s="191" t="s">
        <v>255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621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255</v>
      </c>
      <c r="B6" s="111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384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486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315</v>
      </c>
      <c r="C9" s="108" t="s">
        <v>316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255</v>
      </c>
      <c r="B10" s="176" t="s">
        <v>426</v>
      </c>
      <c r="C10" s="177" t="s">
        <v>427</v>
      </c>
      <c r="D10" s="21">
        <v>547.96</v>
      </c>
      <c r="E10" s="22">
        <v>58644</v>
      </c>
      <c r="O10" s="26"/>
    </row>
    <row r="11" spans="1:24" x14ac:dyDescent="0.2">
      <c r="A11" s="191" t="s">
        <v>255</v>
      </c>
      <c r="B11" s="176" t="s">
        <v>428</v>
      </c>
      <c r="C11" s="177" t="s">
        <v>429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255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255</v>
      </c>
      <c r="B14" s="176" t="s">
        <v>447</v>
      </c>
      <c r="C14" s="177" t="s">
        <v>448</v>
      </c>
      <c r="D14" s="21">
        <v>34.99</v>
      </c>
      <c r="E14" s="22">
        <v>18901</v>
      </c>
      <c r="O14" s="26"/>
    </row>
    <row r="15" spans="1:24" x14ac:dyDescent="0.2">
      <c r="A15" s="191" t="s">
        <v>255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255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255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255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255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255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255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/>
      <c r="B28" s="111" t="s">
        <v>337</v>
      </c>
      <c r="C28" s="217" t="s">
        <v>623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8" t="s">
        <v>621</v>
      </c>
      <c r="J28" s="43">
        <v>45546</v>
      </c>
      <c r="O28" s="26"/>
    </row>
    <row r="29" spans="1:24" x14ac:dyDescent="0.2">
      <c r="A29" s="191" t="s">
        <v>255</v>
      </c>
      <c r="B29" s="193" t="s">
        <v>507</v>
      </c>
      <c r="C29" s="191" t="s">
        <v>508</v>
      </c>
      <c r="O29" s="26"/>
    </row>
    <row r="30" spans="1:24" x14ac:dyDescent="0.2">
      <c r="A30" s="191" t="s">
        <v>255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217</v>
      </c>
      <c r="C31" s="119" t="s">
        <v>218</v>
      </c>
      <c r="D31" s="21">
        <v>13.95</v>
      </c>
      <c r="E31" s="22">
        <v>2030</v>
      </c>
      <c r="O31" s="26"/>
    </row>
    <row r="32" spans="1:24" x14ac:dyDescent="0.2">
      <c r="B32" s="118" t="s">
        <v>219</v>
      </c>
      <c r="C32" s="119" t="s">
        <v>220</v>
      </c>
      <c r="D32" s="21">
        <v>19.95</v>
      </c>
      <c r="E32" s="22">
        <v>2560</v>
      </c>
      <c r="O32" s="26"/>
    </row>
    <row r="33" spans="1:15" x14ac:dyDescent="0.2">
      <c r="B33" s="120" t="s">
        <v>228</v>
      </c>
      <c r="C33" s="46" t="s">
        <v>229</v>
      </c>
      <c r="O33" s="26"/>
    </row>
    <row r="34" spans="1:15" x14ac:dyDescent="0.2">
      <c r="B34" s="156" t="s">
        <v>397</v>
      </c>
      <c r="O34" s="26"/>
    </row>
    <row r="35" spans="1:15" x14ac:dyDescent="0.2">
      <c r="A35" s="191" t="s">
        <v>255</v>
      </c>
      <c r="B35" s="193" t="s">
        <v>497</v>
      </c>
      <c r="C35" s="191" t="s">
        <v>498</v>
      </c>
      <c r="O35" s="26"/>
    </row>
    <row r="36" spans="1:15" x14ac:dyDescent="0.2">
      <c r="A36" s="191" t="s">
        <v>255</v>
      </c>
      <c r="B36" s="193" t="s">
        <v>432</v>
      </c>
      <c r="C36" s="191" t="s">
        <v>433</v>
      </c>
      <c r="O36" s="26"/>
    </row>
    <row r="37" spans="1:15" x14ac:dyDescent="0.2">
      <c r="A37" s="191" t="s">
        <v>255</v>
      </c>
      <c r="B37" s="193" t="s">
        <v>530</v>
      </c>
      <c r="C37" s="191" t="s">
        <v>531</v>
      </c>
      <c r="O37" s="26"/>
    </row>
    <row r="38" spans="1:15" x14ac:dyDescent="0.2">
      <c r="A38" s="191" t="s">
        <v>255</v>
      </c>
      <c r="B38" s="193" t="s">
        <v>534</v>
      </c>
      <c r="C38" s="191" t="s">
        <v>535</v>
      </c>
      <c r="O38" s="26"/>
    </row>
    <row r="39" spans="1:15" x14ac:dyDescent="0.2">
      <c r="A39" s="191" t="s">
        <v>255</v>
      </c>
      <c r="B39" s="193" t="s">
        <v>542</v>
      </c>
      <c r="C39" s="191" t="s">
        <v>543</v>
      </c>
      <c r="O39" s="26"/>
    </row>
    <row r="40" spans="1:15" x14ac:dyDescent="0.2">
      <c r="A40" s="205" t="s">
        <v>255</v>
      </c>
      <c r="B40" s="206" t="s">
        <v>550</v>
      </c>
      <c r="C40" s="205" t="s">
        <v>551</v>
      </c>
      <c r="O40" s="26"/>
    </row>
    <row r="41" spans="1:15" x14ac:dyDescent="0.2">
      <c r="A41" s="207" t="s">
        <v>255</v>
      </c>
      <c r="B41" s="208" t="s">
        <v>590</v>
      </c>
      <c r="C41" s="209" t="s">
        <v>591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E63" sqref="E63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+D3*[6]Main!$K$3</f>
        <v>1738843.3747723501</v>
      </c>
      <c r="F3" s="22">
        <f>[6]Main!$K$5-[6]Main!$K$6</f>
        <v>27440</v>
      </c>
      <c r="G3" s="22">
        <f>+E3-F3</f>
        <v>1711403.3747723501</v>
      </c>
      <c r="H3" s="22">
        <f>+[6]Main!$K$3</f>
        <v>10406.627415000001</v>
      </c>
      <c r="I3" s="211" t="s">
        <v>618</v>
      </c>
      <c r="J3" s="43">
        <v>45467</v>
      </c>
      <c r="K3" s="27">
        <f>+[6]Model!$BZ$49</f>
        <v>139.74223695214539</v>
      </c>
      <c r="L3" s="28">
        <f>K3/D3-1</f>
        <v>-0.16367085431716211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91" t="s">
        <v>255</v>
      </c>
      <c r="B4" s="5" t="s">
        <v>23</v>
      </c>
      <c r="C4" s="20" t="s">
        <v>24</v>
      </c>
      <c r="D4" s="21">
        <v>157.27000000000001</v>
      </c>
      <c r="E4" s="22">
        <f>+D4*[7]Main!$G$3</f>
        <v>445703.18000000005</v>
      </c>
      <c r="F4" s="22">
        <f>+[7]Main!$G$5-[7]Main!$G$6</f>
        <v>-76208</v>
      </c>
      <c r="G4" s="22">
        <f>+E4-F4</f>
        <v>521911.18000000005</v>
      </c>
      <c r="H4" s="22">
        <f>+[7]Main!$G$3</f>
        <v>2834</v>
      </c>
      <c r="I4" s="218" t="s">
        <v>621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255</v>
      </c>
      <c r="B5" s="5" t="s">
        <v>25</v>
      </c>
      <c r="C5" s="20" t="s">
        <v>25</v>
      </c>
      <c r="D5" s="21">
        <v>202.79</v>
      </c>
      <c r="E5" s="22">
        <f>+D5*[8]Main!$L$3</f>
        <v>238886.62</v>
      </c>
      <c r="F5" s="22">
        <f>+[8]Main!$L$5-[8]Main!$L$6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258</v>
      </c>
      <c r="C6" s="81" t="s">
        <v>258</v>
      </c>
      <c r="D6" s="154">
        <v>191.63</v>
      </c>
      <c r="E6" s="70">
        <f>D6*H6</f>
        <v>174008.74268482</v>
      </c>
      <c r="F6" s="70">
        <f>[9]Main!$M$5-[9]Main!$M$6</f>
        <v>-36234</v>
      </c>
      <c r="G6" s="22">
        <f>E6-F6</f>
        <v>210242.74268482</v>
      </c>
      <c r="H6" s="70">
        <f>[9]Main!$M$3</f>
        <v>908.04541400000005</v>
      </c>
      <c r="I6" s="181" t="s">
        <v>415</v>
      </c>
      <c r="J6" s="100">
        <v>45056</v>
      </c>
      <c r="X6" s="71">
        <v>1911</v>
      </c>
    </row>
    <row r="7" spans="1:24" s="20" customFormat="1" x14ac:dyDescent="0.2">
      <c r="A7" s="191" t="s">
        <v>255</v>
      </c>
      <c r="B7" s="5" t="s">
        <v>21</v>
      </c>
      <c r="C7" s="20" t="s">
        <v>22</v>
      </c>
      <c r="D7" s="21">
        <v>252.53</v>
      </c>
      <c r="E7" s="22">
        <f>+D7*[10]Main!$M$3</f>
        <v>252530</v>
      </c>
      <c r="F7" s="22">
        <f>+[10]Main!$M$5-[10]Main!$M$6</f>
        <v>6442</v>
      </c>
      <c r="G7" s="22">
        <f t="shared" ref="G7:G8" si="0">E7-F7</f>
        <v>246088</v>
      </c>
      <c r="H7" s="22">
        <f>+[10]Main!$M$3</f>
        <v>1000</v>
      </c>
      <c r="I7" s="138" t="s">
        <v>353</v>
      </c>
      <c r="J7" s="43">
        <v>44946</v>
      </c>
      <c r="K7" s="27">
        <f>+[10]Model!$Z$38</f>
        <v>159.2157215866865</v>
      </c>
      <c r="L7" s="28">
        <f>+K7/D7-1</f>
        <v>-0.36951759558592445</v>
      </c>
      <c r="M7" s="28">
        <f>+[10]Model!$Z$36</f>
        <v>0.08</v>
      </c>
      <c r="N7" s="28">
        <f>+[10]Model!$Z$35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255</v>
      </c>
      <c r="B8" s="5" t="s">
        <v>29</v>
      </c>
      <c r="C8" s="20" t="s">
        <v>30</v>
      </c>
      <c r="D8" s="21">
        <v>811</v>
      </c>
      <c r="E8" s="22">
        <f>+D8*[11]Main!$L$3</f>
        <v>162200</v>
      </c>
      <c r="F8" s="22">
        <f>+[11]Main!$L$5-[11]Main!$L$6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255</v>
      </c>
      <c r="B9" s="5" t="s">
        <v>40</v>
      </c>
      <c r="C9" s="20" t="s">
        <v>41</v>
      </c>
      <c r="D9" s="21">
        <v>139</v>
      </c>
      <c r="E9" s="22">
        <f>+D9*[12]Main!$L$3</f>
        <v>35267.497000000003</v>
      </c>
      <c r="F9" s="22">
        <f>+[12]Main!$L$5-[12]Main!$L$6</f>
        <v>432.39900000000011</v>
      </c>
      <c r="G9" s="22">
        <f t="shared" ref="G9:G15" si="1">E9-F9</f>
        <v>34835.098000000005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255</v>
      </c>
      <c r="B10" s="135" t="s">
        <v>148</v>
      </c>
      <c r="C10" s="20" t="s">
        <v>149</v>
      </c>
      <c r="D10" s="21">
        <v>29.99</v>
      </c>
      <c r="E10" s="22">
        <f>D10*[13]Main!$L$3</f>
        <v>71979.208929999993</v>
      </c>
      <c r="F10" s="22">
        <f>[13]Main!$L$5-[13]Main!$L$6</f>
        <v>2585</v>
      </c>
      <c r="G10" s="22">
        <f>E10-F10</f>
        <v>69394.208929999993</v>
      </c>
      <c r="H10" s="22">
        <f>+[13]Main!$L$3</f>
        <v>2400.107</v>
      </c>
      <c r="I10" s="210" t="s">
        <v>618</v>
      </c>
      <c r="J10" s="100">
        <v>45446</v>
      </c>
    </row>
    <row r="11" spans="1:24" x14ac:dyDescent="0.2">
      <c r="A11" s="191" t="s">
        <v>255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+[14]Main!$P$5-[14]Main!$P$6</f>
        <v>2134</v>
      </c>
      <c r="G11" s="22">
        <f t="shared" si="1"/>
        <v>48608.72</v>
      </c>
      <c r="H11" s="23">
        <f>+[14]Main!$P$3</f>
        <v>252</v>
      </c>
      <c r="I11" s="149" t="s">
        <v>384</v>
      </c>
      <c r="J11" s="43">
        <v>45006</v>
      </c>
      <c r="X11" s="71">
        <v>2005</v>
      </c>
    </row>
    <row r="12" spans="1:24" x14ac:dyDescent="0.2">
      <c r="A12" s="191" t="s">
        <v>255</v>
      </c>
      <c r="B12" s="5" t="s">
        <v>44</v>
      </c>
      <c r="C12" s="20" t="s">
        <v>45</v>
      </c>
      <c r="D12" s="21">
        <v>124.6</v>
      </c>
      <c r="E12" s="22">
        <f>+D12*[15]Main!$M$3</f>
        <v>39169.380599999997</v>
      </c>
      <c r="F12" s="22">
        <f>+[15]Main!$M$5-[15]Main!$M$6</f>
        <v>5027.4579999999996</v>
      </c>
      <c r="G12" s="22">
        <f t="shared" si="1"/>
        <v>34141.922599999998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255</v>
      </c>
      <c r="B13" s="5" t="s">
        <v>174</v>
      </c>
      <c r="C13" s="20" t="s">
        <v>175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255</v>
      </c>
      <c r="B14" s="94" t="s">
        <v>298</v>
      </c>
      <c r="C14" s="102" t="s">
        <v>178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255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+[17]Main!$O$5-[17]Main!$O$6</f>
        <v>970</v>
      </c>
      <c r="G15" s="22">
        <f t="shared" si="1"/>
        <v>36895.572005250004</v>
      </c>
      <c r="H15" s="70">
        <f>+[17]Main!$O$3</f>
        <v>337.15227500000003</v>
      </c>
      <c r="I15" s="99" t="s">
        <v>202</v>
      </c>
      <c r="J15" s="100">
        <v>45514</v>
      </c>
      <c r="X15" s="71">
        <v>2010</v>
      </c>
    </row>
    <row r="16" spans="1:24" x14ac:dyDescent="0.2">
      <c r="A16" s="191" t="s">
        <v>255</v>
      </c>
      <c r="B16" s="177" t="s">
        <v>432</v>
      </c>
      <c r="C16" s="177" t="s">
        <v>433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255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255</v>
      </c>
      <c r="B18" s="177" t="s">
        <v>434</v>
      </c>
      <c r="C18" s="177" t="s">
        <v>435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255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255</v>
      </c>
      <c r="B20" s="135" t="s">
        <v>193</v>
      </c>
      <c r="C20" s="20" t="s">
        <v>194</v>
      </c>
      <c r="D20" s="21">
        <v>89</v>
      </c>
      <c r="E20" s="22">
        <f>+D20*H20</f>
        <v>14972.145328000002</v>
      </c>
      <c r="F20" s="22">
        <f>+[18]Main!$K$5-[18]Main!$K$6</f>
        <v>1165</v>
      </c>
      <c r="G20" s="22">
        <f>+E20-F20</f>
        <v>13807.145328000002</v>
      </c>
      <c r="H20" s="22">
        <f>+[18]Main!$K$3</f>
        <v>168.22635200000002</v>
      </c>
      <c r="I20" s="97" t="s">
        <v>202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255</v>
      </c>
      <c r="B21" s="20" t="s">
        <v>185</v>
      </c>
      <c r="C21" s="20" t="s">
        <v>186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255</v>
      </c>
      <c r="B22" s="157" t="s">
        <v>398</v>
      </c>
      <c r="C22" s="191" t="s">
        <v>506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255</v>
      </c>
      <c r="B23" s="128" t="s">
        <v>331</v>
      </c>
      <c r="C23" s="134" t="s">
        <v>378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255</v>
      </c>
      <c r="B24" s="153" t="s">
        <v>391</v>
      </c>
      <c r="C24" s="153" t="s">
        <v>392</v>
      </c>
      <c r="D24" s="71">
        <v>10.88</v>
      </c>
      <c r="E24" s="70">
        <v>3000</v>
      </c>
    </row>
    <row r="25" spans="1:24" x14ac:dyDescent="0.2">
      <c r="B25" s="117" t="s">
        <v>187</v>
      </c>
      <c r="C25" s="20" t="s">
        <v>188</v>
      </c>
      <c r="D25" s="21">
        <v>114.84</v>
      </c>
      <c r="E25" s="22">
        <v>17930</v>
      </c>
    </row>
    <row r="26" spans="1:24" x14ac:dyDescent="0.2">
      <c r="A26" s="191" t="s">
        <v>255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255</v>
      </c>
      <c r="B27" s="117" t="s">
        <v>195</v>
      </c>
      <c r="C27" s="20" t="s">
        <v>196</v>
      </c>
      <c r="D27" s="21">
        <v>97.08</v>
      </c>
      <c r="E27" s="22">
        <v>15070</v>
      </c>
    </row>
    <row r="28" spans="1:24" x14ac:dyDescent="0.2">
      <c r="A28" s="191" t="s">
        <v>255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255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255</v>
      </c>
      <c r="B30" s="193" t="s">
        <v>511</v>
      </c>
      <c r="C30" s="191" t="s">
        <v>512</v>
      </c>
      <c r="D30" s="21"/>
      <c r="E30" s="22"/>
    </row>
    <row r="31" spans="1:24" x14ac:dyDescent="0.2">
      <c r="A31" s="191" t="s">
        <v>255</v>
      </c>
      <c r="B31" s="193" t="s">
        <v>504</v>
      </c>
      <c r="C31" s="191" t="s">
        <v>505</v>
      </c>
      <c r="D31" s="21"/>
      <c r="E31" s="22"/>
    </row>
    <row r="32" spans="1:24" x14ac:dyDescent="0.2">
      <c r="A32" s="191" t="s">
        <v>255</v>
      </c>
      <c r="B32" s="193" t="s">
        <v>513</v>
      </c>
      <c r="C32" s="191" t="s">
        <v>514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255</v>
      </c>
      <c r="B34" s="177" t="s">
        <v>440</v>
      </c>
      <c r="C34" s="177" t="s">
        <v>441</v>
      </c>
      <c r="D34" s="21"/>
      <c r="E34" s="22"/>
    </row>
    <row r="35" spans="1:24" x14ac:dyDescent="0.2">
      <c r="A35" s="207" t="s">
        <v>255</v>
      </c>
      <c r="B35" s="177" t="s">
        <v>442</v>
      </c>
      <c r="C35" s="177" t="s">
        <v>443</v>
      </c>
      <c r="D35" s="21"/>
      <c r="E35" s="22"/>
    </row>
    <row r="36" spans="1:24" x14ac:dyDescent="0.2">
      <c r="A36" s="191" t="s">
        <v>255</v>
      </c>
      <c r="B36" s="177" t="s">
        <v>444</v>
      </c>
      <c r="C36" s="177" t="s">
        <v>89</v>
      </c>
      <c r="D36" s="21"/>
      <c r="E36" s="22"/>
    </row>
    <row r="37" spans="1:24" x14ac:dyDescent="0.2">
      <c r="A37" s="191" t="s">
        <v>255</v>
      </c>
      <c r="B37" s="117" t="s">
        <v>189</v>
      </c>
      <c r="C37" s="20" t="s">
        <v>190</v>
      </c>
      <c r="D37" s="21">
        <v>87.46</v>
      </c>
      <c r="E37" s="22">
        <v>16020</v>
      </c>
    </row>
    <row r="38" spans="1:24" s="20" customFormat="1" x14ac:dyDescent="0.2">
      <c r="A38" s="191" t="s">
        <v>255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255</v>
      </c>
      <c r="B39" s="191" t="s">
        <v>495</v>
      </c>
      <c r="C39" s="191" t="s">
        <v>496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255</v>
      </c>
      <c r="B40" s="191" t="s">
        <v>499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/>
      <c r="B41" s="215" t="s">
        <v>622</v>
      </c>
      <c r="C41" s="215" t="s">
        <v>622</v>
      </c>
      <c r="D41" s="21">
        <v>13.22</v>
      </c>
      <c r="E41" s="22">
        <f>+D41*H41</f>
        <v>5412.6671779000008</v>
      </c>
      <c r="F41" s="22">
        <f>+[19]Main!$J$5-[19]Main!$J$6</f>
        <v>4999</v>
      </c>
      <c r="G41" s="22">
        <f>+E41-F41</f>
        <v>413.66717790000075</v>
      </c>
      <c r="H41" s="22">
        <f>+[19]Main!$J$3</f>
        <v>409.43019500000003</v>
      </c>
      <c r="I41" s="216" t="s">
        <v>621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255</v>
      </c>
      <c r="B42" s="191" t="s">
        <v>500</v>
      </c>
      <c r="C42" s="191" t="s">
        <v>501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255</v>
      </c>
      <c r="B43" s="191" t="s">
        <v>503</v>
      </c>
      <c r="C43" s="191" t="s">
        <v>502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255</v>
      </c>
      <c r="B44" s="191" t="s">
        <v>517</v>
      </c>
      <c r="C44" s="191" t="s">
        <v>518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255</v>
      </c>
      <c r="B45" s="191" t="s">
        <v>520</v>
      </c>
      <c r="C45" s="191" t="s">
        <v>521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255</v>
      </c>
      <c r="B46" s="191" t="s">
        <v>526</v>
      </c>
      <c r="C46" s="191" t="s">
        <v>527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255</v>
      </c>
      <c r="B47" s="191" t="s">
        <v>528</v>
      </c>
      <c r="C47" s="191" t="s">
        <v>529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255</v>
      </c>
      <c r="B48" s="191" t="s">
        <v>532</v>
      </c>
      <c r="C48" s="191" t="s">
        <v>533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1" t="s">
        <v>255</v>
      </c>
      <c r="B49" s="191" t="s">
        <v>546</v>
      </c>
      <c r="C49" s="191" t="s">
        <v>547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255</v>
      </c>
      <c r="B50" s="205" t="s">
        <v>552</v>
      </c>
      <c r="C50" s="205" t="s">
        <v>553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5" t="s">
        <v>255</v>
      </c>
      <c r="B51" s="205" t="s">
        <v>554</v>
      </c>
      <c r="C51" s="205" t="s">
        <v>555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255</v>
      </c>
      <c r="B52" s="207" t="s">
        <v>568</v>
      </c>
      <c r="C52" s="207" t="s">
        <v>569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255</v>
      </c>
      <c r="B53" s="207" t="s">
        <v>570</v>
      </c>
      <c r="C53" s="207" t="s">
        <v>571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255</v>
      </c>
      <c r="B54" s="207" t="s">
        <v>572</v>
      </c>
      <c r="C54" s="207" t="s">
        <v>573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255</v>
      </c>
      <c r="B55" s="207" t="s">
        <v>574</v>
      </c>
      <c r="C55" s="207" t="s">
        <v>575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255</v>
      </c>
      <c r="B56" s="207" t="s">
        <v>580</v>
      </c>
      <c r="C56" s="207" t="s">
        <v>581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255</v>
      </c>
      <c r="B57" s="207" t="s">
        <v>582</v>
      </c>
      <c r="C57" s="207" t="s">
        <v>583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255</v>
      </c>
      <c r="B58" s="207" t="s">
        <v>584</v>
      </c>
      <c r="C58" s="207" t="s">
        <v>585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255</v>
      </c>
      <c r="B59" s="207" t="s">
        <v>586</v>
      </c>
      <c r="C59" s="207" t="s">
        <v>587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255</v>
      </c>
      <c r="B60" s="207" t="s">
        <v>588</v>
      </c>
      <c r="C60" s="207" t="s">
        <v>589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255</v>
      </c>
      <c r="B61" s="207" t="s">
        <v>594</v>
      </c>
      <c r="C61" s="207" t="s">
        <v>595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255</v>
      </c>
      <c r="B62" s="207" t="s">
        <v>596</v>
      </c>
      <c r="C62" s="207" t="s">
        <v>597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/>
      <c r="B63" s="226" t="s">
        <v>627</v>
      </c>
      <c r="C63" s="226" t="s">
        <v>628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255</v>
      </c>
      <c r="B64" s="207" t="s">
        <v>598</v>
      </c>
      <c r="C64" s="207" t="s">
        <v>599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255</v>
      </c>
      <c r="B65" s="207" t="s">
        <v>608</v>
      </c>
      <c r="C65" s="207" t="s">
        <v>609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255</v>
      </c>
      <c r="B66" s="207" t="s">
        <v>612</v>
      </c>
      <c r="C66" s="207" t="s">
        <v>613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7" t="s">
        <v>255</v>
      </c>
      <c r="B67" s="207" t="s">
        <v>614</v>
      </c>
      <c r="C67" s="207" t="s">
        <v>615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7" t="s">
        <v>255</v>
      </c>
      <c r="B68" s="207" t="s">
        <v>616</v>
      </c>
      <c r="C68" s="207" t="s">
        <v>617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205"/>
      <c r="B69" s="205"/>
      <c r="C69" s="20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92" t="s">
        <v>250</v>
      </c>
      <c r="I70" s="158" t="s">
        <v>216</v>
      </c>
    </row>
    <row r="71" spans="1:23" x14ac:dyDescent="0.2">
      <c r="B71" s="158" t="s">
        <v>399</v>
      </c>
      <c r="E71" s="71">
        <v>30000</v>
      </c>
      <c r="I71" s="184" t="s">
        <v>458</v>
      </c>
    </row>
    <row r="72" spans="1:23" x14ac:dyDescent="0.2">
      <c r="B72" s="158" t="s">
        <v>400</v>
      </c>
      <c r="E72" s="71">
        <v>10000</v>
      </c>
      <c r="F72" s="158" t="s">
        <v>402</v>
      </c>
      <c r="G72" s="158" t="s">
        <v>401</v>
      </c>
      <c r="H72" s="158" t="s">
        <v>403</v>
      </c>
      <c r="I72" s="71">
        <v>2013</v>
      </c>
    </row>
    <row r="73" spans="1:23" x14ac:dyDescent="0.2">
      <c r="B73" s="158" t="s">
        <v>120</v>
      </c>
      <c r="E73" s="71">
        <v>10000</v>
      </c>
      <c r="F73" s="158"/>
      <c r="G73" s="158"/>
      <c r="H73" s="158"/>
    </row>
    <row r="74" spans="1:23" x14ac:dyDescent="0.2">
      <c r="B74" s="177" t="s">
        <v>98</v>
      </c>
      <c r="E74" s="71">
        <v>12000</v>
      </c>
    </row>
    <row r="75" spans="1:23" x14ac:dyDescent="0.2">
      <c r="B75" s="91" t="s">
        <v>278</v>
      </c>
      <c r="E75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6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10" sqref="X10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8" t="s">
        <v>232</v>
      </c>
      <c r="R2" s="48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20" t="s">
        <v>216</v>
      </c>
      <c r="Y2" s="173" t="s">
        <v>423</v>
      </c>
      <c r="Z2" s="173" t="s">
        <v>424</v>
      </c>
    </row>
    <row r="3" spans="1:26" s="20" customFormat="1" x14ac:dyDescent="0.2">
      <c r="A3" s="71"/>
      <c r="B3" s="5" t="s">
        <v>13</v>
      </c>
      <c r="C3" s="20" t="s">
        <v>197</v>
      </c>
      <c r="D3" s="21">
        <v>400</v>
      </c>
      <c r="E3" s="22">
        <f>+D3*[20]Main!$M$3</f>
        <v>1060619.4696</v>
      </c>
      <c r="F3" s="22">
        <f>+[20]Main!$M$5-[20]Main!$M$6</f>
        <v>38382</v>
      </c>
      <c r="G3" s="22">
        <f t="shared" ref="G3:G4" si="0">+E3-F3</f>
        <v>1022237.4696</v>
      </c>
      <c r="H3" s="22">
        <f>+[20]Main!$M$3</f>
        <v>2651.5486740000001</v>
      </c>
      <c r="I3" s="210" t="s">
        <v>618</v>
      </c>
      <c r="J3" s="43">
        <v>45409</v>
      </c>
      <c r="K3" s="27"/>
      <c r="L3" s="28">
        <f>K3/D3-1</f>
        <v>-1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3" t="s">
        <v>202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283</v>
      </c>
      <c r="C5" s="93" t="s">
        <v>284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332</v>
      </c>
      <c r="C6" s="130" t="s">
        <v>333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301</v>
      </c>
      <c r="C7" s="104" t="s">
        <v>302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379</v>
      </c>
      <c r="C8" s="136" t="s">
        <v>380</v>
      </c>
      <c r="D8" s="21">
        <v>12</v>
      </c>
      <c r="E8" s="22">
        <f>+D8*H8</f>
        <v>19357.212852000001</v>
      </c>
      <c r="F8" s="141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0" t="s">
        <v>202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281</v>
      </c>
      <c r="C9" s="93" t="s">
        <v>282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285</v>
      </c>
      <c r="C10" s="93" t="s">
        <v>286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321</v>
      </c>
      <c r="C12" s="127" t="s">
        <v>322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362</v>
      </c>
      <c r="C14" s="223" t="s">
        <v>626</v>
      </c>
      <c r="D14" s="21">
        <v>12.27</v>
      </c>
      <c r="E14" s="22">
        <f>+D14*H14</f>
        <v>2159.42446578</v>
      </c>
      <c r="F14" s="225">
        <f>+[23]Main!$K$5-[23]Main!$K$6</f>
        <v>-240.45199999999997</v>
      </c>
      <c r="G14" s="22">
        <f>+E14-F14</f>
        <v>2399.8764657799998</v>
      </c>
      <c r="H14" s="22">
        <f>+[23]Main!$K$3</f>
        <v>175.99221399999999</v>
      </c>
      <c r="I14" s="224" t="s">
        <v>621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s="20" customFormat="1" x14ac:dyDescent="0.2">
      <c r="B15" s="217" t="s">
        <v>624</v>
      </c>
      <c r="C15" s="127"/>
      <c r="D15" s="21"/>
      <c r="E15" s="22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6" s="20" customFormat="1" x14ac:dyDescent="0.2">
      <c r="B16" s="217" t="s">
        <v>625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x14ac:dyDescent="0.2">
      <c r="B17" s="127" t="s">
        <v>326</v>
      </c>
      <c r="C17" s="127" t="s">
        <v>327</v>
      </c>
    </row>
    <row r="18" spans="2:23" s="20" customFormat="1" x14ac:dyDescent="0.2">
      <c r="B18" s="5"/>
      <c r="D18" s="21"/>
      <c r="E18" s="22"/>
      <c r="F18" s="22"/>
      <c r="G18" s="22"/>
      <c r="H18" s="22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x14ac:dyDescent="0.2">
      <c r="B19" s="63" t="s">
        <v>250</v>
      </c>
      <c r="F19" s="183" t="s">
        <v>216</v>
      </c>
    </row>
    <row r="20" spans="2:23" x14ac:dyDescent="0.2">
      <c r="B20" s="93" t="s">
        <v>280</v>
      </c>
      <c r="E20" s="163">
        <v>400000</v>
      </c>
    </row>
    <row r="21" spans="2:23" x14ac:dyDescent="0.2">
      <c r="B21" s="62" t="s">
        <v>249</v>
      </c>
      <c r="E21" s="163">
        <v>30000</v>
      </c>
    </row>
    <row r="22" spans="2:23" x14ac:dyDescent="0.2">
      <c r="B22" s="20" t="s">
        <v>165</v>
      </c>
      <c r="C22" s="20" t="s">
        <v>166</v>
      </c>
      <c r="D22" s="21">
        <v>44.5</v>
      </c>
      <c r="E22" s="22">
        <v>34050</v>
      </c>
    </row>
    <row r="23" spans="2:23" x14ac:dyDescent="0.2">
      <c r="B23" s="127" t="s">
        <v>320</v>
      </c>
      <c r="E23" s="163">
        <v>14500</v>
      </c>
      <c r="F23" s="62">
        <v>2015</v>
      </c>
      <c r="H23" s="182" t="s">
        <v>453</v>
      </c>
    </row>
    <row r="24" spans="2:23" x14ac:dyDescent="0.2">
      <c r="B24" s="182" t="s">
        <v>324</v>
      </c>
      <c r="E24" s="163">
        <v>10000</v>
      </c>
    </row>
    <row r="25" spans="2:23" x14ac:dyDescent="0.2">
      <c r="B25" s="182" t="s">
        <v>451</v>
      </c>
      <c r="E25" s="163"/>
      <c r="F25" s="62">
        <v>2021</v>
      </c>
    </row>
    <row r="26" spans="2:23" x14ac:dyDescent="0.2">
      <c r="B26" s="182" t="s">
        <v>452</v>
      </c>
      <c r="E26" s="62">
        <v>1000</v>
      </c>
      <c r="H26" s="182" t="s">
        <v>454</v>
      </c>
    </row>
    <row r="27" spans="2:23" x14ac:dyDescent="0.2">
      <c r="B27" s="62" t="s">
        <v>248</v>
      </c>
      <c r="E27" s="62">
        <v>200</v>
      </c>
    </row>
    <row r="28" spans="2:23" x14ac:dyDescent="0.2">
      <c r="B28" s="127" t="s">
        <v>323</v>
      </c>
    </row>
    <row r="29" spans="2:23" x14ac:dyDescent="0.2">
      <c r="B29" s="127" t="s">
        <v>325</v>
      </c>
    </row>
    <row r="30" spans="2:23" x14ac:dyDescent="0.2">
      <c r="B30" s="127" t="s">
        <v>328</v>
      </c>
    </row>
    <row r="31" spans="2:23" x14ac:dyDescent="0.2">
      <c r="B31" s="127" t="s">
        <v>329</v>
      </c>
    </row>
    <row r="32" spans="2:23" x14ac:dyDescent="0.2">
      <c r="B32" s="127" t="s">
        <v>330</v>
      </c>
    </row>
    <row r="33" spans="2:2" x14ac:dyDescent="0.2">
      <c r="B33" s="133" t="s">
        <v>354</v>
      </c>
    </row>
    <row r="34" spans="2:2" x14ac:dyDescent="0.2">
      <c r="B34" s="62" t="s">
        <v>247</v>
      </c>
    </row>
    <row r="35" spans="2:2" x14ac:dyDescent="0.2">
      <c r="B35" s="133" t="s">
        <v>355</v>
      </c>
    </row>
    <row r="36" spans="2:2" x14ac:dyDescent="0.2">
      <c r="B36" s="164" t="s">
        <v>408</v>
      </c>
    </row>
    <row r="37" spans="2:2" x14ac:dyDescent="0.2">
      <c r="B37" s="133" t="s">
        <v>356</v>
      </c>
    </row>
    <row r="38" spans="2:2" x14ac:dyDescent="0.2">
      <c r="B38" s="133" t="s">
        <v>357</v>
      </c>
    </row>
    <row r="39" spans="2:2" x14ac:dyDescent="0.2">
      <c r="B39" s="133" t="s">
        <v>298</v>
      </c>
    </row>
    <row r="40" spans="2:2" x14ac:dyDescent="0.2">
      <c r="B40" s="133" t="s">
        <v>358</v>
      </c>
    </row>
    <row r="41" spans="2:2" x14ac:dyDescent="0.2">
      <c r="B41" s="133" t="s">
        <v>359</v>
      </c>
    </row>
    <row r="42" spans="2:2" x14ac:dyDescent="0.2">
      <c r="B42" s="133" t="s">
        <v>360</v>
      </c>
    </row>
    <row r="43" spans="2:2" x14ac:dyDescent="0.2">
      <c r="B43" s="133" t="s">
        <v>361</v>
      </c>
    </row>
    <row r="44" spans="2:2" x14ac:dyDescent="0.2">
      <c r="B44" s="133" t="s">
        <v>363</v>
      </c>
    </row>
    <row r="45" spans="2:2" x14ac:dyDescent="0.2">
      <c r="B45" s="133" t="s">
        <v>364</v>
      </c>
    </row>
    <row r="46" spans="2:2" x14ac:dyDescent="0.2">
      <c r="B46" s="133" t="s">
        <v>365</v>
      </c>
    </row>
    <row r="47" spans="2:2" x14ac:dyDescent="0.2">
      <c r="B47" s="133" t="s">
        <v>366</v>
      </c>
    </row>
    <row r="48" spans="2:2" x14ac:dyDescent="0.2">
      <c r="B48" s="133" t="s">
        <v>367</v>
      </c>
    </row>
    <row r="49" spans="2:2" x14ac:dyDescent="0.2">
      <c r="B49" s="133" t="s">
        <v>368</v>
      </c>
    </row>
    <row r="50" spans="2:2" x14ac:dyDescent="0.2">
      <c r="B50" s="133" t="s">
        <v>369</v>
      </c>
    </row>
    <row r="51" spans="2:2" x14ac:dyDescent="0.2">
      <c r="B51" s="133" t="s">
        <v>370</v>
      </c>
    </row>
    <row r="52" spans="2:2" x14ac:dyDescent="0.2">
      <c r="B52" s="133" t="s">
        <v>371</v>
      </c>
    </row>
    <row r="53" spans="2:2" x14ac:dyDescent="0.2">
      <c r="B53" s="133" t="s">
        <v>372</v>
      </c>
    </row>
    <row r="54" spans="2:2" x14ac:dyDescent="0.2">
      <c r="B54" s="133" t="s">
        <v>373</v>
      </c>
    </row>
    <row r="55" spans="2:2" x14ac:dyDescent="0.2">
      <c r="B55" s="133" t="s">
        <v>374</v>
      </c>
    </row>
    <row r="56" spans="2:2" x14ac:dyDescent="0.2">
      <c r="B56" s="133" t="s">
        <v>375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389</v>
      </c>
      <c r="G2" s="151" t="s">
        <v>5</v>
      </c>
      <c r="H2" s="151" t="s">
        <v>215</v>
      </c>
      <c r="I2" s="151" t="s">
        <v>390</v>
      </c>
      <c r="J2" s="151" t="s">
        <v>226</v>
      </c>
    </row>
    <row r="3" spans="1:24" s="20" customFormat="1" x14ac:dyDescent="0.2">
      <c r="A3" s="191" t="s">
        <v>255</v>
      </c>
      <c r="B3" s="5" t="s">
        <v>181</v>
      </c>
      <c r="C3" s="20" t="s">
        <v>182</v>
      </c>
      <c r="D3" s="21">
        <v>375.71</v>
      </c>
      <c r="E3" s="22">
        <f>+D3*H3</f>
        <v>57472.452251789997</v>
      </c>
      <c r="F3" s="22">
        <f>+[24]Main!$N$5-[24]Main!$N$6</f>
        <v>1696.7459999999999</v>
      </c>
      <c r="G3" s="22">
        <f t="shared" ref="G3:G8" si="0">E3-F3</f>
        <v>55775.706251789998</v>
      </c>
      <c r="H3" s="22">
        <f>+[24]Main!$N$3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255</v>
      </c>
      <c r="B4" s="5" t="s">
        <v>179</v>
      </c>
      <c r="C4" s="20" t="s">
        <v>180</v>
      </c>
      <c r="D4" s="21">
        <v>39.74</v>
      </c>
      <c r="E4" s="22">
        <f>+D4*[25]Main!$L$3*EUR</f>
        <v>53089.738980000009</v>
      </c>
      <c r="F4" s="22">
        <f>+([25]Main!$L$5-[25]Main!$L$6)*EUR</f>
        <v>-490.25400000000008</v>
      </c>
      <c r="G4" s="22">
        <f t="shared" si="0"/>
        <v>53579.99298000001</v>
      </c>
      <c r="H4" s="22"/>
      <c r="I4" s="23" t="s">
        <v>202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255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+[26]Main!$K$5-[26]Main!$K$6</f>
        <v>741.35200000000009</v>
      </c>
      <c r="G5" s="22">
        <f t="shared" si="0"/>
        <v>50843.144</v>
      </c>
      <c r="H5" s="22">
        <f>+[26]Main!$K$3</f>
        <v>277.33600000000001</v>
      </c>
      <c r="I5" s="39" t="s">
        <v>223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255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+[27]Main!$L$5-[27]Main!$L$6</f>
        <v>-1005</v>
      </c>
      <c r="G6" s="22">
        <f t="shared" si="0"/>
        <v>45269.86632465</v>
      </c>
      <c r="H6" s="22">
        <f>+[27]Main!$L$3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255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+[28]Main!$M$5-[28]Main!$M$6</f>
        <v>-235.76700000000005</v>
      </c>
      <c r="G7" s="22">
        <f t="shared" si="0"/>
        <v>20837.083825649999</v>
      </c>
      <c r="H7" s="22">
        <f>+[28]Main!$M$3</f>
        <v>87.068664999999996</v>
      </c>
      <c r="I7" s="54" t="s">
        <v>202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221</v>
      </c>
      <c r="C8" s="115" t="s">
        <v>222</v>
      </c>
      <c r="D8" s="188">
        <v>122.15</v>
      </c>
      <c r="E8" s="22">
        <f>D8*H8/SEK</f>
        <v>31958.952028771135</v>
      </c>
      <c r="F8" s="22">
        <f>([29]Main!$L$5-[29]Main!$L$6)*EUR</f>
        <v>-3389.8630000000003</v>
      </c>
      <c r="G8" s="22">
        <f t="shared" si="0"/>
        <v>35348.815028771132</v>
      </c>
      <c r="H8" s="22">
        <f>[29]Main!$L$3</f>
        <v>2706.2939999999999</v>
      </c>
      <c r="I8" s="181" t="s">
        <v>384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255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224</v>
      </c>
      <c r="C10" s="40" t="s">
        <v>225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318</v>
      </c>
      <c r="C11" s="134" t="s">
        <v>376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319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255</v>
      </c>
      <c r="B13" s="191" t="s">
        <v>494</v>
      </c>
      <c r="C13" s="177" t="s">
        <v>107</v>
      </c>
    </row>
    <row r="14" spans="1:24" x14ac:dyDescent="0.2">
      <c r="A14" s="191" t="s">
        <v>255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255</v>
      </c>
      <c r="B15" s="177" t="s">
        <v>446</v>
      </c>
      <c r="C15" s="177" t="s">
        <v>445</v>
      </c>
    </row>
    <row r="16" spans="1:24" x14ac:dyDescent="0.2">
      <c r="A16" s="191" t="s">
        <v>255</v>
      </c>
      <c r="B16" s="191" t="s">
        <v>522</v>
      </c>
      <c r="C16" s="191" t="s">
        <v>523</v>
      </c>
    </row>
    <row r="17" spans="1:5" x14ac:dyDescent="0.2">
      <c r="A17" s="191" t="s">
        <v>255</v>
      </c>
      <c r="B17" s="191" t="s">
        <v>540</v>
      </c>
      <c r="C17" s="191" t="s">
        <v>541</v>
      </c>
    </row>
    <row r="18" spans="1:5" x14ac:dyDescent="0.2">
      <c r="A18" s="207" t="s">
        <v>255</v>
      </c>
      <c r="B18" s="207" t="s">
        <v>556</v>
      </c>
      <c r="C18" s="207" t="s">
        <v>557</v>
      </c>
    </row>
    <row r="19" spans="1:5" x14ac:dyDescent="0.2">
      <c r="A19" s="207" t="s">
        <v>255</v>
      </c>
      <c r="B19" s="207" t="s">
        <v>560</v>
      </c>
      <c r="C19" s="207" t="s">
        <v>561</v>
      </c>
    </row>
    <row r="20" spans="1:5" x14ac:dyDescent="0.2">
      <c r="A20" s="207" t="s">
        <v>255</v>
      </c>
      <c r="B20" s="207" t="s">
        <v>564</v>
      </c>
      <c r="C20" s="207" t="s">
        <v>565</v>
      </c>
    </row>
    <row r="22" spans="1:5" x14ac:dyDescent="0.2">
      <c r="B22" s="92" t="s">
        <v>250</v>
      </c>
    </row>
    <row r="23" spans="1:5" x14ac:dyDescent="0.2">
      <c r="B23" s="158" t="s">
        <v>407</v>
      </c>
      <c r="C23" s="71"/>
      <c r="D23" s="71"/>
      <c r="E23" s="71">
        <v>2400</v>
      </c>
    </row>
    <row r="24" spans="1:5" x14ac:dyDescent="0.2">
      <c r="B24" s="150" t="s">
        <v>386</v>
      </c>
      <c r="E24" s="110">
        <v>1500</v>
      </c>
    </row>
    <row r="25" spans="1:5" x14ac:dyDescent="0.2">
      <c r="B25" s="150" t="s">
        <v>388</v>
      </c>
      <c r="E25" s="110">
        <v>1000</v>
      </c>
    </row>
    <row r="26" spans="1:5" x14ac:dyDescent="0.2">
      <c r="B26" s="158" t="s">
        <v>406</v>
      </c>
      <c r="E26" s="110">
        <v>1000</v>
      </c>
    </row>
    <row r="27" spans="1:5" x14ac:dyDescent="0.2">
      <c r="B27" s="134" t="s">
        <v>377</v>
      </c>
    </row>
    <row r="28" spans="1:5" x14ac:dyDescent="0.2">
      <c r="B28" s="150" t="s">
        <v>387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  <c r="Y2" s="173" t="s">
        <v>425</v>
      </c>
    </row>
    <row r="3" spans="1:27" x14ac:dyDescent="0.2">
      <c r="A3" s="191" t="s">
        <v>255</v>
      </c>
      <c r="B3" s="5" t="s">
        <v>7</v>
      </c>
      <c r="C3" s="20" t="s">
        <v>8</v>
      </c>
      <c r="D3" s="21">
        <v>426.78</v>
      </c>
      <c r="E3" s="22">
        <f>D3*[1]Main!$L$3</f>
        <v>3171161.5738126198</v>
      </c>
      <c r="F3" s="22">
        <f>[1]Main!$L$5-[1]Main!$L$6</f>
        <v>20165</v>
      </c>
      <c r="G3" s="22">
        <f>+E3-F3</f>
        <v>3150996.5738126198</v>
      </c>
      <c r="H3" s="22">
        <f>+[1]Main!$L$3</f>
        <v>7430.4362289999999</v>
      </c>
      <c r="I3" s="23" t="s">
        <v>14</v>
      </c>
      <c r="J3" s="66">
        <v>45152</v>
      </c>
      <c r="M3" s="219">
        <f>+[1]Model!$BP$48</f>
        <v>7.0000000000000007E-2</v>
      </c>
      <c r="AA3" s="186" t="s">
        <v>471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  <c r="M4" s="220"/>
    </row>
    <row r="5" spans="1:27" s="20" customFormat="1" x14ac:dyDescent="0.2">
      <c r="A5" s="191" t="s">
        <v>255</v>
      </c>
      <c r="B5" s="5" t="s">
        <v>19</v>
      </c>
      <c r="C5" s="20" t="s">
        <v>20</v>
      </c>
      <c r="D5" s="21">
        <v>532</v>
      </c>
      <c r="E5" s="22">
        <f>+D5*[30]Main!$N$4</f>
        <v>238336</v>
      </c>
      <c r="F5" s="22">
        <f>+[30]Main!$N$6-[30]Main!$N$7</f>
        <v>1888</v>
      </c>
      <c r="G5" s="22">
        <f t="shared" ref="G5:G8" si="0">+E5-F5</f>
        <v>236448</v>
      </c>
      <c r="H5" s="22">
        <f>+[30]Main!$N$4</f>
        <v>448</v>
      </c>
      <c r="I5" s="222" t="s">
        <v>621</v>
      </c>
      <c r="J5" s="43">
        <v>45548</v>
      </c>
      <c r="K5" s="24"/>
      <c r="L5" s="24"/>
      <c r="M5" s="221">
        <f>+[30]Model!$AP$36</f>
        <v>0.08</v>
      </c>
      <c r="N5" s="28">
        <f>+[30]Model!$AP$34</f>
        <v>0.01</v>
      </c>
      <c r="O5" s="28">
        <f>+[30]Model!$AP$35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261</v>
      </c>
      <c r="C6" s="81" t="s">
        <v>262</v>
      </c>
      <c r="D6" s="147">
        <v>12025</v>
      </c>
      <c r="E6" s="22">
        <f>D6*H6/JPY</f>
        <v>108755.68776016941</v>
      </c>
      <c r="F6" s="22">
        <f>([31]Main!$O$7-[31]Main!$O$8)/JPY</f>
        <v>3147.411085956328</v>
      </c>
      <c r="G6" s="22">
        <f t="shared" si="0"/>
        <v>105608.27667421309</v>
      </c>
      <c r="H6" s="22">
        <f>[31]Main!$O$4</f>
        <v>1238.413</v>
      </c>
      <c r="I6" s="148" t="s">
        <v>384</v>
      </c>
      <c r="J6" s="43">
        <v>44994</v>
      </c>
      <c r="K6" s="24"/>
      <c r="L6" s="24"/>
      <c r="M6" s="22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261</v>
      </c>
      <c r="C7" s="146" t="s">
        <v>385</v>
      </c>
      <c r="D7" s="21">
        <v>87.8</v>
      </c>
      <c r="E7" s="22">
        <f>D7*H7</f>
        <v>108732.6614</v>
      </c>
      <c r="F7" s="22">
        <f>([31]Main!$O$7-[31]Main!$O$8)/JPY</f>
        <v>3147.411085956328</v>
      </c>
      <c r="G7" s="22">
        <f t="shared" si="0"/>
        <v>105585.25031404367</v>
      </c>
      <c r="H7" s="22">
        <f>[31]Main!$O$4</f>
        <v>1238.413</v>
      </c>
      <c r="I7" s="148" t="s">
        <v>384</v>
      </c>
      <c r="J7" s="43">
        <v>44994</v>
      </c>
      <c r="K7" s="24"/>
      <c r="L7" s="24"/>
      <c r="M7" s="22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265</v>
      </c>
      <c r="C8" s="84" t="s">
        <v>266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171</v>
      </c>
      <c r="C9" s="10" t="s">
        <v>172</v>
      </c>
      <c r="D9" s="10">
        <v>73.88</v>
      </c>
      <c r="E9" s="51">
        <f>+D9*H9</f>
        <v>57820.358567719995</v>
      </c>
      <c r="F9" s="51">
        <f>+[32]Main!$J$5-[32]Main!$J$6</f>
        <v>7078</v>
      </c>
      <c r="G9" s="22">
        <f t="shared" ref="G9" si="1">+E9-F9</f>
        <v>50742.358567719995</v>
      </c>
      <c r="H9" s="51">
        <f>+[32]Main!$J$3</f>
        <v>782.62531899999999</v>
      </c>
      <c r="I9" s="137" t="s">
        <v>353</v>
      </c>
      <c r="J9" s="66">
        <v>44946</v>
      </c>
    </row>
    <row r="10" spans="1:27" x14ac:dyDescent="0.2">
      <c r="A10" s="85"/>
      <c r="B10" s="10" t="s">
        <v>173</v>
      </c>
      <c r="C10" s="46" t="s">
        <v>234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269</v>
      </c>
      <c r="C11" s="86" t="s">
        <v>270</v>
      </c>
      <c r="D11" s="51"/>
      <c r="E11" s="51"/>
    </row>
    <row r="12" spans="1:27" x14ac:dyDescent="0.2">
      <c r="A12" s="95"/>
      <c r="B12" s="95" t="s">
        <v>287</v>
      </c>
      <c r="C12" s="95" t="s">
        <v>288</v>
      </c>
      <c r="D12" s="51"/>
      <c r="E12" s="51"/>
    </row>
    <row r="13" spans="1:27" x14ac:dyDescent="0.2">
      <c r="A13" s="95"/>
      <c r="B13" s="5" t="s">
        <v>167</v>
      </c>
      <c r="C13" s="10" t="s">
        <v>168</v>
      </c>
      <c r="D13" s="10">
        <v>130.47999999999999</v>
      </c>
      <c r="E13" s="51">
        <f>+D13*H13</f>
        <v>36664.879999999997</v>
      </c>
      <c r="F13" s="51">
        <f>+[33]Main!$N$5-[33]Main!$N$6</f>
        <v>538</v>
      </c>
      <c r="G13" s="51">
        <f>+E13-F13</f>
        <v>36126.879999999997</v>
      </c>
      <c r="H13" s="10">
        <f>+[33]Main!$N$3</f>
        <v>281</v>
      </c>
      <c r="I13" s="65" t="s">
        <v>202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[34]Main!$L$5-[34]Main!$L$6</f>
        <v>1988</v>
      </c>
      <c r="G14" s="3">
        <f>+E14-F14</f>
        <v>20861.913459200001</v>
      </c>
      <c r="H14" s="3">
        <f>[34]Main!$L$3</f>
        <v>605.13542000000007</v>
      </c>
      <c r="I14" s="4" t="s">
        <v>384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334</v>
      </c>
      <c r="C15" s="1" t="s">
        <v>335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1">
        <v>21290</v>
      </c>
    </row>
    <row r="17" spans="1:26" s="1" customFormat="1" x14ac:dyDescent="0.2">
      <c r="A17" s="1" t="s">
        <v>255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472</v>
      </c>
      <c r="C18" s="1" t="s">
        <v>473</v>
      </c>
      <c r="D18" s="2"/>
      <c r="E18" s="3"/>
      <c r="F18" s="4"/>
      <c r="G18" s="4"/>
      <c r="H18" s="4"/>
    </row>
    <row r="19" spans="1:26" s="1" customFormat="1" x14ac:dyDescent="0.2">
      <c r="B19" s="1" t="s">
        <v>478</v>
      </c>
      <c r="D19" s="2"/>
      <c r="E19" s="3"/>
      <c r="F19" s="4"/>
      <c r="G19" s="4"/>
      <c r="H19" s="4"/>
    </row>
    <row r="20" spans="1:26" s="1" customFormat="1" x14ac:dyDescent="0.2">
      <c r="B20" s="1" t="s">
        <v>480</v>
      </c>
      <c r="C20" s="1" t="s">
        <v>481</v>
      </c>
      <c r="D20" s="2"/>
      <c r="E20" s="3"/>
      <c r="F20" s="4"/>
      <c r="G20" s="4"/>
      <c r="H20" s="4"/>
    </row>
    <row r="21" spans="1:26" s="1" customFormat="1" x14ac:dyDescent="0.2">
      <c r="B21" s="1" t="s">
        <v>253</v>
      </c>
      <c r="C21" s="1" t="s">
        <v>254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+D22*[35]Main!$K$3</f>
        <v>20147.20788088</v>
      </c>
      <c r="F22" s="22">
        <f>+[35]Main!$K$5-[35]Main!$K$6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484</v>
      </c>
      <c r="C24" s="187" t="s">
        <v>485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251</v>
      </c>
    </row>
    <row r="31" spans="1:26" x14ac:dyDescent="0.2">
      <c r="B31" s="158" t="s">
        <v>404</v>
      </c>
    </row>
    <row r="32" spans="1:26" x14ac:dyDescent="0.2">
      <c r="B32" s="186" t="s">
        <v>468</v>
      </c>
    </row>
    <row r="33" spans="2:10" x14ac:dyDescent="0.2">
      <c r="B33" s="182" t="s">
        <v>449</v>
      </c>
      <c r="E33" s="10">
        <v>100</v>
      </c>
      <c r="H33" s="182" t="s">
        <v>450</v>
      </c>
    </row>
    <row r="34" spans="2:10" x14ac:dyDescent="0.2">
      <c r="B34" s="186" t="s">
        <v>469</v>
      </c>
      <c r="H34" s="182"/>
      <c r="J34" s="186" t="s">
        <v>470</v>
      </c>
    </row>
    <row r="35" spans="2:10" x14ac:dyDescent="0.2">
      <c r="B35" s="186" t="s">
        <v>474</v>
      </c>
      <c r="H35" s="182"/>
      <c r="J35" s="186"/>
    </row>
    <row r="36" spans="2:10" x14ac:dyDescent="0.2">
      <c r="B36" s="186" t="s">
        <v>475</v>
      </c>
      <c r="H36" s="182"/>
      <c r="J36" s="186"/>
    </row>
    <row r="37" spans="2:10" x14ac:dyDescent="0.2">
      <c r="B37" s="186" t="s">
        <v>476</v>
      </c>
    </row>
    <row r="38" spans="2:10" x14ac:dyDescent="0.2">
      <c r="B38" s="186" t="s">
        <v>482</v>
      </c>
      <c r="J38" s="186" t="s">
        <v>483</v>
      </c>
    </row>
    <row r="39" spans="2:10" x14ac:dyDescent="0.2">
      <c r="B39" s="186" t="s">
        <v>477</v>
      </c>
    </row>
    <row r="40" spans="2:10" x14ac:dyDescent="0.2">
      <c r="B40" s="186" t="s">
        <v>479</v>
      </c>
    </row>
    <row r="41" spans="2:10" x14ac:dyDescent="0.2">
      <c r="B41" s="186"/>
    </row>
    <row r="42" spans="2:10" x14ac:dyDescent="0.2">
      <c r="B42" s="186" t="s">
        <v>467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215</v>
      </c>
      <c r="I2" s="17" t="s">
        <v>6</v>
      </c>
      <c r="J2" s="42" t="s">
        <v>226</v>
      </c>
      <c r="K2" s="18" t="s">
        <v>210</v>
      </c>
      <c r="L2" s="18" t="s">
        <v>214</v>
      </c>
      <c r="M2" s="18" t="s">
        <v>211</v>
      </c>
      <c r="N2" s="18" t="s">
        <v>212</v>
      </c>
      <c r="O2" s="19" t="s">
        <v>213</v>
      </c>
      <c r="P2" s="47" t="s">
        <v>231</v>
      </c>
      <c r="Q2" s="49" t="s">
        <v>232</v>
      </c>
      <c r="R2" s="49" t="s">
        <v>233</v>
      </c>
      <c r="S2" s="19">
        <v>2025</v>
      </c>
      <c r="T2" s="47" t="s">
        <v>230</v>
      </c>
      <c r="U2" s="18">
        <v>2023</v>
      </c>
      <c r="V2" s="18">
        <v>2024</v>
      </c>
      <c r="W2" s="19">
        <v>2025</v>
      </c>
      <c r="X2" s="50" t="s">
        <v>216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317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259</v>
      </c>
      <c r="C5" s="82" t="s">
        <v>260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263</v>
      </c>
      <c r="C6" s="83" t="s">
        <v>264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255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[36]Main!$L$5-[36]Main!$L$6</f>
        <v>-2851</v>
      </c>
      <c r="G7" s="22">
        <f>E7-F7</f>
        <v>119466.20633988002</v>
      </c>
      <c r="H7" s="22">
        <f>+[36]Main!$L$3</f>
        <v>281.86987900000003</v>
      </c>
      <c r="I7" s="126" t="s">
        <v>202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[37]Main!$M$5-[37]Main!$M$6</f>
        <v>5469</v>
      </c>
      <c r="G8" s="22">
        <f>E8-F8</f>
        <v>68891</v>
      </c>
      <c r="H8" s="69">
        <f>[37]Main!$M$3</f>
        <v>1144</v>
      </c>
      <c r="I8" s="172" t="s">
        <v>384</v>
      </c>
      <c r="J8" s="43">
        <v>45069</v>
      </c>
    </row>
    <row r="9" spans="1:24" x14ac:dyDescent="0.2">
      <c r="A9" s="85"/>
      <c r="B9" s="85" t="s">
        <v>267</v>
      </c>
      <c r="C9" s="85" t="s">
        <v>268</v>
      </c>
    </row>
    <row r="10" spans="1:24" x14ac:dyDescent="0.2">
      <c r="A10" s="86"/>
      <c r="B10" s="86" t="s">
        <v>271</v>
      </c>
      <c r="C10" s="86" t="s">
        <v>272</v>
      </c>
    </row>
    <row r="11" spans="1:24" s="51" customFormat="1" x14ac:dyDescent="0.2">
      <c r="A11" s="89"/>
      <c r="B11" s="58" t="s">
        <v>245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273</v>
      </c>
      <c r="C12" s="89" t="s">
        <v>274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275</v>
      </c>
      <c r="C13" s="90" t="s">
        <v>276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291</v>
      </c>
      <c r="C14" s="96" t="s">
        <v>291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292</v>
      </c>
      <c r="C15" s="96" t="s">
        <v>293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296</v>
      </c>
      <c r="C16" s="101" t="s">
        <v>297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299</v>
      </c>
      <c r="C17" s="103" t="s">
        <v>300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309</v>
      </c>
      <c r="C18" s="106" t="s">
        <v>310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255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255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303</v>
      </c>
      <c r="C22" s="105" t="s">
        <v>304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255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255</v>
      </c>
      <c r="B24" s="177" t="s">
        <v>430</v>
      </c>
      <c r="C24" s="177" t="s">
        <v>431</v>
      </c>
    </row>
    <row r="25" spans="1:23" x14ac:dyDescent="0.2">
      <c r="A25" s="207" t="s">
        <v>255</v>
      </c>
      <c r="B25" s="177" t="s">
        <v>436</v>
      </c>
      <c r="C25" s="177" t="s">
        <v>437</v>
      </c>
    </row>
    <row r="26" spans="1:23" x14ac:dyDescent="0.2">
      <c r="A26" s="191" t="s">
        <v>255</v>
      </c>
      <c r="B26" s="191" t="s">
        <v>492</v>
      </c>
      <c r="C26" s="191" t="s">
        <v>493</v>
      </c>
    </row>
    <row r="27" spans="1:23" x14ac:dyDescent="0.2">
      <c r="A27" s="191" t="s">
        <v>255</v>
      </c>
      <c r="B27" s="191" t="s">
        <v>524</v>
      </c>
      <c r="C27" s="191" t="s">
        <v>525</v>
      </c>
    </row>
    <row r="28" spans="1:23" x14ac:dyDescent="0.2">
      <c r="A28" s="205" t="s">
        <v>255</v>
      </c>
      <c r="B28" s="205" t="s">
        <v>548</v>
      </c>
      <c r="C28" s="205" t="s">
        <v>549</v>
      </c>
    </row>
    <row r="29" spans="1:23" x14ac:dyDescent="0.2">
      <c r="A29" s="207" t="s">
        <v>255</v>
      </c>
      <c r="B29" s="207" t="s">
        <v>578</v>
      </c>
      <c r="C29" s="207" t="s">
        <v>579</v>
      </c>
    </row>
    <row r="30" spans="1:23" x14ac:dyDescent="0.2">
      <c r="A30" s="207" t="s">
        <v>255</v>
      </c>
      <c r="B30" s="207" t="s">
        <v>592</v>
      </c>
      <c r="C30" s="207" t="s">
        <v>593</v>
      </c>
    </row>
    <row r="31" spans="1:23" x14ac:dyDescent="0.2">
      <c r="A31" s="207" t="s">
        <v>255</v>
      </c>
      <c r="B31" s="207" t="s">
        <v>600</v>
      </c>
      <c r="C31" s="207" t="s">
        <v>601</v>
      </c>
    </row>
    <row r="32" spans="1:23" x14ac:dyDescent="0.2">
      <c r="A32" s="207" t="s">
        <v>255</v>
      </c>
      <c r="B32" s="207" t="s">
        <v>602</v>
      </c>
      <c r="C32" s="207" t="s">
        <v>603</v>
      </c>
    </row>
    <row r="33" spans="1:9" x14ac:dyDescent="0.2">
      <c r="A33" s="207" t="s">
        <v>255</v>
      </c>
      <c r="B33" s="207" t="s">
        <v>604</v>
      </c>
      <c r="C33" s="207" t="s">
        <v>605</v>
      </c>
    </row>
    <row r="34" spans="1:9" x14ac:dyDescent="0.2">
      <c r="A34" s="207" t="s">
        <v>255</v>
      </c>
      <c r="B34" s="207" t="s">
        <v>610</v>
      </c>
      <c r="C34" s="207" t="s">
        <v>611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244</v>
      </c>
      <c r="D39" s="60">
        <v>0</v>
      </c>
      <c r="E39" s="67">
        <v>75</v>
      </c>
    </row>
    <row r="40" spans="1:9" x14ac:dyDescent="0.2">
      <c r="B40" s="61" t="s">
        <v>246</v>
      </c>
      <c r="D40" s="60">
        <v>0</v>
      </c>
    </row>
    <row r="41" spans="1:9" x14ac:dyDescent="0.2">
      <c r="B41" s="91" t="s">
        <v>277</v>
      </c>
      <c r="E41" s="67">
        <v>424</v>
      </c>
    </row>
    <row r="42" spans="1:9" x14ac:dyDescent="0.2">
      <c r="B42" s="91" t="s">
        <v>279</v>
      </c>
      <c r="E42" s="67">
        <v>159.5</v>
      </c>
    </row>
    <row r="43" spans="1:9" x14ac:dyDescent="0.2">
      <c r="B43" s="158" t="s">
        <v>405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215</v>
      </c>
      <c r="I2" s="198" t="s">
        <v>6</v>
      </c>
      <c r="J2" s="198" t="s">
        <v>226</v>
      </c>
      <c r="K2" s="199" t="s">
        <v>210</v>
      </c>
      <c r="L2" s="199" t="s">
        <v>214</v>
      </c>
      <c r="M2" s="199" t="s">
        <v>211</v>
      </c>
      <c r="N2" s="199" t="s">
        <v>212</v>
      </c>
      <c r="O2" s="200" t="s">
        <v>213</v>
      </c>
      <c r="P2" s="201" t="s">
        <v>231</v>
      </c>
      <c r="Q2" s="202" t="s">
        <v>232</v>
      </c>
      <c r="R2" s="202" t="s">
        <v>233</v>
      </c>
      <c r="S2" s="200">
        <v>2025</v>
      </c>
      <c r="T2" s="201" t="s">
        <v>230</v>
      </c>
      <c r="U2" s="199">
        <v>2023</v>
      </c>
      <c r="V2" s="199">
        <v>2024</v>
      </c>
      <c r="W2" s="200">
        <v>2025</v>
      </c>
      <c r="X2" s="191" t="s">
        <v>216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255</v>
      </c>
      <c r="B4" s="193" t="s">
        <v>536</v>
      </c>
      <c r="C4" s="191" t="s">
        <v>537</v>
      </c>
      <c r="D4" s="203"/>
      <c r="E4" s="204"/>
    </row>
    <row r="5" spans="1:24" x14ac:dyDescent="0.2">
      <c r="A5" s="191" t="s">
        <v>255</v>
      </c>
      <c r="B5" s="156" t="s">
        <v>396</v>
      </c>
      <c r="C5" s="191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215</v>
      </c>
      <c r="I2" s="76" t="s">
        <v>6</v>
      </c>
      <c r="J2" s="76" t="s">
        <v>226</v>
      </c>
      <c r="K2" s="77" t="s">
        <v>210</v>
      </c>
      <c r="L2" s="77" t="s">
        <v>214</v>
      </c>
      <c r="M2" s="77" t="s">
        <v>211</v>
      </c>
      <c r="N2" s="77" t="s">
        <v>212</v>
      </c>
      <c r="O2" s="78" t="s">
        <v>213</v>
      </c>
      <c r="P2" s="79" t="s">
        <v>231</v>
      </c>
      <c r="Q2" s="80" t="s">
        <v>232</v>
      </c>
      <c r="R2" s="80" t="s">
        <v>233</v>
      </c>
      <c r="S2" s="78">
        <v>2025</v>
      </c>
      <c r="T2" s="79" t="s">
        <v>230</v>
      </c>
      <c r="U2" s="77">
        <v>2023</v>
      </c>
      <c r="V2" s="77">
        <v>2024</v>
      </c>
      <c r="W2" s="78">
        <v>2025</v>
      </c>
      <c r="X2" s="71" t="s">
        <v>216</v>
      </c>
    </row>
    <row r="3" spans="1:24" x14ac:dyDescent="0.2">
      <c r="A3" s="212" t="s">
        <v>255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618</v>
      </c>
      <c r="J3" s="66">
        <v>45506</v>
      </c>
    </row>
    <row r="4" spans="1:24" s="20" customFormat="1" x14ac:dyDescent="0.2">
      <c r="A4" s="212" t="s">
        <v>255</v>
      </c>
      <c r="B4" s="5" t="s">
        <v>17</v>
      </c>
      <c r="C4" s="20" t="s">
        <v>18</v>
      </c>
      <c r="D4" s="21">
        <v>115.9</v>
      </c>
      <c r="E4" s="22">
        <f>D4*[38]Main!$L$3</f>
        <v>310046.98749999999</v>
      </c>
      <c r="F4" s="22" cm="1">
        <f t="array" ref="F4">([38]Main!$L$5-[38]Main!$L$6)/RMB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255</v>
      </c>
      <c r="B5" s="5" t="s">
        <v>17</v>
      </c>
      <c r="C5" s="1" t="s">
        <v>18</v>
      </c>
      <c r="D5" s="2">
        <v>115.9</v>
      </c>
      <c r="E5" s="3">
        <f>D5*[38]Main!$L$3</f>
        <v>310046.98749999999</v>
      </c>
      <c r="F5" s="3" cm="1">
        <f t="array" ref="F5">([38]Main!$L$5-[38]Main!$L$6)/RMB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256</v>
      </c>
      <c r="C7" s="81" t="s">
        <v>257</v>
      </c>
    </row>
    <row r="8" spans="1:24" x14ac:dyDescent="0.2">
      <c r="A8" s="212" t="s">
        <v>255</v>
      </c>
      <c r="B8" s="11" t="s">
        <v>200</v>
      </c>
      <c r="C8" s="11" t="s">
        <v>201</v>
      </c>
    </row>
    <row r="9" spans="1:24" x14ac:dyDescent="0.2">
      <c r="A9" s="212" t="s">
        <v>255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+[39]Main!$L$5-[39]Main!$L$6</f>
        <v>7643.4470000000001</v>
      </c>
      <c r="G9" s="22">
        <f>E9-F9</f>
        <v>66071.040644859997</v>
      </c>
      <c r="H9" s="51">
        <f>+[39]Main!$L$3</f>
        <v>633.17718300000001</v>
      </c>
      <c r="I9" s="144" t="s">
        <v>353</v>
      </c>
      <c r="J9" s="66">
        <v>44971</v>
      </c>
    </row>
    <row r="10" spans="1:24" x14ac:dyDescent="0.2">
      <c r="A10" s="212" t="s">
        <v>255</v>
      </c>
      <c r="B10" s="11" t="s">
        <v>198</v>
      </c>
      <c r="C10" s="11" t="s">
        <v>199</v>
      </c>
    </row>
    <row r="11" spans="1:24" x14ac:dyDescent="0.2">
      <c r="A11" s="95"/>
      <c r="B11" s="95" t="s">
        <v>287</v>
      </c>
      <c r="C11" s="95" t="s">
        <v>288</v>
      </c>
    </row>
    <row r="12" spans="1:24" x14ac:dyDescent="0.2">
      <c r="A12" s="212" t="s">
        <v>255</v>
      </c>
      <c r="B12" s="10" t="s">
        <v>42</v>
      </c>
      <c r="C12" s="10" t="s">
        <v>43</v>
      </c>
    </row>
    <row r="13" spans="1:24" s="20" customFormat="1" x14ac:dyDescent="0.2">
      <c r="A13" s="191" t="s">
        <v>255</v>
      </c>
      <c r="B13" s="5" t="s">
        <v>36</v>
      </c>
      <c r="C13" s="20" t="s">
        <v>37</v>
      </c>
      <c r="D13" s="21">
        <v>36.71</v>
      </c>
      <c r="E13" s="22">
        <f>+D13*[40]Main!$M$3</f>
        <v>46254.6</v>
      </c>
      <c r="F13" s="22">
        <f>+[40]Main!$M$5-[40]Main!$M$6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289</v>
      </c>
      <c r="C14" s="95" t="s">
        <v>290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305</v>
      </c>
      <c r="C16" s="105" t="s">
        <v>306</v>
      </c>
    </row>
    <row r="17" spans="1:23" x14ac:dyDescent="0.2">
      <c r="A17" s="105"/>
      <c r="B17" s="105" t="s">
        <v>307</v>
      </c>
      <c r="C17" s="105" t="s">
        <v>308</v>
      </c>
    </row>
    <row r="18" spans="1:23" x14ac:dyDescent="0.2">
      <c r="A18" s="107"/>
      <c r="B18" s="107" t="s">
        <v>311</v>
      </c>
      <c r="C18" s="107" t="s">
        <v>312</v>
      </c>
    </row>
    <row r="19" spans="1:23" x14ac:dyDescent="0.2">
      <c r="A19" s="108"/>
      <c r="B19" s="108" t="s">
        <v>313</v>
      </c>
      <c r="C19" s="108" t="s">
        <v>314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381</v>
      </c>
      <c r="C24" s="139" t="s">
        <v>382</v>
      </c>
      <c r="D24" s="10">
        <v>8.86</v>
      </c>
      <c r="E24" s="51">
        <f>+D24*H24</f>
        <v>963.51364147999993</v>
      </c>
      <c r="F24" s="51">
        <f>+[41]Main!$K$5-[41]Main!$K$6</f>
        <v>-1163.2909999999999</v>
      </c>
      <c r="G24" s="51">
        <f>+E24-F24</f>
        <v>2126.8046414800001</v>
      </c>
      <c r="H24" s="51">
        <f>+[41]Main!$K$3</f>
        <v>108.748718</v>
      </c>
      <c r="I24" s="143" t="s">
        <v>353</v>
      </c>
      <c r="J24" s="66">
        <v>44965</v>
      </c>
    </row>
    <row r="25" spans="1:23" x14ac:dyDescent="0.2">
      <c r="B25" s="142" t="s">
        <v>383</v>
      </c>
    </row>
    <row r="26" spans="1:23" x14ac:dyDescent="0.2">
      <c r="B26" s="191" t="s">
        <v>515</v>
      </c>
      <c r="C26" s="191" t="s">
        <v>516</v>
      </c>
    </row>
    <row r="27" spans="1:23" x14ac:dyDescent="0.2">
      <c r="B27" s="207" t="s">
        <v>558</v>
      </c>
      <c r="C27" s="207" t="s">
        <v>559</v>
      </c>
    </row>
    <row r="28" spans="1:23" x14ac:dyDescent="0.2">
      <c r="B28" s="207" t="s">
        <v>566</v>
      </c>
      <c r="C28" s="207" t="s">
        <v>567</v>
      </c>
    </row>
    <row r="29" spans="1:23" x14ac:dyDescent="0.2">
      <c r="B29" s="213" t="s">
        <v>620</v>
      </c>
      <c r="C29" s="213" t="s">
        <v>619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456</v>
      </c>
      <c r="L35" s="184" t="s">
        <v>457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255</v>
      </c>
      <c r="B3" s="10" t="s">
        <v>151</v>
      </c>
      <c r="C3" s="10" t="s">
        <v>152</v>
      </c>
    </row>
    <row r="4" spans="1:8" x14ac:dyDescent="0.2">
      <c r="A4" s="191" t="s">
        <v>255</v>
      </c>
      <c r="B4" s="10" t="s">
        <v>156</v>
      </c>
      <c r="C4" s="10" t="s">
        <v>155</v>
      </c>
    </row>
    <row r="5" spans="1:8" x14ac:dyDescent="0.2">
      <c r="A5" s="191" t="s">
        <v>255</v>
      </c>
      <c r="B5" s="10" t="s">
        <v>153</v>
      </c>
      <c r="C5" s="10" t="s">
        <v>154</v>
      </c>
    </row>
    <row r="6" spans="1:8" x14ac:dyDescent="0.2">
      <c r="A6" s="98"/>
      <c r="B6" s="98" t="s">
        <v>294</v>
      </c>
      <c r="C6" s="98" t="s">
        <v>295</v>
      </c>
    </row>
    <row r="7" spans="1:8" x14ac:dyDescent="0.2">
      <c r="A7" s="191" t="s">
        <v>255</v>
      </c>
      <c r="B7" s="20" t="s">
        <v>183</v>
      </c>
      <c r="C7" s="20" t="s">
        <v>184</v>
      </c>
      <c r="D7" s="21">
        <v>181.71</v>
      </c>
      <c r="E7" s="22">
        <v>25220</v>
      </c>
    </row>
    <row r="8" spans="1:8" s="1" customFormat="1" x14ac:dyDescent="0.2">
      <c r="A8" s="1" t="s">
        <v>255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255</v>
      </c>
      <c r="B9" s="10" t="s">
        <v>191</v>
      </c>
      <c r="C9" s="10" t="s">
        <v>192</v>
      </c>
    </row>
    <row r="10" spans="1:8" x14ac:dyDescent="0.2">
      <c r="A10" s="191" t="s">
        <v>255</v>
      </c>
      <c r="B10" s="177" t="s">
        <v>438</v>
      </c>
      <c r="C10" s="177" t="s">
        <v>439</v>
      </c>
    </row>
    <row r="11" spans="1:8" x14ac:dyDescent="0.2">
      <c r="A11" s="191" t="s">
        <v>255</v>
      </c>
      <c r="B11" s="191" t="s">
        <v>94</v>
      </c>
      <c r="C11" s="191" t="s">
        <v>95</v>
      </c>
    </row>
    <row r="12" spans="1:8" x14ac:dyDescent="0.2">
      <c r="A12" s="191" t="s">
        <v>255</v>
      </c>
      <c r="B12" s="191" t="s">
        <v>509</v>
      </c>
      <c r="C12" s="191" t="s">
        <v>510</v>
      </c>
    </row>
    <row r="13" spans="1:8" x14ac:dyDescent="0.2">
      <c r="A13" s="191" t="s">
        <v>255</v>
      </c>
      <c r="B13" s="191" t="s">
        <v>538</v>
      </c>
      <c r="C13" s="191" t="s">
        <v>539</v>
      </c>
    </row>
    <row r="14" spans="1:8" x14ac:dyDescent="0.2">
      <c r="A14" s="191" t="s">
        <v>255</v>
      </c>
      <c r="B14" s="191" t="s">
        <v>544</v>
      </c>
      <c r="C14" s="191" t="s">
        <v>545</v>
      </c>
    </row>
    <row r="15" spans="1:8" x14ac:dyDescent="0.2">
      <c r="A15" s="207" t="s">
        <v>255</v>
      </c>
      <c r="B15" s="207" t="s">
        <v>562</v>
      </c>
      <c r="C15" s="207" t="s">
        <v>563</v>
      </c>
    </row>
    <row r="16" spans="1:8" x14ac:dyDescent="0.2">
      <c r="A16" s="207" t="s">
        <v>255</v>
      </c>
      <c r="B16" s="207" t="s">
        <v>576</v>
      </c>
      <c r="C16" s="207" t="s">
        <v>577</v>
      </c>
    </row>
    <row r="17" spans="1:3" x14ac:dyDescent="0.2">
      <c r="A17" s="207" t="s">
        <v>255</v>
      </c>
      <c r="B17" s="207" t="s">
        <v>606</v>
      </c>
      <c r="C17" s="207" t="s">
        <v>607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209</v>
      </c>
      <c r="C4" s="45">
        <v>1.01</v>
      </c>
    </row>
    <row r="5" spans="1:3" x14ac:dyDescent="0.2">
      <c r="B5" s="45" t="s">
        <v>227</v>
      </c>
      <c r="C5" s="45">
        <v>10.3437</v>
      </c>
    </row>
    <row r="6" spans="1:3" x14ac:dyDescent="0.2">
      <c r="B6" s="46" t="s">
        <v>235</v>
      </c>
      <c r="C6" s="45">
        <v>136.93</v>
      </c>
    </row>
    <row r="7" spans="1:3" x14ac:dyDescent="0.2">
      <c r="B7" s="46" t="s">
        <v>236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205</v>
      </c>
      <c r="E2" s="46" t="s">
        <v>216</v>
      </c>
      <c r="F2" s="46" t="s">
        <v>238</v>
      </c>
      <c r="G2" s="52" t="s">
        <v>242</v>
      </c>
    </row>
    <row r="3" spans="1:7" x14ac:dyDescent="0.2">
      <c r="B3" s="8" t="s">
        <v>33</v>
      </c>
      <c r="C3" s="7">
        <v>100000</v>
      </c>
      <c r="D3" s="12" t="s">
        <v>206</v>
      </c>
    </row>
    <row r="4" spans="1:7" x14ac:dyDescent="0.2">
      <c r="B4" s="6" t="s">
        <v>86</v>
      </c>
      <c r="C4" s="7">
        <v>15000</v>
      </c>
      <c r="D4" s="12" t="s">
        <v>206</v>
      </c>
    </row>
    <row r="5" spans="1:7" x14ac:dyDescent="0.2">
      <c r="B5" s="6" t="s">
        <v>120</v>
      </c>
      <c r="C5" s="7">
        <v>8000</v>
      </c>
      <c r="D5" s="12" t="s">
        <v>207</v>
      </c>
    </row>
    <row r="6" spans="1:7" x14ac:dyDescent="0.2">
      <c r="B6" s="6" t="s">
        <v>140</v>
      </c>
      <c r="D6" s="12" t="s">
        <v>208</v>
      </c>
    </row>
    <row r="7" spans="1:7" x14ac:dyDescent="0.2">
      <c r="B7" s="6" t="s">
        <v>141</v>
      </c>
      <c r="D7" s="12" t="s">
        <v>208</v>
      </c>
    </row>
    <row r="8" spans="1:7" x14ac:dyDescent="0.2">
      <c r="B8" s="12" t="s">
        <v>203</v>
      </c>
      <c r="D8" s="12" t="s">
        <v>204</v>
      </c>
    </row>
    <row r="9" spans="1:7" x14ac:dyDescent="0.2">
      <c r="B9" s="46" t="s">
        <v>237</v>
      </c>
      <c r="D9" s="46" t="s">
        <v>206</v>
      </c>
      <c r="E9" s="6">
        <v>2021</v>
      </c>
      <c r="F9" s="46" t="s">
        <v>239</v>
      </c>
      <c r="G9" s="52" t="s">
        <v>243</v>
      </c>
    </row>
    <row r="10" spans="1:7" x14ac:dyDescent="0.2">
      <c r="B10" s="52" t="s">
        <v>240</v>
      </c>
      <c r="D10" s="52" t="s">
        <v>241</v>
      </c>
      <c r="E10" s="6">
        <v>2021</v>
      </c>
      <c r="G10" s="52" t="s">
        <v>243</v>
      </c>
    </row>
    <row r="11" spans="1:7" x14ac:dyDescent="0.2">
      <c r="B11" s="155" t="s">
        <v>393</v>
      </c>
      <c r="D11" s="155" t="s">
        <v>394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2024-09-17T16:03:58Z</dcterms:modified>
  <cp:category/>
  <cp:contentStatus/>
</cp:coreProperties>
</file>