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CAC2534-729E-4155-BC44-75517CE5ED44}" xr6:coauthVersionLast="47" xr6:coauthVersionMax="47" xr10:uidLastSave="{00000000-0000-0000-0000-000000000000}"/>
  <bookViews>
    <workbookView xWindow="24030" yWindow="210" windowWidth="27060" windowHeight="20445" xr2:uid="{A54D3B08-E225-4A58-B8D9-88B8FEFFB13D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K6" i="1"/>
  <c r="K5" i="1"/>
  <c r="K4" i="1"/>
  <c r="K24" i="2"/>
  <c r="L23" i="2"/>
  <c r="K23" i="2"/>
  <c r="G24" i="2"/>
  <c r="H20" i="2"/>
  <c r="H18" i="2"/>
  <c r="G18" i="2"/>
  <c r="G19" i="2" s="1"/>
  <c r="G21" i="2" s="1"/>
  <c r="G17" i="2"/>
  <c r="G16" i="2"/>
  <c r="H14" i="2"/>
  <c r="H15" i="2"/>
  <c r="H13" i="2"/>
  <c r="G13" i="2"/>
  <c r="H12" i="2"/>
  <c r="H11" i="2"/>
  <c r="L20" i="2"/>
  <c r="K18" i="2"/>
  <c r="K21" i="2"/>
  <c r="K19" i="2"/>
  <c r="L18" i="2"/>
  <c r="K17" i="2"/>
  <c r="K16" i="2"/>
  <c r="L14" i="2"/>
  <c r="L15" i="2"/>
  <c r="L12" i="2"/>
  <c r="L11" i="2"/>
  <c r="K13" i="2"/>
  <c r="L9" i="2"/>
  <c r="L8" i="2"/>
  <c r="L7" i="2"/>
  <c r="L6" i="2"/>
  <c r="L5" i="2"/>
  <c r="L4" i="2"/>
  <c r="L43" i="2"/>
  <c r="L41" i="2"/>
  <c r="L40" i="2"/>
  <c r="L39" i="2"/>
  <c r="L33" i="2"/>
  <c r="L30" i="2"/>
  <c r="L27" i="2"/>
  <c r="L29" i="2"/>
  <c r="H16" i="2"/>
  <c r="L16" i="2"/>
  <c r="L13" i="2"/>
  <c r="L17" i="2" l="1"/>
  <c r="L19" i="2" s="1"/>
  <c r="L21" i="2" s="1"/>
  <c r="H17" i="2"/>
  <c r="H19" i="2" s="1"/>
  <c r="H21" i="2" s="1"/>
  <c r="L45" i="2"/>
  <c r="L35" i="2"/>
  <c r="L24" i="2"/>
  <c r="H24" i="2"/>
</calcChain>
</file>

<file path=xl/sharedStrings.xml><?xml version="1.0" encoding="utf-8"?>
<sst xmlns="http://schemas.openxmlformats.org/spreadsheetml/2006/main" count="62" uniqueCount="58">
  <si>
    <t>Price JPY</t>
  </si>
  <si>
    <t>Shares</t>
  </si>
  <si>
    <t>MC JPY</t>
  </si>
  <si>
    <t>Cash JPY</t>
  </si>
  <si>
    <t>Debt JPY</t>
  </si>
  <si>
    <t>EV JPY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</si>
  <si>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</si>
  <si>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</si>
  <si>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</si>
  <si>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</si>
  <si>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</si>
  <si>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</si>
  <si>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</si>
  <si>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</si>
  <si>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</si>
  <si>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</si>
  <si>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</si>
  <si>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</si>
  <si>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</si>
  <si>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</si>
  <si>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COGS</t>
  </si>
  <si>
    <t>Gross Profit</t>
  </si>
  <si>
    <t>SG&amp;A</t>
  </si>
  <si>
    <t>R&amp;D</t>
  </si>
  <si>
    <t>OpEx</t>
  </si>
  <si>
    <t>OpInc</t>
  </si>
  <si>
    <t>Other</t>
  </si>
  <si>
    <t>Pretax</t>
  </si>
  <si>
    <t>Taxes</t>
  </si>
  <si>
    <t>Net Income</t>
  </si>
  <si>
    <t>Cash</t>
  </si>
  <si>
    <t>OCA</t>
  </si>
  <si>
    <t>Inventory</t>
  </si>
  <si>
    <t>AR</t>
  </si>
  <si>
    <t>Tax</t>
  </si>
  <si>
    <t>ONCA</t>
  </si>
  <si>
    <t>Assets</t>
  </si>
  <si>
    <t>Goodwill</t>
  </si>
  <si>
    <t>PP&amp;E</t>
  </si>
  <si>
    <t>OCL</t>
  </si>
  <si>
    <t>S/E</t>
  </si>
  <si>
    <t>Debt</t>
  </si>
  <si>
    <t>Provisions</t>
  </si>
  <si>
    <t>AP</t>
  </si>
  <si>
    <t>ONCL</t>
  </si>
  <si>
    <t>L+SE</t>
  </si>
  <si>
    <t>Pension</t>
  </si>
  <si>
    <t>Revenue y/y</t>
  </si>
  <si>
    <t>Gross Margin</t>
  </si>
  <si>
    <t>Xtandi</t>
  </si>
  <si>
    <t>Padcev</t>
  </si>
  <si>
    <t>Xospata</t>
  </si>
  <si>
    <t>Evrenzo</t>
  </si>
  <si>
    <t>Prograf</t>
  </si>
  <si>
    <t>Betanis</t>
  </si>
  <si>
    <t>CEO: Kenji Yasukawa</t>
  </si>
  <si>
    <t>ASP3082</t>
  </si>
  <si>
    <t>KRAS G12D PROTAC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</si>
</sst>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25977</xdr:colOff>
      <xdr:row>0</xdr:row>
      <xdr:rowOff>64943</xdr:rowOff>
    </xdr:from>
    <xdr:to>
      <xdr:col>12</xdr:col>
      <xdr:colOff>25977</xdr:colOff>
      <xdr:row>49</xdr:row>
      <xdr:rowOff>108239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9BA3083-2871-715C-634B-1807AD7FEA07}"/>
            </a:ext>
          </a:extLst>
        </xdr:cNvPr>
        <xdr:cNvCxnSpPr/>
      </xdr:nvCxnSpPr>
      <xdr:spPr>
        <a:xfrm>
          <a:off x="7316932" y="64943"/>
          <a:ext cx="0" cy="66112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F844-253E-42C7-896B-9951B83D0D9E}">
  <dimension ref="B2:L12"/>
  <sheetViews>
    <sheetView tabSelected="1" zoomScale="205" zoomScaleNormal="205" workbookViewId="0">
      <selection activeCell="K7" sqref="K7"/>
    </sheetView>
  </sheetViews>
  <sheetFormatPr defaultRowHeight="12.75" x14ac:dyDescent="0.2"/>
  <sheetData>
    <row r="2" spans="2:12" x14ac:dyDescent="0.2">
      <c r="J2" t="s">
        <v>0</v>
      </c>
      <c r="K2" s="1">
        <v>2070</v>
      </c>
    </row>
    <row r="3" spans="2:12" x14ac:dyDescent="0.2">
      <c r="J3" t="s">
        <v>1</v>
      </c>
      <c r="K3" s="1">
        <v>1822.6130000000001</v>
      </c>
      <c r="L3" s="2" t="s">
        <v>18</v>
      </c>
    </row>
    <row r="4" spans="2:12" x14ac:dyDescent="0.2">
      <c r="J4" t="s">
        <v>2</v>
      </c>
      <c r="K4" s="1">
        <f>+K2*K3</f>
        <v>3772808.91</v>
      </c>
      <c r="L4" s="2"/>
    </row>
    <row r="5" spans="2:12" x14ac:dyDescent="0.2">
      <c r="J5" t="s">
        <v>3</v>
      </c>
      <c r="K5" s="1">
        <f>Model!L27</f>
        <v>495288</v>
      </c>
      <c r="L5" s="2" t="s">
        <v>18</v>
      </c>
    </row>
    <row r="6" spans="2:12" x14ac:dyDescent="0.2">
      <c r="J6" t="s">
        <v>4</v>
      </c>
      <c r="K6" s="1">
        <f>+Model!L39</f>
        <v>288002</v>
      </c>
      <c r="L6" s="2" t="s">
        <v>18</v>
      </c>
    </row>
    <row r="7" spans="2:12" x14ac:dyDescent="0.2">
      <c r="J7" t="s">
        <v>5</v>
      </c>
      <c r="K7" s="1">
        <f>+K4-K5+K6</f>
        <v>3565522.91</v>
      </c>
    </row>
    <row r="10" spans="2:12" x14ac:dyDescent="0.2">
      <c r="J10" t="s">
        <v>55</v>
      </c>
    </row>
    <row r="12" spans="2:12" x14ac:dyDescent="0.2">
      <c r="B12" t="s">
        <v>56</v>
      </c>
      <c r="C12" t="s">
        <v>57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DD14-34D2-4EF9-B844-A3F2BC725485}">
  <dimension ref="A1:N45"/>
  <sheetViews>
    <sheetView zoomScale="220" zoomScaleNormal="220" workbookViewId="0">
      <pane xSplit="2" ySplit="3" topLeftCell="F25" activePane="bottomRight" state="frozen"/>
      <selection pane="topRight" activeCell="C1" sqref="C1"/>
      <selection pane="bottomLeft" activeCell="A3" sqref="A3"/>
      <selection pane="bottomRight" activeCell="K24" sqref="K24"/>
    </sheetView>
  </sheetViews>
  <sheetFormatPr defaultRowHeight="12.75" x14ac:dyDescent="0.2"/>
  <cols>
    <col min="1" max="1" width="5" bestFit="1" customWidth="1"/>
    <col min="2" max="2" width="12.28515625" customWidth="1"/>
    <col min="3" max="4" width="9.140625" style="2"/>
    <col min="5" max="5" width="10.140625" style="2" bestFit="1" customWidth="1"/>
    <col min="6" max="8" width="9.140625" style="2"/>
    <col min="9" max="9" width="10.140625" style="2" bestFit="1" customWidth="1"/>
    <col min="10" max="10" width="9.140625" style="2"/>
    <col min="13" max="13" width="10.140625" bestFit="1" customWidth="1"/>
  </cols>
  <sheetData>
    <row r="1" spans="1:14" x14ac:dyDescent="0.2">
      <c r="A1" t="s">
        <v>6</v>
      </c>
    </row>
    <row r="2" spans="1:14" x14ac:dyDescent="0.2">
      <c r="C2" s="3">
        <v>44012</v>
      </c>
      <c r="D2" s="3">
        <v>44104</v>
      </c>
      <c r="E2" s="3">
        <v>44196</v>
      </c>
      <c r="F2" s="3">
        <v>44286</v>
      </c>
      <c r="G2" s="3">
        <v>44377</v>
      </c>
      <c r="H2" s="3">
        <v>44469</v>
      </c>
      <c r="I2" s="3">
        <v>44561</v>
      </c>
      <c r="J2" s="3">
        <v>44651</v>
      </c>
      <c r="K2" s="4">
        <v>44742</v>
      </c>
      <c r="L2" s="4">
        <v>44834</v>
      </c>
      <c r="M2" s="4">
        <v>44926</v>
      </c>
      <c r="N2" s="4">
        <v>45016</v>
      </c>
    </row>
    <row r="3" spans="1:14" x14ac:dyDescent="0.2"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</row>
    <row r="4" spans="1:14" s="1" customFormat="1" x14ac:dyDescent="0.2">
      <c r="B4" s="1" t="s">
        <v>49</v>
      </c>
      <c r="C4" s="5"/>
      <c r="D4" s="5"/>
      <c r="E4" s="5"/>
      <c r="F4" s="5"/>
      <c r="G4" s="5"/>
      <c r="H4" s="5"/>
      <c r="I4" s="5"/>
      <c r="J4" s="5"/>
      <c r="K4" s="5">
        <v>162400</v>
      </c>
      <c r="L4" s="5">
        <f>332000-K4</f>
        <v>169600</v>
      </c>
      <c r="M4" s="5"/>
      <c r="N4" s="5"/>
    </row>
    <row r="5" spans="1:14" s="1" customFormat="1" x14ac:dyDescent="0.2">
      <c r="B5" s="1" t="s">
        <v>50</v>
      </c>
      <c r="C5" s="5"/>
      <c r="D5" s="5"/>
      <c r="E5" s="5"/>
      <c r="F5" s="5"/>
      <c r="G5" s="5"/>
      <c r="H5" s="5"/>
      <c r="I5" s="5"/>
      <c r="J5" s="5"/>
      <c r="K5" s="5">
        <v>10600</v>
      </c>
      <c r="L5" s="5">
        <f>20800-K5</f>
        <v>10200</v>
      </c>
      <c r="M5" s="5"/>
      <c r="N5" s="5"/>
    </row>
    <row r="6" spans="1:14" s="1" customFormat="1" x14ac:dyDescent="0.2">
      <c r="B6" s="1" t="s">
        <v>51</v>
      </c>
      <c r="C6" s="5"/>
      <c r="D6" s="5"/>
      <c r="E6" s="5"/>
      <c r="F6" s="5"/>
      <c r="G6" s="5"/>
      <c r="H6" s="5"/>
      <c r="I6" s="5"/>
      <c r="J6" s="5"/>
      <c r="K6" s="5">
        <v>10500</v>
      </c>
      <c r="L6" s="5">
        <f>23500-K6</f>
        <v>13000</v>
      </c>
      <c r="M6" s="5"/>
      <c r="N6" s="5"/>
    </row>
    <row r="7" spans="1:14" s="1" customFormat="1" x14ac:dyDescent="0.2">
      <c r="B7" s="1" t="s">
        <v>52</v>
      </c>
      <c r="C7" s="5"/>
      <c r="D7" s="5"/>
      <c r="E7" s="5"/>
      <c r="F7" s="5"/>
      <c r="G7" s="5"/>
      <c r="H7" s="5"/>
      <c r="I7" s="5"/>
      <c r="J7" s="5"/>
      <c r="K7" s="5">
        <v>700</v>
      </c>
      <c r="L7" s="5">
        <f>1500-K7</f>
        <v>800</v>
      </c>
      <c r="M7" s="5"/>
      <c r="N7" s="5"/>
    </row>
    <row r="8" spans="1:14" s="1" customFormat="1" x14ac:dyDescent="0.2">
      <c r="B8" s="1" t="s">
        <v>53</v>
      </c>
      <c r="C8" s="5"/>
      <c r="D8" s="5"/>
      <c r="E8" s="5"/>
      <c r="F8" s="5"/>
      <c r="G8" s="5"/>
      <c r="H8" s="5"/>
      <c r="I8" s="5"/>
      <c r="J8" s="5"/>
      <c r="K8" s="5">
        <v>47900</v>
      </c>
      <c r="L8" s="5">
        <f>100400-K8</f>
        <v>52500</v>
      </c>
      <c r="M8" s="5"/>
      <c r="N8" s="5"/>
    </row>
    <row r="9" spans="1:14" s="1" customFormat="1" x14ac:dyDescent="0.2">
      <c r="B9" s="1" t="s">
        <v>54</v>
      </c>
      <c r="C9" s="5"/>
      <c r="D9" s="5"/>
      <c r="E9" s="5"/>
      <c r="F9" s="5"/>
      <c r="G9" s="5"/>
      <c r="H9" s="5"/>
      <c r="I9" s="5"/>
      <c r="J9" s="5"/>
      <c r="K9" s="5">
        <v>51800</v>
      </c>
      <c r="L9" s="5">
        <f>93400-K9</f>
        <v>41600</v>
      </c>
      <c r="M9" s="5"/>
      <c r="N9" s="5"/>
    </row>
    <row r="10" spans="1:14" x14ac:dyDescent="0.2">
      <c r="K10" s="2"/>
      <c r="L10" s="2"/>
      <c r="M10" s="2"/>
      <c r="N10" s="2"/>
    </row>
    <row r="11" spans="1:14" s="1" customFormat="1" x14ac:dyDescent="0.2">
      <c r="B11" s="1" t="s">
        <v>7</v>
      </c>
      <c r="C11" s="5"/>
      <c r="D11" s="5"/>
      <c r="E11" s="5"/>
      <c r="F11" s="5"/>
      <c r="G11" s="1">
        <v>326143</v>
      </c>
      <c r="H11" s="1">
        <f>651666-G11</f>
        <v>325523</v>
      </c>
      <c r="I11" s="5"/>
      <c r="J11" s="5"/>
      <c r="K11" s="1">
        <v>381791</v>
      </c>
      <c r="L11" s="1">
        <f>762185-K11</f>
        <v>380394</v>
      </c>
    </row>
    <row r="12" spans="1:14" s="1" customFormat="1" x14ac:dyDescent="0.2">
      <c r="B12" s="1" t="s">
        <v>20</v>
      </c>
      <c r="C12" s="5"/>
      <c r="D12" s="5"/>
      <c r="E12" s="5"/>
      <c r="F12" s="5"/>
      <c r="G12" s="1">
        <v>62231</v>
      </c>
      <c r="H12" s="1">
        <f>124736-G12</f>
        <v>62505</v>
      </c>
      <c r="I12" s="5"/>
      <c r="J12" s="5"/>
      <c r="K12" s="1">
        <v>88870</v>
      </c>
      <c r="L12" s="1">
        <f>151651-K12</f>
        <v>62781</v>
      </c>
    </row>
    <row r="13" spans="1:14" s="1" customFormat="1" x14ac:dyDescent="0.2">
      <c r="B13" s="1" t="s">
        <v>21</v>
      </c>
      <c r="C13" s="5"/>
      <c r="D13" s="5"/>
      <c r="E13" s="5"/>
      <c r="F13" s="5"/>
      <c r="G13" s="1">
        <f>+G11-G12</f>
        <v>263912</v>
      </c>
      <c r="H13" s="1">
        <f>+H11-H12</f>
        <v>263018</v>
      </c>
      <c r="I13" s="5"/>
      <c r="J13" s="5"/>
      <c r="K13" s="1">
        <f>+K11-K12</f>
        <v>292921</v>
      </c>
      <c r="L13" s="1">
        <f>+L11-L12</f>
        <v>317613</v>
      </c>
    </row>
    <row r="14" spans="1:14" s="1" customFormat="1" x14ac:dyDescent="0.2">
      <c r="B14" s="1" t="s">
        <v>22</v>
      </c>
      <c r="C14" s="5"/>
      <c r="D14" s="5"/>
      <c r="E14" s="5"/>
      <c r="F14" s="5"/>
      <c r="G14" s="1">
        <v>137109</v>
      </c>
      <c r="H14" s="1">
        <f>270506-G14</f>
        <v>133397</v>
      </c>
      <c r="I14" s="5"/>
      <c r="J14" s="5"/>
      <c r="K14" s="1">
        <v>153396</v>
      </c>
      <c r="L14" s="1">
        <f>307956-K14</f>
        <v>154560</v>
      </c>
    </row>
    <row r="15" spans="1:14" s="1" customFormat="1" x14ac:dyDescent="0.2">
      <c r="B15" s="1" t="s">
        <v>23</v>
      </c>
      <c r="C15" s="5"/>
      <c r="D15" s="5"/>
      <c r="E15" s="5"/>
      <c r="F15" s="5"/>
      <c r="G15" s="1">
        <v>58313</v>
      </c>
      <c r="H15" s="1">
        <f>119060-G15</f>
        <v>60747</v>
      </c>
      <c r="I15" s="5"/>
      <c r="J15" s="5"/>
      <c r="K15" s="1">
        <v>74007</v>
      </c>
      <c r="L15" s="1">
        <f>139177-K15</f>
        <v>65170</v>
      </c>
    </row>
    <row r="16" spans="1:14" s="1" customFormat="1" x14ac:dyDescent="0.2">
      <c r="B16" s="1" t="s">
        <v>24</v>
      </c>
      <c r="C16" s="5"/>
      <c r="D16" s="5"/>
      <c r="E16" s="5"/>
      <c r="F16" s="5"/>
      <c r="G16" s="1">
        <f>+G14+G15</f>
        <v>195422</v>
      </c>
      <c r="H16" s="1">
        <f>+H14+H15</f>
        <v>194144</v>
      </c>
      <c r="I16" s="5"/>
      <c r="J16" s="5"/>
      <c r="K16" s="1">
        <f t="shared" ref="K16" si="0">+K14+K15</f>
        <v>227403</v>
      </c>
      <c r="L16" s="1">
        <f>+L14+L15</f>
        <v>219730</v>
      </c>
    </row>
    <row r="17" spans="2:12" s="1" customFormat="1" x14ac:dyDescent="0.2">
      <c r="B17" s="1" t="s">
        <v>25</v>
      </c>
      <c r="C17" s="5"/>
      <c r="D17" s="5"/>
      <c r="E17" s="5"/>
      <c r="F17" s="5"/>
      <c r="G17" s="1">
        <f>+G13-G16</f>
        <v>68490</v>
      </c>
      <c r="H17" s="1">
        <f>+H13-H16</f>
        <v>68874</v>
      </c>
      <c r="I17" s="5"/>
      <c r="J17" s="5"/>
      <c r="K17" s="1">
        <f t="shared" ref="K17" si="1">+K13-K16</f>
        <v>65518</v>
      </c>
      <c r="L17" s="1">
        <f>+L13-L16</f>
        <v>97883</v>
      </c>
    </row>
    <row r="18" spans="2:12" s="1" customFormat="1" x14ac:dyDescent="0.2">
      <c r="B18" s="1" t="s">
        <v>26</v>
      </c>
      <c r="C18" s="5"/>
      <c r="D18" s="5"/>
      <c r="E18" s="5"/>
      <c r="F18" s="5"/>
      <c r="G18" s="5">
        <f>403-27133+1457-1717+292</f>
        <v>-26698</v>
      </c>
      <c r="H18" s="5">
        <f>2847-37972+1888-2972+308-G18</f>
        <v>-9203</v>
      </c>
      <c r="I18" s="5"/>
      <c r="J18" s="5"/>
      <c r="K18" s="1">
        <f>350+16291-38436+927-2396</f>
        <v>-23264</v>
      </c>
      <c r="L18" s="5">
        <f>16250-41743+4493-3904+1779-K18</f>
        <v>139</v>
      </c>
    </row>
    <row r="19" spans="2:12" s="1" customFormat="1" x14ac:dyDescent="0.2">
      <c r="B19" s="1" t="s">
        <v>27</v>
      </c>
      <c r="C19" s="5"/>
      <c r="D19" s="5"/>
      <c r="E19" s="5"/>
      <c r="F19" s="5"/>
      <c r="G19" s="5">
        <f>+G17+G18</f>
        <v>41792</v>
      </c>
      <c r="H19" s="5">
        <f>+H17+H18</f>
        <v>59671</v>
      </c>
      <c r="I19" s="5"/>
      <c r="J19" s="5"/>
      <c r="K19" s="5">
        <f>+K17+K18</f>
        <v>42254</v>
      </c>
      <c r="L19" s="5">
        <f>+L17+L18</f>
        <v>98022</v>
      </c>
    </row>
    <row r="20" spans="2:12" s="1" customFormat="1" x14ac:dyDescent="0.2">
      <c r="B20" s="1" t="s">
        <v>28</v>
      </c>
      <c r="C20" s="5"/>
      <c r="D20" s="5"/>
      <c r="E20" s="5"/>
      <c r="F20" s="5"/>
      <c r="G20" s="5">
        <v>5144</v>
      </c>
      <c r="H20" s="5">
        <f>17476-G20</f>
        <v>12332</v>
      </c>
      <c r="I20" s="5"/>
      <c r="J20" s="5"/>
      <c r="K20" s="1">
        <v>6867</v>
      </c>
      <c r="L20" s="5">
        <f>24046-K20</f>
        <v>17179</v>
      </c>
    </row>
    <row r="21" spans="2:12" s="1" customFormat="1" x14ac:dyDescent="0.2">
      <c r="B21" s="1" t="s">
        <v>29</v>
      </c>
      <c r="C21" s="5"/>
      <c r="D21" s="5"/>
      <c r="E21" s="5"/>
      <c r="F21" s="5"/>
      <c r="G21" s="5">
        <f>+G19-G20</f>
        <v>36648</v>
      </c>
      <c r="H21" s="5">
        <f>+H19-H20</f>
        <v>47339</v>
      </c>
      <c r="I21" s="5"/>
      <c r="J21" s="5"/>
      <c r="K21" s="5">
        <f>+K19-K20</f>
        <v>35387</v>
      </c>
      <c r="L21" s="5">
        <f>+L19-L20</f>
        <v>80843</v>
      </c>
    </row>
    <row r="23" spans="2:12" x14ac:dyDescent="0.2">
      <c r="B23" s="1" t="s">
        <v>47</v>
      </c>
      <c r="K23" s="6">
        <f>+K11/G11-1</f>
        <v>0.17062454199538246</v>
      </c>
      <c r="L23" s="6">
        <f>+L11/H11-1</f>
        <v>0.1685625900474006</v>
      </c>
    </row>
    <row r="24" spans="2:12" x14ac:dyDescent="0.2">
      <c r="B24" s="1" t="s">
        <v>48</v>
      </c>
      <c r="G24" s="6">
        <f>+G13/G11</f>
        <v>0.8091910603630923</v>
      </c>
      <c r="H24" s="6">
        <f>+H13/H11</f>
        <v>0.8079859180457295</v>
      </c>
      <c r="K24" s="6">
        <f>+K13/K11</f>
        <v>0.76722866699319781</v>
      </c>
      <c r="L24" s="6">
        <f>+L13/L11</f>
        <v>0.83495796463666616</v>
      </c>
    </row>
    <row r="27" spans="2:12" s="1" customFormat="1" x14ac:dyDescent="0.2">
      <c r="B27" s="1" t="s">
        <v>30</v>
      </c>
      <c r="C27" s="5"/>
      <c r="D27" s="5"/>
      <c r="E27" s="5"/>
      <c r="F27" s="5"/>
      <c r="G27" s="5"/>
      <c r="H27" s="5"/>
      <c r="I27" s="5"/>
      <c r="J27" s="5"/>
      <c r="L27" s="1">
        <f>361073+31947+87952+14316</f>
        <v>495288</v>
      </c>
    </row>
    <row r="28" spans="2:12" s="1" customFormat="1" x14ac:dyDescent="0.2">
      <c r="B28" s="1" t="s">
        <v>31</v>
      </c>
      <c r="C28" s="5"/>
      <c r="D28" s="5"/>
      <c r="E28" s="5"/>
      <c r="F28" s="5"/>
      <c r="G28" s="5"/>
      <c r="H28" s="5"/>
      <c r="I28" s="5"/>
      <c r="J28" s="5"/>
      <c r="L28" s="1">
        <v>33981</v>
      </c>
    </row>
    <row r="29" spans="2:12" s="1" customFormat="1" x14ac:dyDescent="0.2">
      <c r="B29" s="1" t="s">
        <v>34</v>
      </c>
      <c r="C29" s="5"/>
      <c r="D29" s="5"/>
      <c r="E29" s="5"/>
      <c r="F29" s="5"/>
      <c r="G29" s="5"/>
      <c r="H29" s="5"/>
      <c r="I29" s="5"/>
      <c r="J29" s="5"/>
      <c r="L29" s="1">
        <f>11022+96461</f>
        <v>107483</v>
      </c>
    </row>
    <row r="30" spans="2:12" s="1" customFormat="1" x14ac:dyDescent="0.2">
      <c r="B30" s="1" t="s">
        <v>33</v>
      </c>
      <c r="C30" s="5"/>
      <c r="D30" s="5"/>
      <c r="E30" s="5"/>
      <c r="F30" s="5"/>
      <c r="G30" s="5"/>
      <c r="H30" s="5"/>
      <c r="I30" s="5"/>
      <c r="J30" s="5"/>
      <c r="L30" s="1">
        <f>452485+26688</f>
        <v>479173</v>
      </c>
    </row>
    <row r="31" spans="2:12" s="1" customFormat="1" x14ac:dyDescent="0.2">
      <c r="B31" s="1" t="s">
        <v>32</v>
      </c>
      <c r="C31" s="5"/>
      <c r="D31" s="5"/>
      <c r="E31" s="5"/>
      <c r="F31" s="5"/>
      <c r="G31" s="5"/>
      <c r="H31" s="5"/>
      <c r="I31" s="5"/>
      <c r="J31" s="5"/>
      <c r="L31" s="1">
        <v>168636</v>
      </c>
    </row>
    <row r="32" spans="2:12" s="1" customFormat="1" x14ac:dyDescent="0.2">
      <c r="B32" s="1" t="s">
        <v>35</v>
      </c>
      <c r="C32" s="5"/>
      <c r="D32" s="5"/>
      <c r="E32" s="5"/>
      <c r="F32" s="5"/>
      <c r="G32" s="5"/>
      <c r="H32" s="5"/>
      <c r="I32" s="5"/>
      <c r="J32" s="5"/>
      <c r="L32" s="1">
        <v>11823</v>
      </c>
    </row>
    <row r="33" spans="2:12" s="1" customFormat="1" x14ac:dyDescent="0.2">
      <c r="B33" s="1" t="s">
        <v>37</v>
      </c>
      <c r="C33" s="5"/>
      <c r="D33" s="5"/>
      <c r="E33" s="5"/>
      <c r="F33" s="5"/>
      <c r="G33" s="5"/>
      <c r="H33" s="5"/>
      <c r="I33" s="5"/>
      <c r="J33" s="5"/>
      <c r="L33" s="1">
        <f>653629+353095</f>
        <v>1006724</v>
      </c>
    </row>
    <row r="34" spans="2:12" s="1" customFormat="1" x14ac:dyDescent="0.2">
      <c r="B34" s="1" t="s">
        <v>38</v>
      </c>
      <c r="C34" s="5"/>
      <c r="D34" s="5"/>
      <c r="E34" s="5"/>
      <c r="F34" s="5"/>
      <c r="G34" s="5"/>
      <c r="H34" s="5"/>
      <c r="I34" s="5"/>
      <c r="J34" s="5"/>
      <c r="L34" s="1">
        <v>280552</v>
      </c>
    </row>
    <row r="35" spans="2:12" x14ac:dyDescent="0.2">
      <c r="B35" s="1" t="s">
        <v>36</v>
      </c>
      <c r="L35" s="1">
        <f>SUM(L27:L34)</f>
        <v>2583660</v>
      </c>
    </row>
    <row r="37" spans="2:12" x14ac:dyDescent="0.2">
      <c r="B37" s="1" t="s">
        <v>40</v>
      </c>
      <c r="L37" s="1">
        <v>1649518</v>
      </c>
    </row>
    <row r="38" spans="2:12" x14ac:dyDescent="0.2">
      <c r="B38" s="1" t="s">
        <v>39</v>
      </c>
      <c r="L38" s="1">
        <v>369011</v>
      </c>
    </row>
    <row r="39" spans="2:12" x14ac:dyDescent="0.2">
      <c r="B39" s="1" t="s">
        <v>41</v>
      </c>
      <c r="L39" s="1">
        <f>205611+82391</f>
        <v>288002</v>
      </c>
    </row>
    <row r="40" spans="2:12" x14ac:dyDescent="0.2">
      <c r="B40" s="1" t="s">
        <v>42</v>
      </c>
      <c r="L40" s="1">
        <f>14012+3653</f>
        <v>17665</v>
      </c>
    </row>
    <row r="41" spans="2:12" x14ac:dyDescent="0.2">
      <c r="B41" s="1" t="s">
        <v>28</v>
      </c>
      <c r="L41" s="1">
        <f>26246+6104</f>
        <v>32350</v>
      </c>
    </row>
    <row r="42" spans="2:12" x14ac:dyDescent="0.2">
      <c r="B42" s="1" t="s">
        <v>43</v>
      </c>
      <c r="L42" s="1">
        <v>146533</v>
      </c>
    </row>
    <row r="43" spans="2:12" x14ac:dyDescent="0.2">
      <c r="B43" s="1" t="s">
        <v>44</v>
      </c>
      <c r="L43" s="1">
        <f>38641+5023</f>
        <v>43664</v>
      </c>
    </row>
    <row r="44" spans="2:12" x14ac:dyDescent="0.2">
      <c r="B44" s="1" t="s">
        <v>46</v>
      </c>
      <c r="L44" s="1">
        <v>36918</v>
      </c>
    </row>
    <row r="45" spans="2:12" x14ac:dyDescent="0.2">
      <c r="B45" s="1" t="s">
        <v>45</v>
      </c>
      <c r="L45" s="1">
        <f>SUM(L37:L44)</f>
        <v>2583661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2022-11-05T12:41:04Z</dcterms:created>
  <dcterms:modified xsi:type="dcterms:W3CDTF">2022-11-05T13:12:20Z</dcterms:modified>
</cp:coreProperties>
</file>