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31B0093-5172-48F1-8076-32BBE718C2D8}" xr6:coauthVersionLast="47" xr6:coauthVersionMax="47" xr10:uidLastSave="{00000000-0000-0000-0000-000000000000}"/>
  <bookViews>
    <workbookView xWindow="-51720" yWindow="-120" windowWidth="51840" windowHeight="21120" activeTab="4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Tecentriq" sheetId="131" r:id="rId6"/>
    <sheet name="Diagnostics" sheetId="124" r:id="rId7"/>
    <sheet name="MabThera" sheetId="115" r:id="rId8"/>
    <sheet name="Avastin" sheetId="113" r:id="rId9"/>
    <sheet name="Avastin Model" sheetId="128" r:id="rId10"/>
    <sheet name="Polivy" sheetId="133" r:id="rId11"/>
    <sheet name="Herceptin" sheetId="118" r:id="rId12"/>
    <sheet name="Pegasys" sheetId="119" r:id="rId13"/>
    <sheet name="Xeloda" sheetId="127" r:id="rId14"/>
    <sheet name="Actemra" sheetId="112" r:id="rId15"/>
    <sheet name="Lucentis" sheetId="123" r:id="rId16"/>
    <sheet name="Perjeta" sheetId="117" r:id="rId17"/>
    <sheet name="Ocrevus" sheetId="126" r:id="rId18"/>
    <sheet name="Kadcyla" sheetId="130" r:id="rId19"/>
    <sheet name="Mircera" sheetId="102" r:id="rId20"/>
    <sheet name="Tarceva" sheetId="122" r:id="rId21"/>
    <sheet name="Failures" sheetId="125" r:id="rId22"/>
    <sheet name="dalcetrapib" sheetId="111" r:id="rId23"/>
    <sheet name="aleglitazar" sheetId="120" r:id="rId24"/>
    <sheet name="R1626" sheetId="114" r:id="rId25"/>
    <sheet name="taspoglutide" sheetId="11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U28" i="99" l="1"/>
  <c r="DU27" i="99"/>
  <c r="DU26" i="99"/>
  <c r="DU25" i="99"/>
  <c r="DU24" i="99"/>
  <c r="DU23" i="99"/>
  <c r="DU22" i="99"/>
  <c r="DU21" i="99"/>
  <c r="DU20" i="99"/>
  <c r="DU19" i="99"/>
  <c r="DU18" i="99"/>
  <c r="DU17" i="99"/>
  <c r="DU16" i="99"/>
  <c r="DU15" i="99"/>
  <c r="DU14" i="99"/>
  <c r="DU13" i="99"/>
  <c r="DU12" i="99"/>
  <c r="DU11" i="99"/>
  <c r="DU10" i="99"/>
  <c r="DU9" i="99"/>
  <c r="DU6" i="99"/>
  <c r="EZ6" i="99"/>
  <c r="EZ30" i="99"/>
  <c r="EZ29" i="99"/>
  <c r="EZ28" i="99"/>
  <c r="EZ27" i="99"/>
  <c r="EZ26" i="99"/>
  <c r="EZ25" i="99"/>
  <c r="EZ24" i="99"/>
  <c r="EZ23" i="99"/>
  <c r="EZ22" i="99"/>
  <c r="EZ21" i="99"/>
  <c r="EZ20" i="99"/>
  <c r="EZ19" i="99"/>
  <c r="EZ18" i="99"/>
  <c r="EZ17" i="99"/>
  <c r="EZ16" i="99"/>
  <c r="EZ15" i="99"/>
  <c r="EZ14" i="99"/>
  <c r="EZ13" i="99"/>
  <c r="EZ12" i="99"/>
  <c r="EZ11" i="99"/>
  <c r="EZ10" i="99"/>
  <c r="EZ9" i="99"/>
  <c r="DY3" i="99"/>
  <c r="DX3" i="99"/>
  <c r="DW3" i="99"/>
  <c r="DV3" i="99"/>
  <c r="DU3" i="99"/>
  <c r="DQ3" i="99"/>
  <c r="DP3" i="99"/>
  <c r="DO3" i="99"/>
  <c r="DN3" i="99"/>
  <c r="DT3" i="99"/>
  <c r="DS3" i="99"/>
  <c r="EZ62" i="99" l="1"/>
  <c r="EY100" i="99"/>
  <c r="EX72" i="99"/>
  <c r="EX70" i="99"/>
  <c r="EY72" i="99"/>
  <c r="EY70" i="99"/>
  <c r="EX61" i="99"/>
  <c r="EY61" i="99"/>
  <c r="EY15" i="99"/>
  <c r="EY3" i="99" s="1"/>
  <c r="EX15" i="99"/>
  <c r="EX3" i="99" s="1"/>
  <c r="J5" i="101"/>
  <c r="DR3" i="99"/>
  <c r="EY62" i="99" l="1"/>
  <c r="EY87" i="99" s="1"/>
  <c r="EX62" i="99"/>
  <c r="EX65" i="99" s="1"/>
  <c r="EX84" i="99" s="1"/>
  <c r="EY65" i="99"/>
  <c r="EY85" i="99"/>
  <c r="EY86" i="99"/>
  <c r="EL15" i="99"/>
  <c r="EM15" i="99"/>
  <c r="EP15" i="99"/>
  <c r="EQ15" i="99"/>
  <c r="EY94" i="99" l="1"/>
  <c r="EY71" i="99"/>
  <c r="EY84" i="99"/>
  <c r="EQ58" i="99"/>
  <c r="EP58" i="99"/>
  <c r="EQ10" i="99"/>
  <c r="ER10" i="99" s="1"/>
  <c r="ES10" i="99" s="1"/>
  <c r="ET10" i="99" s="1"/>
  <c r="EU10" i="99" s="1"/>
  <c r="EV10" i="99" s="1"/>
  <c r="EP10" i="99"/>
  <c r="EQ57" i="99"/>
  <c r="ER57" i="99" s="1"/>
  <c r="ES57" i="99" s="1"/>
  <c r="ET57" i="99" s="1"/>
  <c r="EU57" i="99" s="1"/>
  <c r="EV57" i="99" s="1"/>
  <c r="EP57" i="99"/>
  <c r="EQ56" i="99"/>
  <c r="EP56" i="99"/>
  <c r="EQ55" i="99"/>
  <c r="EP55" i="99"/>
  <c r="EQ54" i="99"/>
  <c r="EP54" i="99"/>
  <c r="EQ53" i="99"/>
  <c r="EP53" i="99"/>
  <c r="EQ52" i="99"/>
  <c r="EP52" i="99"/>
  <c r="EQ51" i="99"/>
  <c r="EP51" i="99"/>
  <c r="EQ50" i="99"/>
  <c r="EP50" i="99"/>
  <c r="EQ49" i="99"/>
  <c r="EP49" i="99"/>
  <c r="EQ48" i="99"/>
  <c r="ER48" i="99" s="1"/>
  <c r="ES48" i="99" s="1"/>
  <c r="ET48" i="99" s="1"/>
  <c r="EU48" i="99" s="1"/>
  <c r="EV48" i="99" s="1"/>
  <c r="EP48" i="99"/>
  <c r="EQ47" i="99"/>
  <c r="EP47" i="99"/>
  <c r="EQ22" i="99"/>
  <c r="EP22" i="99"/>
  <c r="EQ27" i="99"/>
  <c r="EP27" i="99"/>
  <c r="EQ45" i="99"/>
  <c r="EP45" i="99"/>
  <c r="EQ44" i="99"/>
  <c r="ER44" i="99" s="1"/>
  <c r="ES44" i="99" s="1"/>
  <c r="ET44" i="99" s="1"/>
  <c r="EU44" i="99" s="1"/>
  <c r="EV44" i="99" s="1"/>
  <c r="EW44" i="99" s="1"/>
  <c r="EP44" i="99"/>
  <c r="EQ19" i="99"/>
  <c r="EP19" i="99"/>
  <c r="EQ28" i="99"/>
  <c r="EP28" i="99"/>
  <c r="EQ43" i="99"/>
  <c r="EP43" i="99"/>
  <c r="EQ13" i="99"/>
  <c r="EP13" i="99"/>
  <c r="EQ41" i="99"/>
  <c r="EP41" i="99"/>
  <c r="EQ40" i="99"/>
  <c r="EP40" i="99"/>
  <c r="EQ39" i="99"/>
  <c r="EP39" i="99"/>
  <c r="EQ38" i="99"/>
  <c r="EP38" i="99"/>
  <c r="EQ21" i="99"/>
  <c r="EP21" i="99"/>
  <c r="EQ16" i="99"/>
  <c r="EP16" i="99"/>
  <c r="EP14" i="99"/>
  <c r="EO56" i="99"/>
  <c r="EO55" i="99"/>
  <c r="EO54" i="99"/>
  <c r="EO53" i="99"/>
  <c r="EO52" i="99"/>
  <c r="EO51" i="99"/>
  <c r="EO50" i="99"/>
  <c r="EO49" i="99"/>
  <c r="EQ14" i="99"/>
  <c r="EM14" i="99"/>
  <c r="EL14" i="99"/>
  <c r="EI14" i="99"/>
  <c r="EH14" i="99"/>
  <c r="EY88" i="99" l="1"/>
  <c r="EY74" i="99"/>
  <c r="EN84" i="99"/>
  <c r="EO72" i="99"/>
  <c r="EO70" i="99"/>
  <c r="EO8" i="99"/>
  <c r="EO7" i="99"/>
  <c r="EO6" i="99"/>
  <c r="EO5" i="99"/>
  <c r="EO4" i="99"/>
  <c r="EO47" i="99"/>
  <c r="ER47" i="99" s="1"/>
  <c r="ES47" i="99" s="1"/>
  <c r="ET47" i="99" s="1"/>
  <c r="EU47" i="99" s="1"/>
  <c r="EV47" i="99" s="1"/>
  <c r="EW47" i="99" s="1"/>
  <c r="EO46" i="99"/>
  <c r="CC61" i="99"/>
  <c r="CC62" i="99" s="1"/>
  <c r="CB61" i="99"/>
  <c r="CB62" i="99" s="1"/>
  <c r="BZ61" i="99"/>
  <c r="V13" i="99"/>
  <c r="V47" i="99"/>
  <c r="V46" i="99"/>
  <c r="BY61" i="99"/>
  <c r="BY62" i="99" s="1"/>
  <c r="V6" i="99"/>
  <c r="V22" i="99"/>
  <c r="V27" i="99"/>
  <c r="V45" i="99"/>
  <c r="V44" i="99"/>
  <c r="V19" i="99"/>
  <c r="V28" i="99"/>
  <c r="V43" i="99"/>
  <c r="V42" i="99"/>
  <c r="V41" i="99"/>
  <c r="V40" i="99"/>
  <c r="V39" i="99"/>
  <c r="V38" i="99"/>
  <c r="V21" i="99"/>
  <c r="V16" i="99"/>
  <c r="X16" i="99" s="1"/>
  <c r="V15" i="99"/>
  <c r="X15" i="99" s="1"/>
  <c r="V14" i="99"/>
  <c r="X14" i="99" s="1"/>
  <c r="CA41" i="99"/>
  <c r="EO41" i="99" s="1"/>
  <c r="EY90" i="99" l="1"/>
  <c r="EY89" i="99"/>
  <c r="EY76" i="99"/>
  <c r="EY78" i="99" s="1"/>
  <c r="EY91" i="99" s="1"/>
  <c r="BZ62" i="99"/>
  <c r="BY117" i="99"/>
  <c r="BZ117" i="99"/>
  <c r="CC117" i="99"/>
  <c r="BY118" i="99"/>
  <c r="BZ118" i="99"/>
  <c r="CC118" i="99"/>
  <c r="CA48" i="99"/>
  <c r="CA13" i="99"/>
  <c r="EO13" i="99" s="1"/>
  <c r="U47" i="99"/>
  <c r="CA22" i="99"/>
  <c r="CA27" i="99"/>
  <c r="CA45" i="99"/>
  <c r="CA44" i="99"/>
  <c r="EO44" i="99" s="1"/>
  <c r="CA19" i="99"/>
  <c r="CA43" i="99"/>
  <c r="CA42" i="99"/>
  <c r="U41" i="99"/>
  <c r="CA40" i="99"/>
  <c r="CA39" i="99"/>
  <c r="CA38" i="99"/>
  <c r="CA28" i="99"/>
  <c r="CA21" i="99"/>
  <c r="CA16" i="99"/>
  <c r="CA15" i="99"/>
  <c r="EO15" i="99" s="1"/>
  <c r="CA14" i="99"/>
  <c r="EO14" i="99" s="1"/>
  <c r="CC3" i="99"/>
  <c r="CB3" i="99"/>
  <c r="BZ3" i="99"/>
  <c r="U15" i="99" l="1"/>
  <c r="W15" i="99" s="1"/>
  <c r="ER15" i="99"/>
  <c r="ES15" i="99" s="1"/>
  <c r="ET15" i="99" s="1"/>
  <c r="EU15" i="99" s="1"/>
  <c r="EV15" i="99" s="1"/>
  <c r="EW15" i="99" s="1"/>
  <c r="U38" i="99"/>
  <c r="EO38" i="99"/>
  <c r="U45" i="99"/>
  <c r="EO45" i="99"/>
  <c r="U13" i="99"/>
  <c r="U16" i="99"/>
  <c r="W16" i="99" s="1"/>
  <c r="EO16" i="99"/>
  <c r="ER16" i="99" s="1"/>
  <c r="ES16" i="99" s="1"/>
  <c r="ET16" i="99" s="1"/>
  <c r="EU16" i="99" s="1"/>
  <c r="EV16" i="99" s="1"/>
  <c r="EW16" i="99" s="1"/>
  <c r="U43" i="99"/>
  <c r="EO43" i="99"/>
  <c r="U21" i="99"/>
  <c r="EO21" i="99"/>
  <c r="U40" i="99"/>
  <c r="EO40" i="99"/>
  <c r="U19" i="99"/>
  <c r="EO19" i="99"/>
  <c r="U22" i="99"/>
  <c r="EO22" i="99"/>
  <c r="U44" i="99"/>
  <c r="U42" i="99"/>
  <c r="EO42" i="99"/>
  <c r="U39" i="99"/>
  <c r="EO39" i="99"/>
  <c r="U27" i="99"/>
  <c r="EO27" i="99"/>
  <c r="U48" i="99"/>
  <c r="V48" i="99" s="1"/>
  <c r="V62" i="99" s="1"/>
  <c r="EO48" i="99"/>
  <c r="U14" i="99"/>
  <c r="W14" i="99" s="1"/>
  <c r="CA61" i="99"/>
  <c r="EO61" i="99" s="1"/>
  <c r="U28" i="99"/>
  <c r="EO28" i="99"/>
  <c r="U46" i="99"/>
  <c r="ER61" i="99" l="1"/>
  <c r="ES61" i="99" s="1"/>
  <c r="ET61" i="99" s="1"/>
  <c r="EU61" i="99" s="1"/>
  <c r="EV61" i="99" s="1"/>
  <c r="EW61" i="99" s="1"/>
  <c r="CA62" i="99"/>
  <c r="U62" i="99"/>
  <c r="CA3" i="99"/>
  <c r="EO3" i="99" s="1"/>
  <c r="EO62" i="99" s="1"/>
  <c r="EO65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2" i="115"/>
  <c r="AC42" i="115" s="1"/>
  <c r="D43" i="115"/>
  <c r="E43" i="115"/>
  <c r="F43" i="115"/>
  <c r="G43" i="115"/>
  <c r="H43" i="115"/>
  <c r="I43" i="115"/>
  <c r="J43" i="115"/>
  <c r="K43" i="115"/>
  <c r="L43" i="115"/>
  <c r="M43" i="115"/>
  <c r="N43" i="115"/>
  <c r="O43" i="115"/>
  <c r="P43" i="115"/>
  <c r="Q43" i="115"/>
  <c r="R43" i="115"/>
  <c r="S43" i="115"/>
  <c r="T43" i="115"/>
  <c r="Y44" i="115"/>
  <c r="Z44" i="115"/>
  <c r="AA44" i="115"/>
  <c r="Y45" i="115"/>
  <c r="Z45" i="115"/>
  <c r="AA45" i="115"/>
  <c r="Y46" i="115"/>
  <c r="Z46" i="115"/>
  <c r="AA46" i="115"/>
  <c r="C12" i="124"/>
  <c r="C13" i="124"/>
  <c r="C14" i="124"/>
  <c r="C15" i="124"/>
  <c r="C16" i="124"/>
  <c r="EL2" i="99"/>
  <c r="EM2" i="99" s="1"/>
  <c r="EN2" i="99" s="1"/>
  <c r="EO2" i="99" s="1"/>
  <c r="EP2" i="99" s="1"/>
  <c r="EQ2" i="99" s="1"/>
  <c r="ER2" i="99" s="1"/>
  <c r="ES2" i="99" s="1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Q14" i="99"/>
  <c r="Q15" i="99"/>
  <c r="Q16" i="99"/>
  <c r="Q21" i="99"/>
  <c r="Q28" i="99"/>
  <c r="Q38" i="99"/>
  <c r="Q39" i="99"/>
  <c r="Q40" i="99"/>
  <c r="Q41" i="99"/>
  <c r="Q42" i="99"/>
  <c r="Q43" i="99"/>
  <c r="Q49" i="99"/>
  <c r="Q19" i="99"/>
  <c r="Q44" i="99"/>
  <c r="Q45" i="99"/>
  <c r="Q27" i="99"/>
  <c r="Q58" i="99"/>
  <c r="Q22" i="99"/>
  <c r="Q46" i="99"/>
  <c r="Q47" i="99"/>
  <c r="Q8" i="99"/>
  <c r="Q62" i="99" s="1"/>
  <c r="Q87" i="99" s="1"/>
  <c r="BT28" i="99"/>
  <c r="EM28" i="99" s="1"/>
  <c r="BT38" i="99"/>
  <c r="EM38" i="99" s="1"/>
  <c r="BT39" i="99"/>
  <c r="R39" i="99" s="1"/>
  <c r="BT40" i="99"/>
  <c r="BT124" i="99" s="1"/>
  <c r="BT41" i="99"/>
  <c r="R41" i="99" s="1"/>
  <c r="BT43" i="99"/>
  <c r="R43" i="99" s="1"/>
  <c r="BS4" i="99"/>
  <c r="BT4" i="99" s="1"/>
  <c r="BS5" i="99"/>
  <c r="BT5" i="99" s="1"/>
  <c r="R5" i="99" s="1"/>
  <c r="BS8" i="99"/>
  <c r="BT8" i="99" s="1"/>
  <c r="BU8" i="99"/>
  <c r="BU61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61" i="99"/>
  <c r="BL3" i="99" s="1"/>
  <c r="BM61" i="99"/>
  <c r="BM3" i="99" s="1"/>
  <c r="BN61" i="99"/>
  <c r="BN62" i="99" s="1"/>
  <c r="BO61" i="99"/>
  <c r="BO3" i="99" s="1"/>
  <c r="BP61" i="99"/>
  <c r="BP3" i="99" s="1"/>
  <c r="BQ61" i="99"/>
  <c r="BQ3" i="99" s="1"/>
  <c r="BR61" i="99"/>
  <c r="BW14" i="99"/>
  <c r="BW15" i="99"/>
  <c r="BW16" i="99"/>
  <c r="BW21" i="99"/>
  <c r="BX21" i="99" s="1"/>
  <c r="T21" i="99" s="1"/>
  <c r="BW28" i="99"/>
  <c r="BW38" i="99"/>
  <c r="BX38" i="99" s="1"/>
  <c r="T38" i="99" s="1"/>
  <c r="BW39" i="99"/>
  <c r="BX39" i="99" s="1"/>
  <c r="BW40" i="99"/>
  <c r="BX40" i="99" s="1"/>
  <c r="BW41" i="99"/>
  <c r="BW42" i="99"/>
  <c r="BX42" i="99" s="1"/>
  <c r="BW43" i="99"/>
  <c r="BX43" i="99" s="1"/>
  <c r="BW49" i="99"/>
  <c r="BX49" i="99" s="1"/>
  <c r="T49" i="99" s="1"/>
  <c r="BW19" i="99"/>
  <c r="BW44" i="99"/>
  <c r="BX44" i="99" s="1"/>
  <c r="T44" i="99" s="1"/>
  <c r="BW45" i="99"/>
  <c r="BX45" i="99" s="1"/>
  <c r="EN45" i="99" s="1"/>
  <c r="ER45" i="99" s="1"/>
  <c r="ES45" i="99" s="1"/>
  <c r="ET45" i="99" s="1"/>
  <c r="EU45" i="99" s="1"/>
  <c r="EV45" i="99" s="1"/>
  <c r="EW45" i="99" s="1"/>
  <c r="BW27" i="99"/>
  <c r="BX27" i="99" s="1"/>
  <c r="BW58" i="99"/>
  <c r="BW22" i="99"/>
  <c r="BX22" i="99" s="1"/>
  <c r="BW46" i="99"/>
  <c r="BX46" i="99" s="1"/>
  <c r="BW13" i="99"/>
  <c r="EN13" i="99" s="1"/>
  <c r="EE3" i="99"/>
  <c r="EF3" i="99"/>
  <c r="EG3" i="99"/>
  <c r="EH16" i="99"/>
  <c r="EH21" i="99"/>
  <c r="EH28" i="99"/>
  <c r="EH38" i="99"/>
  <c r="EH39" i="99"/>
  <c r="EH40" i="99"/>
  <c r="EH41" i="99"/>
  <c r="EH42" i="99"/>
  <c r="EH43" i="99"/>
  <c r="EH49" i="99"/>
  <c r="EH19" i="99"/>
  <c r="EH44" i="99"/>
  <c r="EH45" i="99"/>
  <c r="EH27" i="99"/>
  <c r="EH58" i="99"/>
  <c r="EH22" i="99"/>
  <c r="EH46" i="99"/>
  <c r="EH50" i="99"/>
  <c r="EH51" i="99"/>
  <c r="EH52" i="99"/>
  <c r="EH53" i="99"/>
  <c r="EH54" i="99"/>
  <c r="EH55" i="99"/>
  <c r="EH56" i="99"/>
  <c r="EH60" i="99"/>
  <c r="EI16" i="99"/>
  <c r="EI21" i="99"/>
  <c r="EI28" i="99"/>
  <c r="EI38" i="99"/>
  <c r="EI39" i="99"/>
  <c r="EI40" i="99"/>
  <c r="EI41" i="99"/>
  <c r="EI42" i="99"/>
  <c r="EI43" i="99"/>
  <c r="EI49" i="99"/>
  <c r="EI19" i="99"/>
  <c r="EI44" i="99"/>
  <c r="EI45" i="99"/>
  <c r="EI27" i="99"/>
  <c r="EI58" i="99"/>
  <c r="EI22" i="99"/>
  <c r="EI46" i="99"/>
  <c r="EI50" i="99"/>
  <c r="EI51" i="99"/>
  <c r="EI52" i="99"/>
  <c r="EI53" i="99"/>
  <c r="EI54" i="99"/>
  <c r="EI55" i="99"/>
  <c r="EI56" i="99"/>
  <c r="EI60" i="99"/>
  <c r="L14" i="99"/>
  <c r="EJ14" i="99" s="1"/>
  <c r="L15" i="99"/>
  <c r="EJ15" i="99" s="1"/>
  <c r="L16" i="99"/>
  <c r="EJ16" i="99" s="1"/>
  <c r="L21" i="99"/>
  <c r="EJ21" i="99" s="1"/>
  <c r="L28" i="99"/>
  <c r="EJ28" i="99" s="1"/>
  <c r="L38" i="99"/>
  <c r="EJ38" i="99" s="1"/>
  <c r="L39" i="99"/>
  <c r="EJ39" i="99" s="1"/>
  <c r="L40" i="99"/>
  <c r="EJ40" i="99" s="1"/>
  <c r="L41" i="99"/>
  <c r="EJ41" i="99" s="1"/>
  <c r="L42" i="99"/>
  <c r="EJ42" i="99" s="1"/>
  <c r="L43" i="99"/>
  <c r="EJ43" i="99" s="1"/>
  <c r="L49" i="99"/>
  <c r="EJ49" i="99" s="1"/>
  <c r="L19" i="99"/>
  <c r="EJ19" i="99" s="1"/>
  <c r="L44" i="99"/>
  <c r="EJ44" i="99" s="1"/>
  <c r="L45" i="99"/>
  <c r="EJ45" i="99" s="1"/>
  <c r="L27" i="99"/>
  <c r="EJ27" i="99" s="1"/>
  <c r="L58" i="99"/>
  <c r="EJ58" i="99" s="1"/>
  <c r="L22" i="99"/>
  <c r="EJ22" i="99" s="1"/>
  <c r="L46" i="99"/>
  <c r="EJ46" i="99" s="1"/>
  <c r="L50" i="99"/>
  <c r="EJ50" i="99" s="1"/>
  <c r="EJ60" i="99"/>
  <c r="N14" i="99"/>
  <c r="EK14" i="99" s="1"/>
  <c r="N15" i="99"/>
  <c r="EK15" i="99" s="1"/>
  <c r="N16" i="99"/>
  <c r="EK16" i="99" s="1"/>
  <c r="N21" i="99"/>
  <c r="EK21" i="99" s="1"/>
  <c r="N28" i="99"/>
  <c r="EK28" i="99" s="1"/>
  <c r="N38" i="99"/>
  <c r="EK38" i="99" s="1"/>
  <c r="N39" i="99"/>
  <c r="EK39" i="99" s="1"/>
  <c r="N40" i="99"/>
  <c r="EK40" i="99" s="1"/>
  <c r="N41" i="99"/>
  <c r="EK41" i="99" s="1"/>
  <c r="N42" i="99"/>
  <c r="EK42" i="99" s="1"/>
  <c r="N43" i="99"/>
  <c r="EK43" i="99" s="1"/>
  <c r="N49" i="99"/>
  <c r="EK49" i="99" s="1"/>
  <c r="N19" i="99"/>
  <c r="EK19" i="99" s="1"/>
  <c r="N44" i="99"/>
  <c r="EK44" i="99" s="1"/>
  <c r="N45" i="99"/>
  <c r="EK45" i="99" s="1"/>
  <c r="N27" i="99"/>
  <c r="EK27" i="99" s="1"/>
  <c r="N58" i="99"/>
  <c r="EK58" i="99" s="1"/>
  <c r="N22" i="99"/>
  <c r="EK22" i="99" s="1"/>
  <c r="N46" i="99"/>
  <c r="EK46" i="99" s="1"/>
  <c r="EK47" i="99"/>
  <c r="N50" i="99"/>
  <c r="EK50" i="99" s="1"/>
  <c r="EL16" i="99"/>
  <c r="EL21" i="99"/>
  <c r="EL28" i="99"/>
  <c r="EL38" i="99"/>
  <c r="EL39" i="99"/>
  <c r="EL40" i="99"/>
  <c r="EL41" i="99"/>
  <c r="EL42" i="99"/>
  <c r="EL43" i="99"/>
  <c r="EL49" i="99"/>
  <c r="EL19" i="99"/>
  <c r="EL44" i="99"/>
  <c r="EL45" i="99"/>
  <c r="EL27" i="99"/>
  <c r="EL58" i="99"/>
  <c r="EL22" i="99"/>
  <c r="EL46" i="99"/>
  <c r="EL47" i="99"/>
  <c r="EM16" i="99"/>
  <c r="EM21" i="99"/>
  <c r="EM42" i="99"/>
  <c r="EM49" i="99"/>
  <c r="EM19" i="99"/>
  <c r="EM44" i="99"/>
  <c r="EM45" i="99"/>
  <c r="EM27" i="99"/>
  <c r="EM58" i="99"/>
  <c r="EM22" i="99"/>
  <c r="EM46" i="99"/>
  <c r="EM47" i="99"/>
  <c r="BV61" i="99"/>
  <c r="ER43" i="99"/>
  <c r="ES43" i="99" s="1"/>
  <c r="ET43" i="99" s="1"/>
  <c r="EU43" i="99" s="1"/>
  <c r="EV43" i="99" s="1"/>
  <c r="EW43" i="99" s="1"/>
  <c r="ER13" i="99"/>
  <c r="ES13" i="99" s="1"/>
  <c r="ET13" i="99" s="1"/>
  <c r="EU13" i="99" s="1"/>
  <c r="EV13" i="99" s="1"/>
  <c r="EW13" i="99" s="1"/>
  <c r="J4" i="99"/>
  <c r="L4" i="99"/>
  <c r="N4" i="99"/>
  <c r="EK4" i="99" s="1"/>
  <c r="P4" i="99"/>
  <c r="T4" i="99"/>
  <c r="EN4" i="99"/>
  <c r="J5" i="99"/>
  <c r="L5" i="99"/>
  <c r="EJ5" i="99" s="1"/>
  <c r="N5" i="99"/>
  <c r="EK5" i="99" s="1"/>
  <c r="P5" i="99"/>
  <c r="EL5" i="99" s="1"/>
  <c r="T5" i="99"/>
  <c r="EH5" i="99"/>
  <c r="EI5" i="99"/>
  <c r="EN5" i="99"/>
  <c r="J6" i="99"/>
  <c r="L6" i="99"/>
  <c r="EJ6" i="99" s="1"/>
  <c r="N6" i="99"/>
  <c r="EK6" i="99" s="1"/>
  <c r="P6" i="99"/>
  <c r="EL6" i="99" s="1"/>
  <c r="BS6" i="99"/>
  <c r="BT6" i="99" s="1"/>
  <c r="R6" i="99" s="1"/>
  <c r="T6" i="99"/>
  <c r="EE6" i="99"/>
  <c r="EF6" i="99"/>
  <c r="EG6" i="99"/>
  <c r="EH8" i="99"/>
  <c r="EI8" i="99"/>
  <c r="EN6" i="99"/>
  <c r="EX100" i="99" s="1"/>
  <c r="S7" i="99"/>
  <c r="T7" i="99" s="1"/>
  <c r="EM7" i="99"/>
  <c r="EN7" i="99"/>
  <c r="J8" i="99"/>
  <c r="L8" i="99"/>
  <c r="M8" i="99"/>
  <c r="N8" i="99" s="1"/>
  <c r="P8" i="99"/>
  <c r="EL8" i="99" s="1"/>
  <c r="S8" i="99"/>
  <c r="T8" i="99" s="1"/>
  <c r="EN8" i="99"/>
  <c r="J14" i="99"/>
  <c r="P14" i="99"/>
  <c r="R14" i="99"/>
  <c r="J15" i="99"/>
  <c r="P15" i="99"/>
  <c r="R15" i="99"/>
  <c r="J16" i="99"/>
  <c r="P16" i="99"/>
  <c r="R16" i="99"/>
  <c r="P21" i="99"/>
  <c r="R21" i="99"/>
  <c r="J28" i="99"/>
  <c r="P28" i="99"/>
  <c r="J38" i="99"/>
  <c r="P38" i="99"/>
  <c r="J39" i="99"/>
  <c r="P39" i="99"/>
  <c r="J40" i="99"/>
  <c r="P40" i="99"/>
  <c r="J41" i="99"/>
  <c r="P41" i="99"/>
  <c r="J42" i="99"/>
  <c r="P42" i="99"/>
  <c r="R42" i="99"/>
  <c r="J43" i="99"/>
  <c r="P43" i="99"/>
  <c r="J49" i="99"/>
  <c r="P49" i="99"/>
  <c r="R49" i="99"/>
  <c r="J19" i="99"/>
  <c r="P19" i="99"/>
  <c r="R19" i="99"/>
  <c r="J44" i="99"/>
  <c r="P44" i="99"/>
  <c r="R44" i="99"/>
  <c r="J45" i="99"/>
  <c r="P45" i="99"/>
  <c r="R45" i="99"/>
  <c r="J27" i="99"/>
  <c r="P27" i="99"/>
  <c r="R27" i="99"/>
  <c r="J58" i="99"/>
  <c r="P58" i="99"/>
  <c r="R58" i="99"/>
  <c r="J22" i="99"/>
  <c r="P22" i="99"/>
  <c r="R22" i="99"/>
  <c r="J46" i="99"/>
  <c r="P46" i="99"/>
  <c r="R46" i="99"/>
  <c r="P47" i="99"/>
  <c r="R47" i="99"/>
  <c r="T47" i="99"/>
  <c r="J50" i="99"/>
  <c r="T13" i="99"/>
  <c r="I61" i="99"/>
  <c r="K61" i="99"/>
  <c r="O61" i="99"/>
  <c r="BH61" i="99"/>
  <c r="BH62" i="99" s="1"/>
  <c r="BI61" i="99"/>
  <c r="BI62" i="99" s="1"/>
  <c r="BJ61" i="99"/>
  <c r="BJ62" i="99" s="1"/>
  <c r="BK61" i="99"/>
  <c r="BK62" i="99" s="1"/>
  <c r="I62" i="99"/>
  <c r="K62" i="99"/>
  <c r="K65" i="99" s="1"/>
  <c r="K84" i="99" s="1"/>
  <c r="O62" i="99"/>
  <c r="O65" i="99" s="1"/>
  <c r="BV62" i="99"/>
  <c r="J63" i="99"/>
  <c r="EI63" i="99" s="1"/>
  <c r="L63" i="99"/>
  <c r="EJ63" i="99" s="1"/>
  <c r="M63" i="99"/>
  <c r="N63" i="99" s="1"/>
  <c r="EK63" i="99" s="1"/>
  <c r="P63" i="99"/>
  <c r="EL63" i="99" s="1"/>
  <c r="R63" i="99"/>
  <c r="EM63" i="99" s="1"/>
  <c r="T63" i="99"/>
  <c r="J64" i="99"/>
  <c r="EI64" i="99" s="1"/>
  <c r="L64" i="99"/>
  <c r="EJ64" i="99" s="1"/>
  <c r="N64" i="99"/>
  <c r="EK64" i="99" s="1"/>
  <c r="P64" i="99"/>
  <c r="EL64" i="99" s="1"/>
  <c r="R64" i="99"/>
  <c r="EM64" i="99" s="1"/>
  <c r="T64" i="99"/>
  <c r="EN64" i="99" s="1"/>
  <c r="J66" i="99"/>
  <c r="L66" i="99"/>
  <c r="EJ66" i="99" s="1"/>
  <c r="N66" i="99"/>
  <c r="EK66" i="99" s="1"/>
  <c r="P66" i="99"/>
  <c r="EL66" i="99" s="1"/>
  <c r="R66" i="99"/>
  <c r="EM66" i="99" s="1"/>
  <c r="T66" i="99"/>
  <c r="EN66" i="99" s="1"/>
  <c r="EP66" i="99" s="1"/>
  <c r="J67" i="99"/>
  <c r="L67" i="99"/>
  <c r="EJ67" i="99" s="1"/>
  <c r="EJ103" i="99" s="1"/>
  <c r="N67" i="99"/>
  <c r="EK67" i="99" s="1"/>
  <c r="P67" i="99"/>
  <c r="R67" i="99"/>
  <c r="EM67" i="99" s="1"/>
  <c r="T67" i="99"/>
  <c r="J68" i="99"/>
  <c r="EI68" i="99" s="1"/>
  <c r="EI104" i="99" s="1"/>
  <c r="L68" i="99"/>
  <c r="EJ68" i="99" s="1"/>
  <c r="N68" i="99"/>
  <c r="P68" i="99"/>
  <c r="EL68" i="99" s="1"/>
  <c r="R68" i="99"/>
  <c r="EM68" i="99" s="1"/>
  <c r="T68" i="99"/>
  <c r="EN68" i="99" s="1"/>
  <c r="M69" i="99"/>
  <c r="N69" i="99" s="1"/>
  <c r="O70" i="99"/>
  <c r="Q70" i="99"/>
  <c r="S70" i="99"/>
  <c r="J72" i="99"/>
  <c r="L72" i="99"/>
  <c r="EJ72" i="99" s="1"/>
  <c r="N72" i="99"/>
  <c r="EK72" i="99" s="1"/>
  <c r="P72" i="99"/>
  <c r="R72" i="99"/>
  <c r="EM72" i="99" s="1"/>
  <c r="T72" i="99"/>
  <c r="EN72" i="99" s="1"/>
  <c r="EN82" i="99"/>
  <c r="T73" i="99"/>
  <c r="EN73" i="99" s="1"/>
  <c r="T75" i="99"/>
  <c r="EN75" i="99" s="1"/>
  <c r="T77" i="99"/>
  <c r="EN77" i="99" s="1"/>
  <c r="J73" i="99"/>
  <c r="L73" i="99"/>
  <c r="EJ73" i="99" s="1"/>
  <c r="N73" i="99"/>
  <c r="EK73" i="99" s="1"/>
  <c r="P73" i="99"/>
  <c r="R73" i="99"/>
  <c r="EM73" i="99" s="1"/>
  <c r="J75" i="99"/>
  <c r="L75" i="99"/>
  <c r="EJ75" i="99" s="1"/>
  <c r="N75" i="99"/>
  <c r="EK75" i="99" s="1"/>
  <c r="R75" i="99"/>
  <c r="EM75" i="99" s="1"/>
  <c r="J77" i="99"/>
  <c r="L77" i="99"/>
  <c r="EJ77" i="99" s="1"/>
  <c r="N77" i="99"/>
  <c r="EK77" i="99" s="1"/>
  <c r="P77" i="99"/>
  <c r="R77" i="99"/>
  <c r="EM77" i="99" s="1"/>
  <c r="P80" i="99"/>
  <c r="Q80" i="99" s="1"/>
  <c r="R80" i="99" s="1"/>
  <c r="S80" i="99" s="1"/>
  <c r="T80" i="99" s="1"/>
  <c r="EJ80" i="99"/>
  <c r="EK80" i="99" s="1"/>
  <c r="EL80" i="99" s="1"/>
  <c r="EM80" i="99" s="1"/>
  <c r="EN80" i="99" s="1"/>
  <c r="EO80" i="99" s="1"/>
  <c r="EP80" i="99" s="1"/>
  <c r="EQ80" i="99" s="1"/>
  <c r="ER80" i="99" s="1"/>
  <c r="EL82" i="99"/>
  <c r="EM82" i="99"/>
  <c r="EF84" i="99"/>
  <c r="EG84" i="99"/>
  <c r="EH84" i="99"/>
  <c r="EI102" i="99"/>
  <c r="EI103" i="99"/>
  <c r="BB117" i="99"/>
  <c r="BC117" i="99"/>
  <c r="BD117" i="99"/>
  <c r="BE117" i="99"/>
  <c r="BF117" i="99"/>
  <c r="BG117" i="99"/>
  <c r="BH117" i="99"/>
  <c r="BI117" i="99"/>
  <c r="BJ117" i="99"/>
  <c r="BK117" i="99"/>
  <c r="BL117" i="99"/>
  <c r="BM117" i="99"/>
  <c r="BN117" i="99"/>
  <c r="BO117" i="99"/>
  <c r="BP117" i="99"/>
  <c r="BQ117" i="99"/>
  <c r="BR117" i="99"/>
  <c r="BS117" i="99"/>
  <c r="BT117" i="99"/>
  <c r="BU117" i="99"/>
  <c r="BV117" i="99"/>
  <c r="BB118" i="99"/>
  <c r="BC118" i="99"/>
  <c r="BD118" i="99"/>
  <c r="BE118" i="99"/>
  <c r="BF118" i="99"/>
  <c r="BG118" i="99"/>
  <c r="BH118" i="99"/>
  <c r="BI118" i="99"/>
  <c r="BJ118" i="99"/>
  <c r="BK118" i="99"/>
  <c r="BL118" i="99"/>
  <c r="BM118" i="99"/>
  <c r="BN118" i="99"/>
  <c r="BO118" i="99"/>
  <c r="BP118" i="99"/>
  <c r="BQ118" i="99"/>
  <c r="BR118" i="99"/>
  <c r="BS118" i="99"/>
  <c r="BT118" i="99"/>
  <c r="BU118" i="99"/>
  <c r="BV118" i="99"/>
  <c r="BB119" i="99"/>
  <c r="BC119" i="99"/>
  <c r="BD119" i="99"/>
  <c r="BE119" i="99"/>
  <c r="BF119" i="99"/>
  <c r="BG119" i="99"/>
  <c r="BH119" i="99"/>
  <c r="BI119" i="99"/>
  <c r="BJ119" i="99"/>
  <c r="BK119" i="99"/>
  <c r="BL119" i="99"/>
  <c r="BM119" i="99"/>
  <c r="BN119" i="99"/>
  <c r="BO119" i="99"/>
  <c r="BP119" i="99"/>
  <c r="BQ119" i="99"/>
  <c r="BR119" i="99"/>
  <c r="BS119" i="99"/>
  <c r="BT119" i="99"/>
  <c r="BU119" i="99"/>
  <c r="BV119" i="99"/>
  <c r="BY119" i="99"/>
  <c r="BZ119" i="99"/>
  <c r="CC119" i="99"/>
  <c r="BB120" i="99"/>
  <c r="BC120" i="99"/>
  <c r="BD120" i="99"/>
  <c r="BE120" i="99"/>
  <c r="BF120" i="99"/>
  <c r="BG120" i="99"/>
  <c r="BH120" i="99"/>
  <c r="BI120" i="99"/>
  <c r="BJ120" i="99"/>
  <c r="BK120" i="99"/>
  <c r="BL120" i="99"/>
  <c r="BM120" i="99"/>
  <c r="BN120" i="99"/>
  <c r="BO120" i="99"/>
  <c r="BP120" i="99"/>
  <c r="BQ120" i="99"/>
  <c r="BR120" i="99"/>
  <c r="BS120" i="99"/>
  <c r="BU120" i="99"/>
  <c r="BV120" i="99"/>
  <c r="BB121" i="99"/>
  <c r="BC121" i="99"/>
  <c r="BD121" i="99"/>
  <c r="BE121" i="99"/>
  <c r="BF121" i="99"/>
  <c r="BG121" i="99"/>
  <c r="BH121" i="99"/>
  <c r="BI121" i="99"/>
  <c r="BJ121" i="99"/>
  <c r="BK121" i="99"/>
  <c r="BL121" i="99"/>
  <c r="BM121" i="99"/>
  <c r="BN121" i="99"/>
  <c r="BO121" i="99"/>
  <c r="BP121" i="99"/>
  <c r="BQ121" i="99"/>
  <c r="BR121" i="99"/>
  <c r="BS121" i="99"/>
  <c r="BU121" i="99"/>
  <c r="BV121" i="99"/>
  <c r="BB122" i="99"/>
  <c r="BC122" i="99"/>
  <c r="BD122" i="99"/>
  <c r="BE122" i="99"/>
  <c r="BF122" i="99"/>
  <c r="BG122" i="99"/>
  <c r="BH122" i="99"/>
  <c r="BI122" i="99"/>
  <c r="BJ122" i="99"/>
  <c r="BK122" i="99"/>
  <c r="BL122" i="99"/>
  <c r="BM122" i="99"/>
  <c r="BN122" i="99"/>
  <c r="BO122" i="99"/>
  <c r="BP122" i="99"/>
  <c r="BQ122" i="99"/>
  <c r="BR122" i="99"/>
  <c r="BS122" i="99"/>
  <c r="BU122" i="99"/>
  <c r="BV122" i="99"/>
  <c r="BB123" i="99"/>
  <c r="BC123" i="99"/>
  <c r="BD123" i="99"/>
  <c r="BE123" i="99"/>
  <c r="BF123" i="99"/>
  <c r="BG123" i="99"/>
  <c r="BH123" i="99"/>
  <c r="BI123" i="99"/>
  <c r="BJ123" i="99"/>
  <c r="BK123" i="99"/>
  <c r="BL123" i="99"/>
  <c r="BM123" i="99"/>
  <c r="BN123" i="99"/>
  <c r="BO123" i="99"/>
  <c r="BP123" i="99"/>
  <c r="BQ123" i="99"/>
  <c r="BR123" i="99"/>
  <c r="BS123" i="99"/>
  <c r="BU123" i="99"/>
  <c r="BV123" i="99"/>
  <c r="BB124" i="99"/>
  <c r="BC124" i="99"/>
  <c r="BD124" i="99"/>
  <c r="BE124" i="99"/>
  <c r="BF124" i="99"/>
  <c r="BG124" i="99"/>
  <c r="BH124" i="99"/>
  <c r="BI124" i="99"/>
  <c r="BJ124" i="99"/>
  <c r="BK124" i="99"/>
  <c r="BL124" i="99"/>
  <c r="BM124" i="99"/>
  <c r="BN124" i="99"/>
  <c r="BO124" i="99"/>
  <c r="BP124" i="99"/>
  <c r="BQ124" i="99"/>
  <c r="BR124" i="99"/>
  <c r="BS124" i="99"/>
  <c r="BU124" i="99"/>
  <c r="BV124" i="99"/>
  <c r="BE125" i="99"/>
  <c r="BF125" i="99"/>
  <c r="BG125" i="99"/>
  <c r="BH125" i="99"/>
  <c r="BI125" i="99"/>
  <c r="BJ125" i="99"/>
  <c r="BK125" i="99"/>
  <c r="BL125" i="99"/>
  <c r="BM125" i="99"/>
  <c r="BN125" i="99"/>
  <c r="BO125" i="99"/>
  <c r="BP125" i="99"/>
  <c r="BQ125" i="99"/>
  <c r="BR125" i="99"/>
  <c r="BS125" i="99"/>
  <c r="BU125" i="99"/>
  <c r="BV125" i="99"/>
  <c r="BL126" i="99"/>
  <c r="BM126" i="99"/>
  <c r="BN126" i="99"/>
  <c r="BO126" i="99"/>
  <c r="BP126" i="99"/>
  <c r="BQ126" i="99"/>
  <c r="BR126" i="99"/>
  <c r="BS126" i="99"/>
  <c r="BT126" i="99"/>
  <c r="BU126" i="99"/>
  <c r="BV126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T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T128" i="99"/>
  <c r="BU128" i="99"/>
  <c r="BV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T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T130" i="99"/>
  <c r="BU130" i="99"/>
  <c r="BV130" i="99"/>
  <c r="BB131" i="99"/>
  <c r="BC131" i="99"/>
  <c r="BD131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T131" i="99"/>
  <c r="BU131" i="99"/>
  <c r="BV131" i="99"/>
  <c r="BB132" i="99"/>
  <c r="BC132" i="99"/>
  <c r="BD132" i="99"/>
  <c r="BE132" i="99"/>
  <c r="BF132" i="99"/>
  <c r="BG132" i="99"/>
  <c r="BH132" i="99"/>
  <c r="BI132" i="99"/>
  <c r="BJ132" i="99"/>
  <c r="BK132" i="99"/>
  <c r="BL132" i="99"/>
  <c r="BM132" i="99"/>
  <c r="BN132" i="99"/>
  <c r="BO132" i="99"/>
  <c r="BP132" i="99"/>
  <c r="BQ132" i="99"/>
  <c r="BR132" i="99"/>
  <c r="BS132" i="99"/>
  <c r="BT132" i="99"/>
  <c r="BU132" i="99"/>
  <c r="BV132" i="99"/>
  <c r="EL140" i="99"/>
  <c r="EM140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3" i="115" l="1"/>
  <c r="D14" i="128"/>
  <c r="Z43" i="115"/>
  <c r="EO71" i="99"/>
  <c r="EO84" i="99"/>
  <c r="AB43" i="115"/>
  <c r="Y43" i="115"/>
  <c r="ER14" i="99"/>
  <c r="EP63" i="99"/>
  <c r="EQ63" i="99" s="1"/>
  <c r="ER63" i="99" s="1"/>
  <c r="ES63" i="99" s="1"/>
  <c r="ET63" i="99" s="1"/>
  <c r="EU63" i="99" s="1"/>
  <c r="EV63" i="99" s="1"/>
  <c r="EW63" i="99" s="1"/>
  <c r="EN63" i="99"/>
  <c r="BW119" i="99"/>
  <c r="BR62" i="99"/>
  <c r="BV94" i="99" s="1"/>
  <c r="Q86" i="99"/>
  <c r="BW118" i="99"/>
  <c r="CA118" i="99"/>
  <c r="BX15" i="99"/>
  <c r="EN15" i="99" s="1"/>
  <c r="BW117" i="99"/>
  <c r="CA117" i="99"/>
  <c r="BT120" i="99"/>
  <c r="CA119" i="99"/>
  <c r="EO100" i="99"/>
  <c r="EM41" i="99"/>
  <c r="EK103" i="99"/>
  <c r="R28" i="99"/>
  <c r="BM62" i="99"/>
  <c r="EW100" i="99"/>
  <c r="K85" i="99"/>
  <c r="BL62" i="99"/>
  <c r="EL100" i="99"/>
  <c r="BT123" i="99"/>
  <c r="EV100" i="99"/>
  <c r="EJ104" i="99"/>
  <c r="K87" i="99"/>
  <c r="K94" i="99"/>
  <c r="ES100" i="99"/>
  <c r="ER100" i="99"/>
  <c r="K86" i="99"/>
  <c r="R70" i="99"/>
  <c r="BP62" i="99"/>
  <c r="EM39" i="99"/>
  <c r="EN44" i="99"/>
  <c r="EU100" i="99"/>
  <c r="EQ100" i="99"/>
  <c r="ET100" i="99"/>
  <c r="EP100" i="99"/>
  <c r="EN22" i="99"/>
  <c r="ER22" i="99" s="1"/>
  <c r="ES22" i="99" s="1"/>
  <c r="ET22" i="99" s="1"/>
  <c r="EU22" i="99" s="1"/>
  <c r="EV22" i="99" s="1"/>
  <c r="T22" i="99"/>
  <c r="EN42" i="99"/>
  <c r="T42" i="99"/>
  <c r="EM8" i="99"/>
  <c r="R8" i="99"/>
  <c r="EK100" i="99"/>
  <c r="BT125" i="99"/>
  <c r="BT122" i="99"/>
  <c r="O87" i="99"/>
  <c r="O86" i="99"/>
  <c r="BQ62" i="99"/>
  <c r="R38" i="99"/>
  <c r="EK8" i="99"/>
  <c r="EI6" i="99"/>
  <c r="EM5" i="99"/>
  <c r="EM43" i="99"/>
  <c r="BW61" i="99"/>
  <c r="BW3" i="99" s="1"/>
  <c r="M62" i="99"/>
  <c r="M61" i="99"/>
  <c r="BY3" i="99"/>
  <c r="BX16" i="99"/>
  <c r="BT121" i="99"/>
  <c r="Q94" i="99"/>
  <c r="EH6" i="99"/>
  <c r="EN38" i="99"/>
  <c r="ER38" i="99" s="1"/>
  <c r="ES38" i="99" s="1"/>
  <c r="ET38" i="99" s="1"/>
  <c r="EU38" i="99" s="1"/>
  <c r="EV38" i="99" s="1"/>
  <c r="EW38" i="99" s="1"/>
  <c r="EN21" i="99"/>
  <c r="BS61" i="99"/>
  <c r="BS3" i="99" s="1"/>
  <c r="O84" i="99"/>
  <c r="O71" i="99"/>
  <c r="O74" i="99" s="1"/>
  <c r="O76" i="99" s="1"/>
  <c r="O78" i="99" s="1"/>
  <c r="O79" i="99" s="1"/>
  <c r="EN43" i="99"/>
  <c r="T43" i="99"/>
  <c r="EN39" i="99"/>
  <c r="ER39" i="99" s="1"/>
  <c r="ES39" i="99" s="1"/>
  <c r="ET39" i="99" s="1"/>
  <c r="EU39" i="99" s="1"/>
  <c r="EV39" i="99" s="1"/>
  <c r="EW39" i="99" s="1"/>
  <c r="T39" i="99"/>
  <c r="EJ102" i="99"/>
  <c r="EK102" i="99"/>
  <c r="EK69" i="99"/>
  <c r="N70" i="99"/>
  <c r="BU3" i="99"/>
  <c r="BU62" i="99"/>
  <c r="T27" i="99"/>
  <c r="EN27" i="99"/>
  <c r="ER27" i="99" s="1"/>
  <c r="ES27" i="99" s="1"/>
  <c r="ET27" i="99" s="1"/>
  <c r="EU27" i="99" s="1"/>
  <c r="EV27" i="99" s="1"/>
  <c r="EW27" i="99" s="1"/>
  <c r="T40" i="99"/>
  <c r="EN40" i="99"/>
  <c r="ER40" i="99" s="1"/>
  <c r="ES40" i="99" s="1"/>
  <c r="ET40" i="99" s="1"/>
  <c r="EU40" i="99" s="1"/>
  <c r="EV40" i="99" s="1"/>
  <c r="EW40" i="99" s="1"/>
  <c r="EM70" i="99"/>
  <c r="E14" i="128"/>
  <c r="J7" i="101"/>
  <c r="Q85" i="99"/>
  <c r="I85" i="99"/>
  <c r="M70" i="99"/>
  <c r="I65" i="99"/>
  <c r="I71" i="99" s="1"/>
  <c r="I74" i="99" s="1"/>
  <c r="I76" i="99" s="1"/>
  <c r="I78" i="99" s="1"/>
  <c r="I79" i="99" s="1"/>
  <c r="BO62" i="99"/>
  <c r="T45" i="99"/>
  <c r="O85" i="99"/>
  <c r="EJ69" i="99"/>
  <c r="EJ70" i="99" s="1"/>
  <c r="EN67" i="99"/>
  <c r="EN70" i="99" s="1"/>
  <c r="Q65" i="99"/>
  <c r="EN49" i="99"/>
  <c r="D11" i="128"/>
  <c r="T70" i="99"/>
  <c r="K71" i="99"/>
  <c r="L62" i="99"/>
  <c r="EK68" i="99"/>
  <c r="EL67" i="99"/>
  <c r="EL70" i="99" s="1"/>
  <c r="P70" i="99"/>
  <c r="EQ66" i="99"/>
  <c r="P61" i="99"/>
  <c r="EJ8" i="99"/>
  <c r="L61" i="99"/>
  <c r="EJ61" i="99" s="1"/>
  <c r="J61" i="99"/>
  <c r="J62" i="99"/>
  <c r="EL4" i="99"/>
  <c r="P62" i="99"/>
  <c r="BT61" i="99"/>
  <c r="BT3" i="99" s="1"/>
  <c r="R4" i="99"/>
  <c r="EM4" i="99"/>
  <c r="EM40" i="99"/>
  <c r="R40" i="99"/>
  <c r="EK3" i="99"/>
  <c r="N61" i="99"/>
  <c r="EJ3" i="99"/>
  <c r="EN46" i="99"/>
  <c r="T46" i="99"/>
  <c r="BR3" i="99"/>
  <c r="BN3" i="99"/>
  <c r="EL61" i="99"/>
  <c r="EL62" i="99" s="1"/>
  <c r="N62" i="99"/>
  <c r="EM6" i="99"/>
  <c r="EJ4" i="99"/>
  <c r="Q60" i="99"/>
  <c r="Q3" i="99" s="1"/>
  <c r="G9" i="128"/>
  <c r="EH3" i="99"/>
  <c r="BX58" i="99"/>
  <c r="T58" i="99" s="1"/>
  <c r="BX19" i="99"/>
  <c r="T19" i="99" s="1"/>
  <c r="BX41" i="99"/>
  <c r="T41" i="99" s="1"/>
  <c r="BX28" i="99"/>
  <c r="T28" i="99" s="1"/>
  <c r="BX14" i="99"/>
  <c r="T14" i="99" s="1"/>
  <c r="EL3" i="99"/>
  <c r="EI3" i="99"/>
  <c r="E8" i="128"/>
  <c r="EN14" i="99" l="1"/>
  <c r="BR94" i="99"/>
  <c r="ES14" i="99"/>
  <c r="EM61" i="99"/>
  <c r="EM62" i="99" s="1"/>
  <c r="EN16" i="99"/>
  <c r="BX118" i="99"/>
  <c r="CB118" i="99"/>
  <c r="BX117" i="99"/>
  <c r="CB117" i="99"/>
  <c r="T15" i="99"/>
  <c r="BP94" i="99"/>
  <c r="O88" i="99"/>
  <c r="BQ94" i="99"/>
  <c r="BS62" i="99"/>
  <c r="BS94" i="99" s="1"/>
  <c r="EK61" i="99"/>
  <c r="T16" i="99"/>
  <c r="BW62" i="99"/>
  <c r="S3" i="99"/>
  <c r="T3" i="99" s="1"/>
  <c r="EN58" i="99"/>
  <c r="O90" i="99"/>
  <c r="EN41" i="99"/>
  <c r="ER41" i="99" s="1"/>
  <c r="ES41" i="99" s="1"/>
  <c r="ET41" i="99" s="1"/>
  <c r="EU41" i="99" s="1"/>
  <c r="EV41" i="99" s="1"/>
  <c r="M65" i="99"/>
  <c r="M86" i="99"/>
  <c r="M87" i="99"/>
  <c r="M85" i="99"/>
  <c r="M94" i="99"/>
  <c r="O94" i="99"/>
  <c r="EP67" i="99"/>
  <c r="EQ67" i="99" s="1"/>
  <c r="ER67" i="99" s="1"/>
  <c r="BU94" i="99"/>
  <c r="S61" i="99"/>
  <c r="S62" i="99" s="1"/>
  <c r="BY94" i="99"/>
  <c r="EN28" i="99"/>
  <c r="ER28" i="99" s="1"/>
  <c r="ES28" i="99" s="1"/>
  <c r="ET28" i="99" s="1"/>
  <c r="EU28" i="99" s="1"/>
  <c r="EV28" i="99" s="1"/>
  <c r="EW28" i="99" s="1"/>
  <c r="EN19" i="99"/>
  <c r="ER19" i="99" s="1"/>
  <c r="ES19" i="99" s="1"/>
  <c r="ET19" i="99" s="1"/>
  <c r="EU19" i="99" s="1"/>
  <c r="EV19" i="99" s="1"/>
  <c r="EW19" i="99" s="1"/>
  <c r="BT62" i="99"/>
  <c r="BT94" i="99" s="1"/>
  <c r="R60" i="99"/>
  <c r="Q71" i="99"/>
  <c r="Q84" i="99"/>
  <c r="R3" i="99"/>
  <c r="R62" i="99" s="1"/>
  <c r="R86" i="99" s="1"/>
  <c r="EK104" i="99"/>
  <c r="EK70" i="99"/>
  <c r="J65" i="99"/>
  <c r="J71" i="99" s="1"/>
  <c r="J74" i="99" s="1"/>
  <c r="J76" i="99" s="1"/>
  <c r="J78" i="99" s="1"/>
  <c r="J79" i="99" s="1"/>
  <c r="J85" i="99"/>
  <c r="EI62" i="99"/>
  <c r="ER66" i="99"/>
  <c r="EL86" i="99"/>
  <c r="K74" i="99"/>
  <c r="K88" i="99"/>
  <c r="EL65" i="99"/>
  <c r="EL85" i="99"/>
  <c r="EL87" i="99"/>
  <c r="BX61" i="99"/>
  <c r="BX62" i="99" s="1"/>
  <c r="BX119" i="99"/>
  <c r="CB119" i="99"/>
  <c r="EM100" i="99"/>
  <c r="EN100" i="99"/>
  <c r="E11" i="128"/>
  <c r="F8" i="128"/>
  <c r="H9" i="128"/>
  <c r="G14" i="128"/>
  <c r="EK62" i="99"/>
  <c r="EL94" i="99" s="1"/>
  <c r="N65" i="99"/>
  <c r="N85" i="99"/>
  <c r="N86" i="99"/>
  <c r="N94" i="99"/>
  <c r="P65" i="99"/>
  <c r="P87" i="99"/>
  <c r="P85" i="99"/>
  <c r="P94" i="99"/>
  <c r="P86" i="99"/>
  <c r="N87" i="99"/>
  <c r="EJ62" i="99"/>
  <c r="L65" i="99"/>
  <c r="L87" i="99"/>
  <c r="L85" i="99"/>
  <c r="L86" i="99"/>
  <c r="L94" i="99"/>
  <c r="EP3" i="99" l="1"/>
  <c r="ER21" i="99"/>
  <c r="EQ3" i="99"/>
  <c r="ET14" i="99"/>
  <c r="EN61" i="99"/>
  <c r="EN62" i="99" s="1"/>
  <c r="EN65" i="99" s="1"/>
  <c r="EP62" i="99"/>
  <c r="BW94" i="99"/>
  <c r="EM3" i="99"/>
  <c r="EP70" i="99"/>
  <c r="BX94" i="99"/>
  <c r="R87" i="99"/>
  <c r="EQ70" i="99"/>
  <c r="S65" i="99"/>
  <c r="S87" i="99"/>
  <c r="S86" i="99"/>
  <c r="S94" i="99"/>
  <c r="S85" i="99"/>
  <c r="R94" i="99"/>
  <c r="BX3" i="99"/>
  <c r="T61" i="99"/>
  <c r="T62" i="99" s="1"/>
  <c r="R85" i="99"/>
  <c r="M71" i="99"/>
  <c r="M84" i="99"/>
  <c r="R65" i="99"/>
  <c r="R84" i="99" s="1"/>
  <c r="Q74" i="99"/>
  <c r="Q88" i="99"/>
  <c r="N84" i="99"/>
  <c r="N71" i="99"/>
  <c r="K76" i="99"/>
  <c r="K78" i="99" s="1"/>
  <c r="K79" i="99" s="1"/>
  <c r="K90" i="99"/>
  <c r="EI65" i="99"/>
  <c r="EI94" i="99"/>
  <c r="EJ65" i="99"/>
  <c r="EJ94" i="99"/>
  <c r="EK65" i="99"/>
  <c r="EK94" i="99"/>
  <c r="G8" i="128"/>
  <c r="F11" i="128"/>
  <c r="EM85" i="99"/>
  <c r="EM94" i="99"/>
  <c r="EM87" i="99"/>
  <c r="EM86" i="99"/>
  <c r="ES66" i="99"/>
  <c r="ER70" i="99"/>
  <c r="EL71" i="99"/>
  <c r="EL84" i="99"/>
  <c r="ES67" i="99"/>
  <c r="L71" i="99"/>
  <c r="L84" i="99"/>
  <c r="P71" i="99"/>
  <c r="P84" i="99"/>
  <c r="H14" i="128"/>
  <c r="I9" i="128"/>
  <c r="EU14" i="99" l="1"/>
  <c r="ES21" i="99"/>
  <c r="ER3" i="99"/>
  <c r="EM65" i="99"/>
  <c r="EM71" i="99" s="1"/>
  <c r="EM88" i="99" s="1"/>
  <c r="R71" i="99"/>
  <c r="R88" i="99" s="1"/>
  <c r="M74" i="99"/>
  <c r="M88" i="99"/>
  <c r="S84" i="99"/>
  <c r="S71" i="99"/>
  <c r="Q76" i="99"/>
  <c r="Q78" i="99" s="1"/>
  <c r="Q79" i="99" s="1"/>
  <c r="Q90" i="99"/>
  <c r="ET67" i="99"/>
  <c r="T65" i="99"/>
  <c r="T87" i="99"/>
  <c r="T85" i="99"/>
  <c r="T94" i="99"/>
  <c r="T86" i="99"/>
  <c r="P74" i="99"/>
  <c r="P88" i="99"/>
  <c r="H8" i="128"/>
  <c r="G11" i="128"/>
  <c r="EJ84" i="99"/>
  <c r="EJ71" i="99"/>
  <c r="ET66" i="99"/>
  <c r="ES70" i="99"/>
  <c r="N74" i="99"/>
  <c r="N88" i="99"/>
  <c r="I14" i="128"/>
  <c r="J9" i="128"/>
  <c r="L74" i="99"/>
  <c r="L88" i="99"/>
  <c r="EL74" i="99"/>
  <c r="EL88" i="99"/>
  <c r="EN3" i="99"/>
  <c r="EK84" i="99"/>
  <c r="EK71" i="99"/>
  <c r="EL105" i="99" s="1"/>
  <c r="EI71" i="99"/>
  <c r="EI84" i="99"/>
  <c r="EM105" i="99" l="1"/>
  <c r="ET21" i="99"/>
  <c r="ES3" i="99"/>
  <c r="EV14" i="99"/>
  <c r="EM74" i="99"/>
  <c r="EM76" i="99" s="1"/>
  <c r="EM78" i="99" s="1"/>
  <c r="R74" i="99"/>
  <c r="R90" i="99" s="1"/>
  <c r="S88" i="99"/>
  <c r="S74" i="99"/>
  <c r="M76" i="99"/>
  <c r="M78" i="99" s="1"/>
  <c r="M79" i="99" s="1"/>
  <c r="M90" i="99"/>
  <c r="EN71" i="99"/>
  <c r="EN105" i="99" s="1"/>
  <c r="EN86" i="99"/>
  <c r="EN85" i="99"/>
  <c r="EN87" i="99"/>
  <c r="EN94" i="99"/>
  <c r="EJ74" i="99"/>
  <c r="EJ76" i="99" s="1"/>
  <c r="EJ78" i="99" s="1"/>
  <c r="EJ79" i="99" s="1"/>
  <c r="EJ88" i="99"/>
  <c r="EL89" i="99"/>
  <c r="EL90" i="99"/>
  <c r="EL76" i="99"/>
  <c r="EL78" i="99" s="1"/>
  <c r="EU66" i="99"/>
  <c r="ET70" i="99"/>
  <c r="EO87" i="99"/>
  <c r="EO85" i="99"/>
  <c r="EO94" i="99"/>
  <c r="EO86" i="99"/>
  <c r="T71" i="99"/>
  <c r="T84" i="99"/>
  <c r="P76" i="99"/>
  <c r="P78" i="99" s="1"/>
  <c r="P79" i="99" s="1"/>
  <c r="P90" i="99"/>
  <c r="EK88" i="99"/>
  <c r="EK74" i="99"/>
  <c r="EK76" i="99" s="1"/>
  <c r="EK78" i="99" s="1"/>
  <c r="EK79" i="99" s="1"/>
  <c r="J14" i="128"/>
  <c r="K9" i="128"/>
  <c r="EI74" i="99"/>
  <c r="EI76" i="99" s="1"/>
  <c r="EI78" i="99" s="1"/>
  <c r="EI105" i="99"/>
  <c r="L76" i="99"/>
  <c r="L78" i="99" s="1"/>
  <c r="L79" i="99" s="1"/>
  <c r="L90" i="99"/>
  <c r="N76" i="99"/>
  <c r="N78" i="99" s="1"/>
  <c r="N79" i="99" s="1"/>
  <c r="N90" i="99"/>
  <c r="H11" i="128"/>
  <c r="I8" i="128"/>
  <c r="EU67" i="99"/>
  <c r="EM89" i="99" l="1"/>
  <c r="R89" i="99"/>
  <c r="R76" i="99"/>
  <c r="R78" i="99" s="1"/>
  <c r="R82" i="99" s="1"/>
  <c r="EW14" i="99"/>
  <c r="EU21" i="99"/>
  <c r="ET3" i="99"/>
  <c r="EM90" i="99"/>
  <c r="S90" i="99"/>
  <c r="S89" i="99"/>
  <c r="S76" i="99"/>
  <c r="S78" i="99" s="1"/>
  <c r="S79" i="99" s="1"/>
  <c r="EV67" i="99"/>
  <c r="T74" i="99"/>
  <c r="T88" i="99"/>
  <c r="EU70" i="99"/>
  <c r="EV66" i="99"/>
  <c r="EL79" i="99"/>
  <c r="EL112" i="99" s="1"/>
  <c r="EL137" i="99"/>
  <c r="EL91" i="99"/>
  <c r="EM79" i="99"/>
  <c r="EM137" i="99"/>
  <c r="EM91" i="99"/>
  <c r="I11" i="128"/>
  <c r="J8" i="128"/>
  <c r="L9" i="128"/>
  <c r="K14" i="128"/>
  <c r="EP65" i="99"/>
  <c r="EP71" i="99" s="1"/>
  <c r="EP87" i="99"/>
  <c r="EP94" i="99"/>
  <c r="EP85" i="99"/>
  <c r="EP86" i="99"/>
  <c r="EO88" i="99"/>
  <c r="EN74" i="99"/>
  <c r="EN88" i="99"/>
  <c r="R79" i="99" l="1"/>
  <c r="EV21" i="99"/>
  <c r="EU3" i="99"/>
  <c r="EN76" i="99"/>
  <c r="EN78" i="99" s="1"/>
  <c r="EN89" i="99"/>
  <c r="EN90" i="99"/>
  <c r="EP64" i="99"/>
  <c r="EW66" i="99"/>
  <c r="EV70" i="99"/>
  <c r="T76" i="99"/>
  <c r="T78" i="99" s="1"/>
  <c r="T79" i="99" s="1"/>
  <c r="T89" i="99"/>
  <c r="T90" i="99"/>
  <c r="K8" i="128"/>
  <c r="J11" i="128"/>
  <c r="EM112" i="99"/>
  <c r="EP88" i="99"/>
  <c r="L14" i="128"/>
  <c r="M9" i="128"/>
  <c r="EQ65" i="99"/>
  <c r="EQ71" i="99" s="1"/>
  <c r="EQ87" i="99"/>
  <c r="EQ94" i="99"/>
  <c r="EQ85" i="99"/>
  <c r="EQ86" i="99"/>
  <c r="EW67" i="99"/>
  <c r="EW21" i="99" l="1"/>
  <c r="EV3" i="99"/>
  <c r="EQ64" i="99"/>
  <c r="M14" i="128"/>
  <c r="N9" i="128"/>
  <c r="EN79" i="99"/>
  <c r="EN112" i="99" s="1"/>
  <c r="EN91" i="99"/>
  <c r="EO82" i="99"/>
  <c r="L8" i="128"/>
  <c r="K11" i="128"/>
  <c r="EW70" i="99"/>
  <c r="EQ88" i="99"/>
  <c r="ER94" i="99"/>
  <c r="ER87" i="99"/>
  <c r="ER65" i="99"/>
  <c r="ER71" i="99" s="1"/>
  <c r="ER85" i="99"/>
  <c r="ER86" i="99"/>
  <c r="EW3" i="99" l="1"/>
  <c r="ER64" i="99"/>
  <c r="L11" i="128"/>
  <c r="M8" i="128"/>
  <c r="N14" i="128"/>
  <c r="O9" i="128"/>
  <c r="ER88" i="99"/>
  <c r="ES65" i="99"/>
  <c r="ES71" i="99" s="1"/>
  <c r="ES87" i="99"/>
  <c r="ES94" i="99"/>
  <c r="ES86" i="99"/>
  <c r="ES85" i="99"/>
  <c r="EO74" i="99"/>
  <c r="EO90" i="99" l="1"/>
  <c r="EO89" i="99"/>
  <c r="ES64" i="99"/>
  <c r="M11" i="128"/>
  <c r="N8" i="128"/>
  <c r="ET65" i="99"/>
  <c r="ET71" i="99" s="1"/>
  <c r="ET94" i="99"/>
  <c r="ET87" i="99"/>
  <c r="ET86" i="99"/>
  <c r="ET85" i="99"/>
  <c r="P9" i="128"/>
  <c r="O14" i="128"/>
  <c r="ES88" i="99"/>
  <c r="EO76" i="99" l="1"/>
  <c r="EO78" i="99" s="1"/>
  <c r="EP82" i="99" s="1"/>
  <c r="ET64" i="99"/>
  <c r="O8" i="128"/>
  <c r="N11" i="128"/>
  <c r="ET88" i="99"/>
  <c r="EU65" i="99"/>
  <c r="EU71" i="99" s="1"/>
  <c r="EU87" i="99"/>
  <c r="EU94" i="99"/>
  <c r="EU85" i="99"/>
  <c r="EU86" i="99"/>
  <c r="P14" i="128"/>
  <c r="Q9" i="128"/>
  <c r="EO91" i="99" l="1"/>
  <c r="EO79" i="99"/>
  <c r="EU88" i="99"/>
  <c r="Q14" i="128"/>
  <c r="R9" i="128"/>
  <c r="EU64" i="99"/>
  <c r="EP72" i="99"/>
  <c r="EP74" i="99" s="1"/>
  <c r="P8" i="128"/>
  <c r="O11" i="128"/>
  <c r="EV65" i="99"/>
  <c r="EV71" i="99" s="1"/>
  <c r="EV87" i="99"/>
  <c r="EV94" i="99"/>
  <c r="EV86" i="99"/>
  <c r="EV85" i="99"/>
  <c r="R14" i="128" l="1"/>
  <c r="S9" i="128"/>
  <c r="P11" i="128"/>
  <c r="Q8" i="128"/>
  <c r="EW65" i="99"/>
  <c r="EW71" i="99" s="1"/>
  <c r="EW87" i="99"/>
  <c r="EW94" i="99"/>
  <c r="EW85" i="99"/>
  <c r="EW86" i="99"/>
  <c r="EV88" i="99"/>
  <c r="EV64" i="99"/>
  <c r="EP89" i="99"/>
  <c r="EP75" i="99"/>
  <c r="EP90" i="99" s="1"/>
  <c r="EW64" i="99" l="1"/>
  <c r="EP76" i="99"/>
  <c r="EP78" i="99" s="1"/>
  <c r="EP79" i="99" s="1"/>
  <c r="Q11" i="128"/>
  <c r="R8" i="128"/>
  <c r="T9" i="128"/>
  <c r="S14" i="128"/>
  <c r="EX71" i="99"/>
  <c r="EX87" i="99"/>
  <c r="EX94" i="99"/>
  <c r="EX85" i="99"/>
  <c r="EX86" i="99"/>
  <c r="EW88" i="99"/>
  <c r="EQ82" i="99" l="1"/>
  <c r="EQ72" i="99" s="1"/>
  <c r="EQ74" i="99" s="1"/>
  <c r="EP91" i="99"/>
  <c r="T14" i="128"/>
  <c r="U9" i="128"/>
  <c r="S8" i="128"/>
  <c r="R11" i="128"/>
  <c r="EX88" i="99"/>
  <c r="U14" i="128" l="1"/>
  <c r="V9" i="128"/>
  <c r="T8" i="128"/>
  <c r="S11" i="128"/>
  <c r="EQ75" i="99"/>
  <c r="EQ90" i="99" s="1"/>
  <c r="EQ89" i="99"/>
  <c r="EQ76" i="99" l="1"/>
  <c r="EQ78" i="99" s="1"/>
  <c r="T11" i="128"/>
  <c r="U8" i="128"/>
  <c r="V14" i="128"/>
  <c r="W9" i="128"/>
  <c r="ER82" i="99" l="1"/>
  <c r="ER72" i="99" s="1"/>
  <c r="ER74" i="99" s="1"/>
  <c r="EQ91" i="99"/>
  <c r="EQ79" i="99"/>
  <c r="X9" i="128"/>
  <c r="W14" i="128"/>
  <c r="U11" i="128"/>
  <c r="V8" i="128"/>
  <c r="X14" i="128" l="1"/>
  <c r="Y9" i="128"/>
  <c r="W8" i="128"/>
  <c r="V11" i="128"/>
  <c r="ER75" i="99"/>
  <c r="ER90" i="99" s="1"/>
  <c r="ER89" i="99"/>
  <c r="ER76" i="99" l="1"/>
  <c r="ER78" i="99" s="1"/>
  <c r="X8" i="128"/>
  <c r="W11" i="128"/>
  <c r="Y14" i="128"/>
  <c r="Z9" i="128"/>
  <c r="Z14" i="128" s="1"/>
  <c r="ES82" i="99" l="1"/>
  <c r="ES72" i="99" s="1"/>
  <c r="ES74" i="99" s="1"/>
  <c r="ER91" i="99"/>
  <c r="ER79" i="99"/>
  <c r="X11" i="128"/>
  <c r="Y8" i="128"/>
  <c r="Y11" i="128" l="1"/>
  <c r="Z8" i="128"/>
  <c r="Z11" i="128" s="1"/>
  <c r="ES75" i="99"/>
  <c r="ES90" i="99" s="1"/>
  <c r="ES89" i="99"/>
  <c r="ES76" i="99" l="1"/>
  <c r="ES78" i="99" s="1"/>
  <c r="ES91" i="99" l="1"/>
  <c r="ET82" i="99"/>
  <c r="ET72" i="99" s="1"/>
  <c r="ET74" i="99" s="1"/>
  <c r="ET89" i="99" l="1"/>
  <c r="ET75" i="99"/>
  <c r="ET90" i="99" s="1"/>
  <c r="ET76" i="99" l="1"/>
  <c r="ET78" i="99" s="1"/>
  <c r="ET91" i="99" l="1"/>
  <c r="EU82" i="99"/>
  <c r="EU72" i="99" l="1"/>
  <c r="EU74" i="99" s="1"/>
  <c r="EU75" i="99" l="1"/>
  <c r="EU90" i="99" s="1"/>
  <c r="EU89" i="99"/>
  <c r="EU76" i="99" l="1"/>
  <c r="EU78" i="99" s="1"/>
  <c r="EU91" i="99" s="1"/>
  <c r="EV82" i="99" l="1"/>
  <c r="EV72" i="99" s="1"/>
  <c r="EV74" i="99" s="1"/>
  <c r="EV75" i="99" l="1"/>
  <c r="EV90" i="99" s="1"/>
  <c r="EV89" i="99"/>
  <c r="EV76" i="99" l="1"/>
  <c r="EV78" i="99" s="1"/>
  <c r="EV91" i="99" s="1"/>
  <c r="EW82" i="99" l="1"/>
  <c r="EW72" i="99" s="1"/>
  <c r="EW74" i="99" s="1"/>
  <c r="EW75" i="99" l="1"/>
  <c r="EW90" i="99" s="1"/>
  <c r="EW89" i="99"/>
  <c r="EW76" i="99" l="1"/>
  <c r="EW78" i="99" s="1"/>
  <c r="EW91" i="99" s="1"/>
  <c r="EX74" i="99" l="1"/>
  <c r="EX89" i="99" l="1"/>
  <c r="EX90" i="99"/>
  <c r="EX76" i="99"/>
  <c r="EX78" i="99" s="1"/>
  <c r="EX91" i="99" s="1"/>
  <c r="EZ78" i="99" l="1"/>
  <c r="FA78" i="99" s="1"/>
  <c r="FB78" i="99" s="1"/>
  <c r="FC78" i="99" s="1"/>
  <c r="FD78" i="99" s="1"/>
  <c r="FE78" i="99" s="1"/>
  <c r="FF78" i="99" s="1"/>
  <c r="FG78" i="99" s="1"/>
  <c r="FH78" i="99" s="1"/>
  <c r="FI78" i="99" s="1"/>
  <c r="FJ78" i="99" s="1"/>
  <c r="FK78" i="99" s="1"/>
  <c r="FL78" i="99" s="1"/>
  <c r="FM78" i="99" s="1"/>
  <c r="FN78" i="99" s="1"/>
  <c r="FO78" i="99" s="1"/>
  <c r="FP78" i="99" s="1"/>
  <c r="FQ78" i="99" s="1"/>
  <c r="FR78" i="99" s="1"/>
  <c r="FS78" i="99" s="1"/>
  <c r="FT78" i="99" s="1"/>
  <c r="FU78" i="99" s="1"/>
  <c r="FV78" i="99" s="1"/>
  <c r="FW78" i="99" s="1"/>
  <c r="FX78" i="99" s="1"/>
  <c r="FY78" i="99" s="1"/>
  <c r="FZ78" i="99" s="1"/>
  <c r="GA78" i="99" s="1"/>
  <c r="GB78" i="99" s="1"/>
  <c r="GC78" i="99" s="1"/>
  <c r="GD78" i="99" s="1"/>
  <c r="GE78" i="99" s="1"/>
  <c r="GF78" i="99" s="1"/>
  <c r="GG78" i="99" s="1"/>
  <c r="GH78" i="99" s="1"/>
  <c r="GI78" i="99" s="1"/>
  <c r="GJ78" i="99" s="1"/>
  <c r="GK78" i="99" s="1"/>
  <c r="GL78" i="99" s="1"/>
  <c r="GM78" i="99" s="1"/>
  <c r="GN78" i="99" s="1"/>
  <c r="GO78" i="99" s="1"/>
  <c r="GP78" i="99" s="1"/>
  <c r="GQ78" i="99" s="1"/>
  <c r="GR78" i="99" s="1"/>
  <c r="GS78" i="99" s="1"/>
  <c r="GT78" i="99" s="1"/>
  <c r="GU78" i="99" s="1"/>
  <c r="GV78" i="99" s="1"/>
  <c r="GW78" i="99" s="1"/>
  <c r="GX78" i="99" s="1"/>
  <c r="GY78" i="99" s="1"/>
  <c r="GZ78" i="99" s="1"/>
  <c r="HA78" i="99" s="1"/>
  <c r="HB78" i="99" s="1"/>
  <c r="HC78" i="99" s="1"/>
  <c r="HD78" i="99" s="1"/>
  <c r="HE78" i="99" s="1"/>
  <c r="HF78" i="99" s="1"/>
  <c r="HG78" i="99" s="1"/>
  <c r="HH78" i="99" s="1"/>
  <c r="HI78" i="99" s="1"/>
  <c r="HJ78" i="99" s="1"/>
  <c r="HK78" i="99" s="1"/>
  <c r="HL78" i="99" s="1"/>
  <c r="HM78" i="99" s="1"/>
  <c r="HN78" i="99" s="1"/>
  <c r="HO78" i="99" s="1"/>
  <c r="HP78" i="99" s="1"/>
  <c r="HQ78" i="99" s="1"/>
  <c r="HR78" i="99" s="1"/>
  <c r="HS78" i="99" s="1"/>
  <c r="HT78" i="99" s="1"/>
  <c r="HU78" i="99" s="1"/>
  <c r="HV78" i="99" s="1"/>
  <c r="HW78" i="99" s="1"/>
  <c r="FB87" i="99" l="1"/>
  <c r="FB88" i="99" s="1"/>
  <c r="FB89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Martin</author>
    <author>Marek Biestek</author>
    <author>Prudential Financial</author>
    <author>tc={4F67C440-F225-48E5-8977-D72DD0D3FDD6}</author>
    <author>MSMB</author>
  </authors>
  <commentList>
    <comment ref="EH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M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M13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T14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14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14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14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1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1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N14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P14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15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1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15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15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15" authorId="2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15" authorId="2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15" authorId="2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15" authorId="2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L1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V16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6" authorId="2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6" authorId="2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1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3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M38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M43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N43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M44" authorId="3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L61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62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62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H62" authorId="4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L62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M62" authorId="3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N62" authorId="2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O62" authorId="2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P62" authorId="5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H64" authorId="3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H66" authorId="3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H67" authorId="3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H68" authorId="3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N68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H72" authorId="3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H73" authorId="3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75" authorId="4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G75" authorId="4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H75" authorId="4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H77" authorId="4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K79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L79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M79" authorId="3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N79" authorId="3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0" authorId="4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H80" authorId="4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S82" authorId="2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N90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94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M94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95" authorId="3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95" authorId="6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L95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N95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96" authorId="3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96" authorId="6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L96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M96" authorId="3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N96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O96" authorId="2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01" authorId="3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L101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L105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N105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M112" authorId="2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N112" authorId="2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O112" authorId="2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<sst xmlns="http://schemas.openxmlformats.org/spreadsheetml/2006/main" count="1349" uniqueCount="892">
  <si>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</si>
  <si>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</si>
  <si>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</si>
  <si>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</si>
  <si>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</si>
  <si>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</si>
  <si>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</si>
  <si>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</si>
  <si>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</si>
  <si>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</si>
  <si>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</si>
  <si>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</si>
  <si>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</si>
  <si>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</si>
  <si>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</si>
  <si>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</si>
  <si>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</si>
  <si>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</si>
  <si>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</si>
  <si>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</si>
  <si>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</si>
  <si>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</si>
  <si>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</si>
  <si>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</si>
  <si>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</si>
  <si>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</si>
  <si>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</si>
  <si>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</si>
  <si>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</si>
  <si>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</si>
  <si>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</si>
  <si>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</si>
  <si>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</si>
  <si>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</si>
  <si>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</si>
  <si>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</si>
  <si>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</si>
  <si>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</si>
  <si>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</si>
  <si>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</si>
  <si>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</si>
  <si>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</si>
  <si>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</si>
  <si>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</si>
  <si>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</si>
  <si>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</si>
  <si>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</si>
  <si>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</si>
  <si>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</si>
  <si>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</si>
  <si>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</si>
  <si>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</si>
  <si>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</si>
  <si>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</si>
  <si>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</si>
  <si>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</si>
  <si>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</si>
  <si>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</si>
  <si>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</si>
  <si>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</si>
  <si>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</si>
  <si>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</si>
  <si>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</si>
  <si>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</si>
  <si>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</si>
  <si>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</si>
  <si>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</si>
  <si>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</si>
  <si>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</si>
  <si>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</si>
  <si>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</si>
  <si>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</si>
  <si>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</si>
  <si>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</si>
  <si>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</si>
  <si>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</si>
  <si>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</si>
  <si>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</si>
  <si>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</si>
  <si>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</si>
  <si>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</si>
  <si>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</si>
  <si>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</si>
  <si>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</si>
  <si>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</si>
  <si>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</si>
  <si>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</si>
  <si>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</si>
  <si>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</si>
  <si>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</si>
  <si>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</si>
  <si>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</si>
  <si>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</si>
  <si>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</si>
  <si>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</si>
  <si>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</si>
  <si>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</si>
  <si>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</si>
  <si>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</si>
  <si>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</si>
  <si>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</si>
  <si>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</si>
  <si>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</si>
  <si>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</si>
  <si>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</si>
  <si>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</si>
  <si>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</si>
  <si>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</si>
  <si>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</si>
  <si>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</si>
  <si>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</si>
  <si>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</si>
  <si>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</si>
  <si>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</si>
  <si>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</si>
  <si>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</si>
  <si>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</si>
  <si>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</si>
  <si>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</si>
  <si>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</si>
  <si>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</si>
  <si>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</si>
  <si>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</si>
  <si>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</si>
  <si>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</si>
  <si>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</si>
  <si>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</si>
  <si>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</si>
  <si>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</si>
  <si>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</si>
  <si>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</si>
  <si>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</si>
  <si>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</si>
  <si>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</si>
  <si>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</si>
  <si>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</si>
  <si>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</si>
  <si>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</si>
  <si>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</si>
  <si>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</si>
  <si>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</si>
  <si>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</si>
  <si>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</si>
  <si>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</si>
  <si>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</si>
  <si>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</si>
  <si>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</si>
  <si>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</si>
  <si>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</si>
  <si>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</si>
  <si>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</si>
  <si>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</si>
  <si>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</si>
  <si>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</si>
  <si>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</si>
  <si>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</si>
  <si>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</si>
  <si>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</si>
  <si>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</si>
  <si>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</si>
  <si>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</si>
  <si>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</si>
  <si>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</si>
  <si>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</si>
  <si>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</si>
  <si>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</si>
  <si>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</si>
  <si>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</si>
  <si>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</si>
  <si>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</si>
  <si>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</si>
  <si>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</si>
  <si>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</si>
  <si>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</si>
  <si>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</si>
  <si>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</si>
  <si>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</si>
  <si>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</si>
  <si>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</si>
  <si>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</si>
  <si>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</si>
  <si>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</si>
  <si>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</si>
  <si>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</si>
  <si>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</si>
  <si>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</si>
  <si>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</si>
  <si>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</si>
  <si>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</si>
  <si>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</si>
  <si>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</si>
  <si>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</si>
  <si>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</si>
  <si>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</si>
  <si>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</si>
  <si>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</si>
  <si>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</si>
  <si>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</si>
  <si>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</si>
  <si>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</si>
  <si>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</si>
  <si>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</si>
  <si>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</si>
  <si>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</si>
  <si>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</si>
  <si>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</si>
  <si>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</si>
  <si>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</si>
  <si>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</si>
  <si>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</si>
  <si>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</si>
  <si>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</si>
  <si>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</si>
  <si>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</si>
  <si>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</si>
  <si>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</si>
  <si>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</si>
  <si>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</si>
  <si>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</si>
  <si>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</si>
  <si>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</si>
  <si>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</si>
  <si>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</si>
  <si>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</si>
  <si>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</si>
  <si>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</si>
  <si>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</si>
  <si>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</si>
  <si>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</si>
  <si>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</si>
  <si>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</si>
  <si>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</si>
  <si>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</si>
  <si>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</si>
  <si>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</si>
  <si>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</si>
  <si>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</si>
  <si>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</si>
  <si>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</si>
  <si>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</si>
  <si>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</si>
  <si>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</si>
  <si>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</si>
  <si>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</si>
  <si>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</si>
  <si>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</si>
  <si>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</si>
  <si>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</si>
  <si>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</si>
  <si>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</si>
  <si>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</si>
  <si>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</si>
  <si>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</si>
  <si>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</si>
  <si>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</si>
  <si>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</si>
  <si>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</si>
  <si>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</si>
  <si>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</si>
  <si>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</si>
  <si>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</si>
  <si>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</si>
  <si>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</si>
  <si>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</si>
  <si>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</si>
  <si>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</si>
  <si>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</si>
  <si>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</si>
  <si>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</si>
  <si>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</si>
  <si>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</si>
  <si>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R7201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</si>
  <si>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</si>
  <si>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</si>
  <si>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</si>
  <si>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</si>
  <si>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</si>
  <si>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</si>
  <si>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</si>
  <si>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</si>
  <si>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</si>
  <si>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</si>
  <si>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</si>
  <si>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</si>
  <si>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</si>
  <si>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</si>
  <si>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</si>
  <si>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</si>
  <si>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</si>
  <si>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</si>
  <si>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</si>
  <si>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</si>
  <si>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</si>
  <si>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</si>
  <si>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</si>
  <si>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</si>
  <si>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</si>
  <si>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</si>
  <si>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</si>
  <si>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</si>
  <si>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</si>
  <si>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IV since 1997, but 6/09 initiated SQ study.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</si>
  <si>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</si>
  <si>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</si>
  <si>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</si>
  <si>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</si>
  <si>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</si>
  <si>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</si>
  <si>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</si>
  <si>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</si>
  <si>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</si>
  <si>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</si>
  <si>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</si>
  <si>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</si>
  <si>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</si>
  <si>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</si>
  <si>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</si>
  <si>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</si>
  <si>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</si>
  <si>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</si>
  <si>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</si>
  <si>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</si>
  <si>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</si>
  <si>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</si>
  <si>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</si>
  <si>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</si>
  <si>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</si>
  <si>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</si>
  <si>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</si>
  <si>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</si>
  <si>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</si>
  <si>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</si>
  <si>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</si>
  <si>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</si>
  <si>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</si>
  <si>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</si>
  <si>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</si>
  <si>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</si>
  <si>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</si>
  <si>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</si>
  <si>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</si>
  <si>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</si>
  <si>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</si>
  <si>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</si>
  <si>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</si>
  <si>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</si>
  <si>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</si>
  <si>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</si>
  <si>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</si>
  <si>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</si>
  <si>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</si>
  <si>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</si>
  <si>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</si>
  <si>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</si>
  <si>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</si>
  <si>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</si>
  <si>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</si>
  <si>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</si>
  <si>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</si>
  <si>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</si>
  <si>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</si>
  <si>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</si>
  <si>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</si>
  <si>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</si>
  <si>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</si>
  <si>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</si>
  <si>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</si>
  <si>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</si>
  <si>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</si>
  <si>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</si>
  <si>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</si>
  <si>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</si>
  <si>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</si>
  <si>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</si>
  <si>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</si>
  <si>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</si>
  <si>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</si>
  <si>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</si>
  <si>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</si>
  <si>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</si>
  <si>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</si>
  <si>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</si>
  <si>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</si>
  <si>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</si>
  <si>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</si>
  <si>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</si>
  <si>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</si>
  <si>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</si>
  <si>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</si>
  <si>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</si>
  <si>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</si>
  <si>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</si>
  <si>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</si>
  <si>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</si>
  <si>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</si>
  <si>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</si>
  <si>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</si>
  <si>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</si>
  <si>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</si>
  <si>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</si>
  <si>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</si>
  <si>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</si>
  <si>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</si>
  <si>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</si>
  <si>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</si>
  <si>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</si>
  <si>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</si>
  <si>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</si>
  <si>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</si>
  <si>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</si>
  <si>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</si>
  <si>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</si>
  <si>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</si>
  <si>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</si>
  <si>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</si>
  <si>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</si>
  <si>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</si>
  <si>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</si>
  <si>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</si>
  <si>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</si>
  <si>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</si>
  <si>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</si>
  <si>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</si>
  <si>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</si>
  <si>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</si>
  <si>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</si>
  <si>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</si>
  <si>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</si>
  <si>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</si>
  <si>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</si>
  <si>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</si>
  <si>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</si>
  <si>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</si>
  <si>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</si>
  <si>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</si>
  <si>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</si>
  <si>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</si>
  <si>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</si>
  <si>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</si>
  <si>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</si>
  <si>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</si>
  <si>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</si>
  <si>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</si>
  <si>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</si>
  <si>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</si>
  <si>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</si>
  <si>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</si>
  <si>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</si>
  <si>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</si>
  <si>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</si>
  <si>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</si>
  <si>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</si>
  <si>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</si>
  <si>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</si>
  <si>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</si>
  <si>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</si>
  <si>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</si>
  <si>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</si>
  <si>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</si>
  <si>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</si>
  <si>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</si>
  <si>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</si>
  <si>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</si>
  <si>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</si>
  <si>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</si>
  <si>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</si>
  <si>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</si>
  <si>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</si>
  <si>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</si>
  <si>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</si>
  <si>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</si>
  <si>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</si>
  <si>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R7417</t>
  </si>
  <si>
    <t>Anti-Factor-D</t>
  </si>
  <si>
    <t>R1450 (gantenerumab)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</si>
  <si>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</si>
  <si>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</si>
  <si>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</si>
  <si>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</si>
  <si>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</si>
  <si>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</si>
  <si>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</si>
  <si>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</si>
  <si>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</si>
  <si>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</si>
  <si>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</si>
  <si>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</si>
  <si>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</si>
  <si>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</si>
  <si>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</si>
  <si>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</si>
  <si>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</si>
  <si>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</si>
  <si>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</si>
  <si>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</si>
  <si>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</si>
  <si>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</si>
  <si>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</si>
  <si>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</si>
  <si>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</si>
  <si>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</si>
  <si>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</si>
  <si>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</si>
  <si>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</si>
  <si>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</si>
  <si>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</si>
  <si>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</si>
  <si>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</si>
  <si>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</si>
  <si>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</si>
  <si>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</si>
  <si>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</si>
  <si>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</si>
  <si>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</si>
  <si>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</si>
  <si>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</si>
  <si>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</si>
  <si>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</si>
  <si>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</si>
  <si>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</si>
  <si>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</si>
  <si>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</si>
  <si>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</si>
  <si>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</si>
  <si>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</si>
  <si>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</si>
  <si>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</si>
  <si>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</si>
  <si>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</si>
  <si>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Arzerra (Genmab/GSK). Velcade head-to-head trial in FL! TEVA/LONN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</si>
  <si>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</si>
  <si>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</si>
  <si>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</si>
  <si>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</si>
  <si>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</si>
  <si>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</si>
  <si>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</si>
  <si>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</si>
  <si>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</si>
  <si>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</si>
  <si>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</si>
  <si>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</si>
  <si>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</si>
  <si>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</si>
  <si>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</si>
  <si>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</si>
  <si>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</si>
  <si>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</si>
  <si>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</si>
  <si>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</si>
  <si>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</si>
  <si>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</si>
  <si>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</si>
  <si>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</si>
  <si>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</si>
  <si>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</si>
  <si>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</si>
  <si>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</si>
  <si>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</si>
  <si>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</si>
  <si>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</si>
  <si>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</si>
  <si>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</si>
  <si>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</si>
  <si>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</si>
  <si>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</si>
  <si>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</si>
  <si>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</si>
  <si>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</si>
  <si>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</si>
  <si>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</si>
  <si>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</si>
  <si>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</si>
  <si>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</si>
  <si>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</si>
  <si>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</si>
  <si>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</si>
  <si>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</si>
  <si>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</si>
  <si>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</si>
  <si>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</si>
  <si>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</si>
  <si>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</si>
  <si>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</si>
  <si>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</si>
  <si>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</si>
  <si>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</si>
  <si>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</si>
  <si>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</si>
  <si>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</si>
  <si>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</si>
  <si>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</si>
  <si>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</si>
  <si>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</si>
  <si>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</si>
  <si>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</si>
  <si>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</si>
  <si>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</si>
  <si>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</si>
  <si>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</si>
  <si>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</si>
  <si>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</si>
  <si>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</si>
  <si>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</si>
  <si>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</si>
  <si>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</si>
  <si>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</si>
  <si>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</si>
  <si>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</si>
  <si>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</si>
  <si>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</si>
  <si>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</si>
  <si>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Sued GSK, claiming Arzerra infringes CLL patent.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</si>
  <si>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</si>
  <si>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</si>
  <si>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</si>
  <si>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</si>
  <si>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</si>
  <si>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</si>
  <si>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</si>
  <si>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</si>
  <si>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</si>
  <si>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</si>
  <si>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</si>
  <si>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</si>
  <si>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</si>
  <si>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</si>
  <si>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</si>
  <si>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</si>
  <si>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</si>
  <si>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</si>
  <si>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</si>
  <si>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</si>
  <si>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</si>
  <si>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</si>
  <si>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</si>
  <si>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</si>
  <si>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</si>
  <si>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</si>
  <si>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</si>
  <si>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</si>
  <si>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</si>
  <si>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</si>
  <si>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</si>
  <si>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</si>
  <si>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</si>
  <si>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</si>
  <si>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</si>
  <si>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</si>
  <si>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</si>
  <si>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</si>
  <si>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</si>
  <si>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</si>
  <si>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</si>
  <si>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</si>
  <si>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</si>
  <si>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</si>
  <si>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</si>
  <si>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</si>
  <si>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</si>
  <si>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</si>
  <si>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</si>
  <si>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</si>
  <si>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</si>
  <si>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</si>
  <si>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</si>
  <si>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</si>
  <si>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</si>
  <si>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</si>
  <si>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</si>
  <si>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</si>
  <si>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</si>
  <si>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</si>
  <si>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</si>
  <si>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</si>
  <si>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</si>
  <si>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</si>
  <si>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</si>
  <si>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</si>
  <si>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</si>
  <si>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</si>
  <si>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</si>
  <si>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</si>
  <si>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</si>
  <si>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</si>
  <si>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</si>
  <si>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</si>
  <si>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</si>
  <si>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</si>
  <si>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</si>
  <si>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</si>
  <si>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</si>
  <si>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</si>
  <si>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</si>
  <si>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</si>
  <si>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</si>
  <si>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</si>
  <si>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</si>
  <si>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</si>
  <si>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</si>
  <si>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</si>
  <si>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</si>
  <si>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</si>
  <si>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</si>
  <si>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</si>
  <si>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</si>
  <si>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</si>
  <si>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</si>
  <si>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</si>
  <si>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</si>
  <si>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</si>
  <si>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</si>
  <si>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</si>
  <si>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</si>
  <si>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</si>
  <si>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</si>
  <si>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</si>
  <si>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</si>
  <si>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</si>
  <si>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</si>
  <si>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</si>
  <si>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</si>
  <si>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</si>
  <si>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</si>
  <si>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</si>
  <si>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</si>
  <si>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</si>
  <si>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</si>
  <si>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</si>
  <si>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</si>
  <si>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</si>
  <si>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</si>
  <si>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</si>
  <si>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</si>
  <si>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</si>
  <si>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</si>
  <si>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</si>
  <si>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RG7446</t>
  </si>
  <si>
    <t>PD1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</si>
  <si>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</si>
  <si>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</si>
  <si>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</si>
  <si>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</si>
  <si>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</si>
  <si>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</si>
  <si>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</si>
  <si>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</si>
  <si>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</si>
  <si>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</si>
  <si>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</si>
  <si>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</si>
  <si>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</si>
  <si>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</si>
  <si>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</si>
  <si>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</si>
  <si>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</si>
  <si>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</si>
  <si>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</si>
  <si>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</si>
  <si>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</si>
  <si>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</si>
  <si>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</si>
  <si>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</si>
  <si>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</si>
  <si>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</si>
  <si>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</si>
  <si>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</si>
  <si>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</si>
  <si>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</si>
  <si>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</si>
  <si>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</si>
  <si>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</si>
  <si>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</si>
  <si>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</si>
  <si>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</si>
  <si>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</si>
  <si>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</si>
  <si>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</si>
  <si>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</si>
  <si>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</si>
  <si>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</si>
  <si>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</si>
  <si>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</si>
  <si>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</si>
  <si>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</si>
  <si>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</si>
  <si>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</si>
  <si>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</si>
  <si>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</si>
  <si>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</si>
  <si>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</si>
  <si>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</si>
  <si>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</si>
  <si>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</si>
  <si>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</si>
  <si>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</si>
  <si>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</si>
  <si>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</si>
  <si>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</si>
  <si>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</si>
  <si>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</si>
  <si>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</si>
  <si>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</si>
  <si>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</si>
  <si>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</si>
  <si>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</si>
  <si>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</si>
  <si>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</si>
  <si>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</si>
  <si>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</si>
  <si>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</si>
  <si>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</si>
  <si>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</si>
  <si>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</si>
  <si>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</si>
  <si>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</si>
  <si>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</si>
  <si>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</si>
  <si>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</si>
  <si>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</si>
  <si>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</si>
  <si>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</si>
  <si>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</si>
  <si>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</si>
  <si>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</si>
  <si>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</si>
  <si>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</si>
  <si>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</si>
  <si>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</si>
  <si>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</si>
  <si>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</si>
  <si>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</si>
  <si>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</si>
  <si>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</si>
  <si>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</si>
  <si>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</si>
  <si>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</si>
  <si>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</si>
  <si>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</si>
  <si>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</si>
  <si>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</si>
  <si>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</si>
  <si>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</si>
  <si>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</si>
  <si>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</si>
  <si>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</si>
  <si>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</si>
  <si>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</si>
  <si>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</si>
  <si>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</si>
  <si>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</si>
  <si>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</si>
  <si>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</si>
  <si>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</si>
  <si>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CEO Diagnostics: Thomas Schinecker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</si>
  <si>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</si>
  <si>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</si>
  <si>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</si>
  <si>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</si>
  <si>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</si>
  <si>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</si>
  <si>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</si>
  <si>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</si>
  <si>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</si>
  <si>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</si>
  <si>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</si>
  <si>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</si>
  <si>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</si>
  <si>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</si>
  <si>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</si>
  <si>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</si>
  <si>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</si>
  <si>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</si>
  <si>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</si>
  <si>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</si>
  <si>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</si>
  <si>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</si>
  <si>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</si>
  <si>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</si>
  <si>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</si>
  <si>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</si>
  <si>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</si>
  <si>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</si>
  <si>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</si>
  <si>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</si>
  <si>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</si>
  <si>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</si>
  <si>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delandistrogene moxeparvovec</t>
  </si>
  <si>
    <t>DMD</t>
  </si>
  <si>
    <t>SRPT?</t>
  </si>
  <si>
    <t>Outlicensed to Noema Pharma</t>
  </si>
  <si>
    <t>RG7090 (basimglurant)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</si>
</sst>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 x14ac:knownFonts="1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22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0" fontId="26" fillId="4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110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155</xdr:col>
      <xdr:colOff>114300</xdr:colOff>
      <xdr:row>0</xdr:row>
      <xdr:rowOff>0</xdr:rowOff>
    </xdr:from>
    <xdr:to>
      <xdr:col>155</xdr:col>
      <xdr:colOff>114300</xdr:colOff>
      <xdr:row>170</xdr:row>
      <xdr:rowOff>85725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67703700" y="0"/>
          <a:ext cx="0" cy="26317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89</xdr:col>
      <xdr:colOff>38100</xdr:colOff>
      <xdr:row>0</xdr:row>
      <xdr:rowOff>0</xdr:rowOff>
    </xdr:from>
    <xdr:to>
      <xdr:col>89</xdr:col>
      <xdr:colOff>39158</xdr:colOff>
      <xdr:row>155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124</xdr:col>
      <xdr:colOff>19050</xdr:colOff>
      <xdr:row>0</xdr:row>
      <xdr:rowOff>47625</xdr:rowOff>
    </xdr:from>
    <xdr:to>
      <xdr:col>124</xdr:col>
      <xdr:colOff>19050</xdr:colOff>
      <xdr:row>78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2703075" y="47625"/>
          <a:ext cx="0" cy="1143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Alexandra\WIP\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Desktop%20Model%20Folder\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016\RSCH1\Health%20Services\hospitals\uhs\MODELS\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research\Porter\GELX\MODELS\CURRENT\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\Sammy\WINDOWS\DESKTOP\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um"/>
      <sheetName val="Comps (2)"/>
      <sheetName val="comp"/>
      <sheetName val="pipeline"/>
      <sheetName val="zevalin"/>
      <sheetName val="Sheet1"/>
      <sheetName val="r-trial"/>
      <sheetName val="Sheet3"/>
      <sheetName val="z-trial"/>
      <sheetName val="table (3)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P Scenarios"/>
      <sheetName val="Base (SD + no Lerid)"/>
      <sheetName val="Transplant"/>
      <sheetName val="AIDS without approval"/>
      <sheetName val="Scenario Builder"/>
      <sheetName val="stat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nings model"/>
      <sheetName val="oper stats"/>
      <sheetName val="chts"/>
      <sheetName val="QSUM"/>
      <sheetName val="debt"/>
      <sheetName val="cfo"/>
      <sheetName val="FCF"/>
      <sheetName val="per hospital"/>
      <sheetName val="graphs"/>
      <sheetName val="QSUM 4Q01"/>
      <sheetName val="Sens Inputs"/>
      <sheetName val="Sensitivities"/>
      <sheetName val="dcf"/>
      <sheetName val="Questions (2)"/>
      <sheetName val="segment analysis"/>
      <sheetName val="med mal (2)"/>
      <sheetName val="med mal"/>
      <sheetName val="ovw stats"/>
      <sheetName val="Questions"/>
      <sheetName val="QSUM 1Q02"/>
      <sheetName val="chart I"/>
      <sheetName val="chart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_Inc"/>
      <sheetName val="Form Prod"/>
      <sheetName val="VALUATION"/>
      <sheetName val="gelxwor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s"/>
      <sheetName val="Scenario Builder"/>
      <sheetName val="LRP Scenari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P62" dT="2022-07-08T05:58:42.15" personId="{F29822AD-7CF0-4443-937D-C2B9090ACE38}" id="{4F67C440-F225-48E5-8977-D72DD0D3FDD6}">
    <text>45499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RowHeight="12.75" x14ac:dyDescent="0.2"/>
  <cols>
    <col min="1" max="1" width="5" bestFit="1" customWidth="1"/>
    <col min="2" max="2" width="19.140625" bestFit="1" customWidth="1"/>
  </cols>
  <sheetData>
    <row r="1" spans="1:3" x14ac:dyDescent="0.2">
      <c r="A1" s="40" t="s">
        <v>55</v>
      </c>
    </row>
    <row r="2" spans="1:3" x14ac:dyDescent="0.2">
      <c r="B2" s="1" t="s">
        <v>309</v>
      </c>
      <c r="C2" s="2" t="s">
        <v>455</v>
      </c>
    </row>
    <row r="3" spans="1:3" x14ac:dyDescent="0.2">
      <c r="B3" s="1" t="s">
        <v>311</v>
      </c>
      <c r="C3" s="2" t="s">
        <v>456</v>
      </c>
    </row>
    <row r="4" spans="1:3" x14ac:dyDescent="0.2">
      <c r="B4" s="1" t="s">
        <v>334</v>
      </c>
      <c r="C4" s="2" t="s">
        <v>458</v>
      </c>
    </row>
    <row r="5" spans="1:3" x14ac:dyDescent="0.2">
      <c r="B5" s="2" t="s">
        <v>446</v>
      </c>
      <c r="C5" s="2" t="s">
        <v>457</v>
      </c>
    </row>
    <row r="6" spans="1:3" x14ac:dyDescent="0.2">
      <c r="B6" s="2" t="s">
        <v>449</v>
      </c>
      <c r="C6" s="2" t="s">
        <v>510</v>
      </c>
    </row>
    <row r="7" spans="1:3" x14ac:dyDescent="0.2">
      <c r="B7" s="2" t="s">
        <v>451</v>
      </c>
      <c r="C7" s="2" t="s">
        <v>452</v>
      </c>
    </row>
    <row r="8" spans="1:3" x14ac:dyDescent="0.2">
      <c r="B8" s="2" t="s">
        <v>413</v>
      </c>
      <c r="C8" s="2" t="s">
        <v>414</v>
      </c>
    </row>
    <row r="9" spans="1:3" x14ac:dyDescent="0.2">
      <c r="B9" s="2" t="s">
        <v>447</v>
      </c>
      <c r="C9" s="2" t="s">
        <v>448</v>
      </c>
    </row>
    <row r="10" spans="1:3" x14ac:dyDescent="0.2">
      <c r="B10" s="2" t="s">
        <v>419</v>
      </c>
      <c r="C10" s="2" t="s">
        <v>422</v>
      </c>
    </row>
    <row r="11" spans="1:3" x14ac:dyDescent="0.2">
      <c r="B11" s="2" t="s">
        <v>420</v>
      </c>
      <c r="C11" s="2" t="s">
        <v>421</v>
      </c>
    </row>
    <row r="12" spans="1:3" x14ac:dyDescent="0.2">
      <c r="B12" s="2" t="s">
        <v>423</v>
      </c>
      <c r="C12" s="2" t="s">
        <v>424</v>
      </c>
    </row>
    <row r="13" spans="1:3" x14ac:dyDescent="0.2">
      <c r="B13" s="2" t="s">
        <v>453</v>
      </c>
      <c r="C13" s="2" t="s">
        <v>454</v>
      </c>
    </row>
    <row r="19" spans="2:3" x14ac:dyDescent="0.2">
      <c r="B19" s="2" t="s">
        <v>408</v>
      </c>
    </row>
    <row r="20" spans="2:3" x14ac:dyDescent="0.2">
      <c r="B20" s="2" t="s">
        <v>465</v>
      </c>
    </row>
    <row r="22" spans="2:3" x14ac:dyDescent="0.2">
      <c r="B22" s="41" t="s">
        <v>832</v>
      </c>
    </row>
    <row r="23" spans="2:3" x14ac:dyDescent="0.2">
      <c r="B23" s="1" t="s">
        <v>310</v>
      </c>
      <c r="C23" s="2" t="s">
        <v>833</v>
      </c>
    </row>
    <row r="24" spans="2:3" x14ac:dyDescent="0.2">
      <c r="B24" s="1" t="s">
        <v>312</v>
      </c>
      <c r="C24" s="2" t="s">
        <v>834</v>
      </c>
    </row>
    <row r="25" spans="2:3" x14ac:dyDescent="0.2">
      <c r="B25" s="2" t="s">
        <v>450</v>
      </c>
      <c r="C25" s="2" t="s">
        <v>835</v>
      </c>
    </row>
    <row r="26" spans="2:3" x14ac:dyDescent="0.2">
      <c r="B26" s="2" t="s">
        <v>418</v>
      </c>
      <c r="C26" s="2" t="s">
        <v>836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2.75" x14ac:dyDescent="0.2"/>
  <cols>
    <col min="1" max="1" width="5" bestFit="1" customWidth="1"/>
    <col min="2" max="2" width="22.5703125" customWidth="1"/>
    <col min="3" max="26" width="8.7109375" customWidth="1"/>
  </cols>
  <sheetData>
    <row r="1" spans="1:26" x14ac:dyDescent="0.2">
      <c r="A1" s="40" t="s">
        <v>55</v>
      </c>
    </row>
    <row r="3" spans="1:26" x14ac:dyDescent="0.2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 x14ac:dyDescent="0.2">
      <c r="B4" s="2" t="s">
        <v>548</v>
      </c>
    </row>
    <row r="5" spans="1:26" x14ac:dyDescent="0.2">
      <c r="B5" s="2" t="s">
        <v>549</v>
      </c>
    </row>
    <row r="8" spans="1:26" x14ac:dyDescent="0.2">
      <c r="B8" s="2" t="s">
        <v>553</v>
      </c>
      <c r="C8" s="90">
        <v>15000</v>
      </c>
      <c r="D8" s="90">
        <f>C8*1.01</f>
        <v>15150</v>
      </c>
      <c r="E8" s="90">
        <f t="shared" ref="E8:Z8" si="1">D8*1.01</f>
        <v>15301.5</v>
      </c>
      <c r="F8" s="90">
        <f t="shared" si="1"/>
        <v>15454.514999999999</v>
      </c>
      <c r="G8" s="90">
        <f t="shared" si="1"/>
        <v>15609.060149999999</v>
      </c>
      <c r="H8" s="90">
        <f t="shared" si="1"/>
        <v>15765.150751499999</v>
      </c>
      <c r="I8" s="90">
        <f t="shared" si="1"/>
        <v>15922.802259014999</v>
      </c>
      <c r="J8" s="90">
        <f t="shared" si="1"/>
        <v>16082.03028160515</v>
      </c>
      <c r="K8" s="90">
        <f t="shared" si="1"/>
        <v>16242.850584421201</v>
      </c>
      <c r="L8" s="90">
        <f t="shared" si="1"/>
        <v>16405.279090265412</v>
      </c>
      <c r="M8" s="90">
        <f t="shared" si="1"/>
        <v>16569.331881168066</v>
      </c>
      <c r="N8" s="90">
        <f t="shared" si="1"/>
        <v>16735.025199979747</v>
      </c>
      <c r="O8" s="90">
        <f t="shared" si="1"/>
        <v>16902.375451979544</v>
      </c>
      <c r="P8" s="90">
        <f t="shared" si="1"/>
        <v>17071.39920649934</v>
      </c>
      <c r="Q8" s="90">
        <f t="shared" si="1"/>
        <v>17242.113198564333</v>
      </c>
      <c r="R8" s="90">
        <f t="shared" si="1"/>
        <v>17414.534330549977</v>
      </c>
      <c r="S8" s="90">
        <f t="shared" si="1"/>
        <v>17588.679673855477</v>
      </c>
      <c r="T8" s="90">
        <f t="shared" si="1"/>
        <v>17764.566470594033</v>
      </c>
      <c r="U8" s="90">
        <f t="shared" si="1"/>
        <v>17942.212135299975</v>
      </c>
      <c r="V8" s="90">
        <f t="shared" si="1"/>
        <v>18121.634256652975</v>
      </c>
      <c r="W8" s="90">
        <f t="shared" si="1"/>
        <v>18302.850599219506</v>
      </c>
      <c r="X8" s="90">
        <f t="shared" si="1"/>
        <v>18485.879105211701</v>
      </c>
      <c r="Y8" s="90">
        <f t="shared" si="1"/>
        <v>18670.737896263818</v>
      </c>
      <c r="Z8" s="90">
        <f t="shared" si="1"/>
        <v>18857.445275226455</v>
      </c>
    </row>
    <row r="9" spans="1:26" x14ac:dyDescent="0.2">
      <c r="B9" s="2" t="s">
        <v>554</v>
      </c>
      <c r="C9" s="90">
        <v>15000</v>
      </c>
      <c r="D9" s="90">
        <f t="shared" ref="D9:Z9" si="2">C9*1.01</f>
        <v>15150</v>
      </c>
      <c r="E9" s="90">
        <f t="shared" si="2"/>
        <v>15301.5</v>
      </c>
      <c r="F9" s="90">
        <f t="shared" si="2"/>
        <v>15454.514999999999</v>
      </c>
      <c r="G9" s="90">
        <f t="shared" si="2"/>
        <v>15609.060149999999</v>
      </c>
      <c r="H9" s="90">
        <f t="shared" si="2"/>
        <v>15765.150751499999</v>
      </c>
      <c r="I9" s="90">
        <f t="shared" si="2"/>
        <v>15922.802259014999</v>
      </c>
      <c r="J9" s="90">
        <f t="shared" si="2"/>
        <v>16082.03028160515</v>
      </c>
      <c r="K9" s="90">
        <f t="shared" si="2"/>
        <v>16242.850584421201</v>
      </c>
      <c r="L9" s="90">
        <f t="shared" si="2"/>
        <v>16405.279090265412</v>
      </c>
      <c r="M9" s="90">
        <f t="shared" si="2"/>
        <v>16569.331881168066</v>
      </c>
      <c r="N9" s="90">
        <f t="shared" si="2"/>
        <v>16735.025199979747</v>
      </c>
      <c r="O9" s="90">
        <f t="shared" si="2"/>
        <v>16902.375451979544</v>
      </c>
      <c r="P9" s="90">
        <f t="shared" si="2"/>
        <v>17071.39920649934</v>
      </c>
      <c r="Q9" s="90">
        <f t="shared" si="2"/>
        <v>17242.113198564333</v>
      </c>
      <c r="R9" s="90">
        <f t="shared" si="2"/>
        <v>17414.534330549977</v>
      </c>
      <c r="S9" s="90">
        <f t="shared" si="2"/>
        <v>17588.679673855477</v>
      </c>
      <c r="T9" s="90">
        <f t="shared" si="2"/>
        <v>17764.566470594033</v>
      </c>
      <c r="U9" s="90">
        <f t="shared" si="2"/>
        <v>17942.212135299975</v>
      </c>
      <c r="V9" s="90">
        <f t="shared" si="2"/>
        <v>18121.634256652975</v>
      </c>
      <c r="W9" s="90">
        <f t="shared" si="2"/>
        <v>18302.850599219506</v>
      </c>
      <c r="X9" s="90">
        <f t="shared" si="2"/>
        <v>18485.879105211701</v>
      </c>
      <c r="Y9" s="90">
        <f t="shared" si="2"/>
        <v>18670.737896263818</v>
      </c>
      <c r="Z9" s="90">
        <f t="shared" si="2"/>
        <v>18857.445275226455</v>
      </c>
    </row>
    <row r="10" spans="1:26" x14ac:dyDescent="0.2">
      <c r="B10" s="2" t="s">
        <v>556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6" x14ac:dyDescent="0.2">
      <c r="B11" s="2" t="s">
        <v>557</v>
      </c>
      <c r="C11" s="90">
        <f>SUM(C8:C10)</f>
        <v>30000</v>
      </c>
      <c r="D11" s="90">
        <f t="shared" ref="D11:Z11" si="3">SUM(D8:D10)</f>
        <v>30300</v>
      </c>
      <c r="E11" s="90">
        <f t="shared" si="3"/>
        <v>30603</v>
      </c>
      <c r="F11" s="90">
        <f t="shared" si="3"/>
        <v>30909.03</v>
      </c>
      <c r="G11" s="90">
        <f t="shared" si="3"/>
        <v>31218.120299999999</v>
      </c>
      <c r="H11" s="90">
        <f t="shared" si="3"/>
        <v>31530.301502999999</v>
      </c>
      <c r="I11" s="90">
        <f t="shared" si="3"/>
        <v>31845.604518029999</v>
      </c>
      <c r="J11" s="90">
        <f t="shared" si="3"/>
        <v>32164.0605632103</v>
      </c>
      <c r="K11" s="90">
        <f t="shared" si="3"/>
        <v>32485.701168842403</v>
      </c>
      <c r="L11" s="90">
        <f t="shared" si="3"/>
        <v>32810.558180530825</v>
      </c>
      <c r="M11" s="90">
        <f t="shared" si="3"/>
        <v>33138.663762336131</v>
      </c>
      <c r="N11" s="90">
        <f t="shared" si="3"/>
        <v>33470.050399959495</v>
      </c>
      <c r="O11" s="90">
        <f t="shared" si="3"/>
        <v>33804.750903959088</v>
      </c>
      <c r="P11" s="90">
        <f t="shared" si="3"/>
        <v>34142.79841299868</v>
      </c>
      <c r="Q11" s="90">
        <f t="shared" si="3"/>
        <v>34484.226397128667</v>
      </c>
      <c r="R11" s="90">
        <f t="shared" si="3"/>
        <v>34829.068661099955</v>
      </c>
      <c r="S11" s="90">
        <f t="shared" si="3"/>
        <v>35177.359347710953</v>
      </c>
      <c r="T11" s="90">
        <f t="shared" si="3"/>
        <v>35529.132941188065</v>
      </c>
      <c r="U11" s="90">
        <f t="shared" si="3"/>
        <v>35884.42427059995</v>
      </c>
      <c r="V11" s="90">
        <f t="shared" si="3"/>
        <v>36243.268513305949</v>
      </c>
      <c r="W11" s="90">
        <f t="shared" si="3"/>
        <v>36605.701198439012</v>
      </c>
      <c r="X11" s="90">
        <f t="shared" si="3"/>
        <v>36971.758210423402</v>
      </c>
      <c r="Y11" s="90">
        <f t="shared" si="3"/>
        <v>37341.475792527635</v>
      </c>
      <c r="Z11" s="90">
        <f t="shared" si="3"/>
        <v>37714.89055045291</v>
      </c>
    </row>
    <row r="12" spans="1:26" x14ac:dyDescent="0.2">
      <c r="B12" s="2" t="s">
        <v>555</v>
      </c>
      <c r="C12" s="91">
        <v>0</v>
      </c>
      <c r="D12" s="91">
        <v>0.25</v>
      </c>
      <c r="E12" s="91">
        <v>0.3</v>
      </c>
      <c r="F12" s="91">
        <v>0.35</v>
      </c>
      <c r="G12" s="91">
        <v>0.35</v>
      </c>
      <c r="H12" s="91">
        <v>0.35</v>
      </c>
      <c r="I12" s="91">
        <v>0.35</v>
      </c>
      <c r="J12" s="91">
        <v>0.35</v>
      </c>
      <c r="K12" s="91">
        <v>0.35</v>
      </c>
      <c r="L12" s="91">
        <v>0.35</v>
      </c>
      <c r="M12" s="91">
        <v>0.35</v>
      </c>
      <c r="N12" s="91">
        <v>0.35</v>
      </c>
      <c r="O12" s="91">
        <v>0.35</v>
      </c>
      <c r="P12" s="91">
        <v>0.35</v>
      </c>
      <c r="Q12" s="91">
        <v>0.35</v>
      </c>
      <c r="R12" s="91">
        <v>0.35</v>
      </c>
      <c r="S12" s="91">
        <v>0.35</v>
      </c>
      <c r="T12" s="91">
        <v>0.35</v>
      </c>
      <c r="U12" s="91">
        <v>0.35</v>
      </c>
      <c r="V12" s="91">
        <v>0.35</v>
      </c>
      <c r="W12" s="91">
        <v>0.35</v>
      </c>
      <c r="X12" s="91">
        <v>0.35</v>
      </c>
      <c r="Y12" s="91">
        <v>0.35</v>
      </c>
      <c r="Z12" s="91">
        <v>0.35</v>
      </c>
    </row>
    <row r="13" spans="1:26" x14ac:dyDescent="0.2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2" customFormat="1" x14ac:dyDescent="0.2">
      <c r="B14" s="92" t="s">
        <v>558</v>
      </c>
      <c r="C14" s="93">
        <f>C13*C12*C9</f>
        <v>0</v>
      </c>
      <c r="D14" s="93">
        <f t="shared" ref="D14:Z14" si="4">D13*D12*D9</f>
        <v>189375</v>
      </c>
      <c r="E14" s="93">
        <f t="shared" si="4"/>
        <v>229522.5</v>
      </c>
      <c r="F14" s="93">
        <f t="shared" si="4"/>
        <v>270454.01250000001</v>
      </c>
      <c r="G14" s="93">
        <f t="shared" si="4"/>
        <v>273158.55262500001</v>
      </c>
      <c r="H14" s="93">
        <f t="shared" si="4"/>
        <v>275890.13815124996</v>
      </c>
      <c r="I14" s="93">
        <f t="shared" si="4"/>
        <v>278649.03953276249</v>
      </c>
      <c r="J14" s="93">
        <f t="shared" si="4"/>
        <v>281435.52992809011</v>
      </c>
      <c r="K14" s="93">
        <f t="shared" si="4"/>
        <v>284249.88522737101</v>
      </c>
      <c r="L14" s="93">
        <f t="shared" si="4"/>
        <v>287092.38407964469</v>
      </c>
      <c r="M14" s="93">
        <f t="shared" si="4"/>
        <v>289963.30792044115</v>
      </c>
      <c r="N14" s="93">
        <f t="shared" si="4"/>
        <v>292862.94099964557</v>
      </c>
      <c r="O14" s="93">
        <f t="shared" si="4"/>
        <v>295791.57040964201</v>
      </c>
      <c r="P14" s="93">
        <f t="shared" si="4"/>
        <v>298749.48611373844</v>
      </c>
      <c r="Q14" s="93">
        <f t="shared" si="4"/>
        <v>301736.98097487586</v>
      </c>
      <c r="R14" s="93">
        <f t="shared" si="4"/>
        <v>304754.35078462458</v>
      </c>
      <c r="S14" s="93">
        <f t="shared" si="4"/>
        <v>307801.89429247082</v>
      </c>
      <c r="T14" s="93">
        <f t="shared" si="4"/>
        <v>310879.91323539556</v>
      </c>
      <c r="U14" s="93">
        <f t="shared" si="4"/>
        <v>313988.71236774954</v>
      </c>
      <c r="V14" s="93">
        <f t="shared" si="4"/>
        <v>317128.59949142707</v>
      </c>
      <c r="W14" s="93">
        <f t="shared" si="4"/>
        <v>320299.88548634137</v>
      </c>
      <c r="X14" s="93">
        <f t="shared" si="4"/>
        <v>323502.88434120477</v>
      </c>
      <c r="Y14" s="93">
        <f t="shared" si="4"/>
        <v>326737.91318461683</v>
      </c>
      <c r="Z14" s="93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3" x14ac:dyDescent="0.2">
      <c r="A1" s="40" t="s">
        <v>55</v>
      </c>
    </row>
    <row r="2" spans="1:3" x14ac:dyDescent="0.2">
      <c r="B2" s="2" t="s">
        <v>822</v>
      </c>
      <c r="C2" s="2" t="s">
        <v>809</v>
      </c>
    </row>
    <row r="3" spans="1:3" x14ac:dyDescent="0.2">
      <c r="B3" s="2" t="s">
        <v>823</v>
      </c>
      <c r="C3" s="2" t="s">
        <v>860</v>
      </c>
    </row>
    <row r="4" spans="1:3" x14ac:dyDescent="0.2">
      <c r="B4" s="2" t="s">
        <v>44</v>
      </c>
      <c r="C4" s="2" t="s">
        <v>866</v>
      </c>
    </row>
    <row r="5" spans="1:3" x14ac:dyDescent="0.2">
      <c r="B5" s="2" t="s">
        <v>826</v>
      </c>
      <c r="C5" s="2" t="s">
        <v>858</v>
      </c>
    </row>
    <row r="6" spans="1:3" x14ac:dyDescent="0.2">
      <c r="B6" s="2" t="s">
        <v>65</v>
      </c>
      <c r="C6" s="2" t="s">
        <v>856</v>
      </c>
    </row>
    <row r="7" spans="1:3" x14ac:dyDescent="0.2">
      <c r="B7" s="2" t="s">
        <v>53</v>
      </c>
    </row>
    <row r="8" spans="1:3" x14ac:dyDescent="0.2">
      <c r="C8" s="41" t="s">
        <v>862</v>
      </c>
    </row>
    <row r="9" spans="1:3" x14ac:dyDescent="0.2">
      <c r="C9" s="2" t="s">
        <v>861</v>
      </c>
    </row>
    <row r="10" spans="1:3" x14ac:dyDescent="0.2">
      <c r="C10" s="2" t="s">
        <v>863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24</v>
      </c>
    </row>
    <row r="3" spans="1:3" x14ac:dyDescent="0.2">
      <c r="B3" s="5" t="s">
        <v>51</v>
      </c>
      <c r="C3" s="5" t="s">
        <v>260</v>
      </c>
    </row>
    <row r="4" spans="1:3" x14ac:dyDescent="0.2">
      <c r="B4" s="5" t="s">
        <v>44</v>
      </c>
      <c r="C4" s="5" t="s">
        <v>261</v>
      </c>
    </row>
    <row r="5" spans="1:3" x14ac:dyDescent="0.2">
      <c r="B5" s="5" t="s">
        <v>106</v>
      </c>
      <c r="C5" s="15" t="s">
        <v>287</v>
      </c>
    </row>
    <row r="6" spans="1:3" x14ac:dyDescent="0.2">
      <c r="B6" s="5" t="s">
        <v>53</v>
      </c>
    </row>
    <row r="7" spans="1:3" x14ac:dyDescent="0.2">
      <c r="C7" s="16" t="s">
        <v>237</v>
      </c>
    </row>
    <row r="8" spans="1:3" x14ac:dyDescent="0.2">
      <c r="C8" s="5" t="s">
        <v>238</v>
      </c>
    </row>
    <row r="10" spans="1:3" x14ac:dyDescent="0.2">
      <c r="C10" s="16" t="s">
        <v>264</v>
      </c>
    </row>
    <row r="12" spans="1:3" x14ac:dyDescent="0.2">
      <c r="C12" s="16" t="s">
        <v>262</v>
      </c>
    </row>
    <row r="14" spans="1:3" x14ac:dyDescent="0.2">
      <c r="C14" s="16" t="s">
        <v>263</v>
      </c>
    </row>
    <row r="16" spans="1:3" x14ac:dyDescent="0.2">
      <c r="C16" s="16" t="s">
        <v>444</v>
      </c>
    </row>
    <row r="17" spans="2:4" x14ac:dyDescent="0.2">
      <c r="C17" s="3" t="s">
        <v>445</v>
      </c>
    </row>
    <row r="18" spans="2:4" x14ac:dyDescent="0.2">
      <c r="C18" s="15"/>
    </row>
    <row r="19" spans="2:4" x14ac:dyDescent="0.2">
      <c r="C19" s="16" t="s">
        <v>438</v>
      </c>
    </row>
    <row r="21" spans="2:4" x14ac:dyDescent="0.2">
      <c r="B21" s="3" t="s">
        <v>399</v>
      </c>
    </row>
    <row r="22" spans="2:4" x14ac:dyDescent="0.2">
      <c r="C22" s="56">
        <v>39387</v>
      </c>
      <c r="D22" s="5">
        <v>109</v>
      </c>
    </row>
    <row r="23" spans="2:4" x14ac:dyDescent="0.2">
      <c r="C23" s="56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34</v>
      </c>
    </row>
    <row r="3" spans="1:3" x14ac:dyDescent="0.2">
      <c r="B3" s="5" t="s">
        <v>51</v>
      </c>
      <c r="C3" s="5" t="s">
        <v>245</v>
      </c>
    </row>
    <row r="4" spans="1:3" x14ac:dyDescent="0.2">
      <c r="B4" s="5" t="s">
        <v>44</v>
      </c>
      <c r="C4" s="5" t="s">
        <v>246</v>
      </c>
    </row>
    <row r="5" spans="1:3" x14ac:dyDescent="0.2">
      <c r="B5" s="5" t="s">
        <v>53</v>
      </c>
    </row>
    <row r="6" spans="1:3" x14ac:dyDescent="0.2">
      <c r="C6" s="16" t="s">
        <v>247</v>
      </c>
    </row>
    <row r="7" spans="1:3" x14ac:dyDescent="0.2">
      <c r="C7" s="5" t="s">
        <v>248</v>
      </c>
    </row>
    <row r="9" spans="1:3" x14ac:dyDescent="0.2">
      <c r="C9" s="16" t="s">
        <v>249</v>
      </c>
    </row>
    <row r="10" spans="1:3" x14ac:dyDescent="0.2">
      <c r="C10" s="5" t="s">
        <v>250</v>
      </c>
    </row>
    <row r="12" spans="1:3" x14ac:dyDescent="0.2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40" t="s">
        <v>55</v>
      </c>
    </row>
    <row r="2" spans="1:3" x14ac:dyDescent="0.2">
      <c r="B2" s="2" t="s">
        <v>49</v>
      </c>
      <c r="C2" s="2" t="s">
        <v>31</v>
      </c>
    </row>
    <row r="3" spans="1:3" x14ac:dyDescent="0.2">
      <c r="B3" s="2" t="s">
        <v>51</v>
      </c>
      <c r="C3" s="2" t="s">
        <v>514</v>
      </c>
    </row>
    <row r="4" spans="1:3" x14ac:dyDescent="0.2">
      <c r="B4" s="2" t="s">
        <v>74</v>
      </c>
      <c r="C4" s="2" t="s">
        <v>515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62</v>
      </c>
    </row>
    <row r="3" spans="1:3" x14ac:dyDescent="0.2">
      <c r="B3" s="4" t="s">
        <v>51</v>
      </c>
      <c r="C3" s="4" t="s">
        <v>210</v>
      </c>
    </row>
    <row r="4" spans="1:3" x14ac:dyDescent="0.2">
      <c r="B4" s="4" t="s">
        <v>66</v>
      </c>
      <c r="C4" s="4" t="s">
        <v>85</v>
      </c>
    </row>
    <row r="5" spans="1:3" x14ac:dyDescent="0.2">
      <c r="B5" s="4" t="s">
        <v>75</v>
      </c>
      <c r="C5" s="4" t="s">
        <v>209</v>
      </c>
    </row>
    <row r="6" spans="1:3" x14ac:dyDescent="0.2">
      <c r="B6" s="15" t="s">
        <v>191</v>
      </c>
      <c r="C6" s="15" t="s">
        <v>313</v>
      </c>
    </row>
    <row r="7" spans="1:3" x14ac:dyDescent="0.2">
      <c r="B7" s="4" t="s">
        <v>53</v>
      </c>
    </row>
    <row r="8" spans="1:3" x14ac:dyDescent="0.2">
      <c r="C8" s="16" t="s">
        <v>217</v>
      </c>
    </row>
    <row r="9" spans="1:3" x14ac:dyDescent="0.2">
      <c r="C9" s="17" t="s">
        <v>213</v>
      </c>
    </row>
    <row r="10" spans="1:3" x14ac:dyDescent="0.2">
      <c r="C10" s="4" t="s">
        <v>214</v>
      </c>
    </row>
    <row r="12" spans="1:3" x14ac:dyDescent="0.2">
      <c r="C12" s="16" t="s">
        <v>212</v>
      </c>
    </row>
    <row r="13" spans="1:3" x14ac:dyDescent="0.2">
      <c r="C13" s="4" t="s">
        <v>215</v>
      </c>
    </row>
    <row r="14" spans="1:3" x14ac:dyDescent="0.2">
      <c r="C14" s="4" t="s">
        <v>216</v>
      </c>
    </row>
    <row r="16" spans="1:3" x14ac:dyDescent="0.2">
      <c r="C16" s="16" t="s">
        <v>505</v>
      </c>
    </row>
    <row r="17" spans="3:3" x14ac:dyDescent="0.2">
      <c r="C17" s="4" t="s">
        <v>242</v>
      </c>
    </row>
    <row r="18" spans="3:3" x14ac:dyDescent="0.2">
      <c r="C18" s="3" t="s">
        <v>504</v>
      </c>
    </row>
    <row r="19" spans="3:3" x14ac:dyDescent="0.2">
      <c r="C19" s="3" t="s">
        <v>506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RowHeight="12.75" x14ac:dyDescent="0.2"/>
  <cols>
    <col min="1" max="1" width="5" style="58" bestFit="1" customWidth="1"/>
    <col min="2" max="2" width="11.28515625" style="58" bestFit="1" customWidth="1"/>
    <col min="3" max="16384" width="9.140625" style="58"/>
  </cols>
  <sheetData>
    <row r="1" spans="1:4" x14ac:dyDescent="0.2">
      <c r="A1" s="57" t="s">
        <v>55</v>
      </c>
    </row>
    <row r="2" spans="1:4" x14ac:dyDescent="0.2">
      <c r="B2" s="59" t="s">
        <v>49</v>
      </c>
      <c r="C2" s="59" t="s">
        <v>29</v>
      </c>
    </row>
    <row r="3" spans="1:4" x14ac:dyDescent="0.2">
      <c r="B3" s="59" t="s">
        <v>399</v>
      </c>
    </row>
    <row r="4" spans="1:4" x14ac:dyDescent="0.2">
      <c r="C4" s="60">
        <v>39387</v>
      </c>
      <c r="D4" s="58">
        <v>69</v>
      </c>
    </row>
    <row r="5" spans="1:4" x14ac:dyDescent="0.2">
      <c r="C5" s="60">
        <v>39356</v>
      </c>
      <c r="D5" s="58">
        <v>74</v>
      </c>
    </row>
    <row r="6" spans="1:4" x14ac:dyDescent="0.2">
      <c r="B6" s="59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51</v>
      </c>
      <c r="C2" s="5" t="s">
        <v>148</v>
      </c>
    </row>
    <row r="3" spans="1:3" x14ac:dyDescent="0.2">
      <c r="B3" s="5" t="s">
        <v>44</v>
      </c>
      <c r="C3" s="5" t="s">
        <v>236</v>
      </c>
    </row>
    <row r="4" spans="1:3" x14ac:dyDescent="0.2">
      <c r="B4" s="5" t="s">
        <v>66</v>
      </c>
      <c r="C4" s="5" t="s">
        <v>235</v>
      </c>
    </row>
    <row r="5" spans="1:3" x14ac:dyDescent="0.2">
      <c r="B5" s="5" t="s">
        <v>53</v>
      </c>
    </row>
    <row r="6" spans="1:3" x14ac:dyDescent="0.2">
      <c r="C6" s="16" t="s">
        <v>234</v>
      </c>
    </row>
    <row r="8" spans="1:3" x14ac:dyDescent="0.2">
      <c r="C8" s="16" t="s">
        <v>696</v>
      </c>
    </row>
    <row r="9" spans="1:3" x14ac:dyDescent="0.2">
      <c r="C9" s="3" t="s">
        <v>697</v>
      </c>
    </row>
    <row r="11" spans="1:3" x14ac:dyDescent="0.2">
      <c r="C11" s="16" t="s">
        <v>232</v>
      </c>
    </row>
    <row r="12" spans="1:3" x14ac:dyDescent="0.2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RowHeight="12.75" x14ac:dyDescent="0.2"/>
  <cols>
    <col min="1" max="1" width="5" style="77" bestFit="1" customWidth="1"/>
    <col min="2" max="2" width="14" style="77" bestFit="1" customWidth="1"/>
    <col min="3" max="16384" width="9.140625" style="77"/>
  </cols>
  <sheetData>
    <row r="1" spans="1:3" x14ac:dyDescent="0.2">
      <c r="A1" s="79" t="s">
        <v>55</v>
      </c>
    </row>
    <row r="2" spans="1:3" x14ac:dyDescent="0.2">
      <c r="B2" s="77" t="s">
        <v>49</v>
      </c>
      <c r="C2" s="77" t="s">
        <v>502</v>
      </c>
    </row>
    <row r="3" spans="1:3" x14ac:dyDescent="0.2">
      <c r="B3" s="77" t="s">
        <v>51</v>
      </c>
      <c r="C3" s="77" t="s">
        <v>501</v>
      </c>
    </row>
    <row r="4" spans="1:3" x14ac:dyDescent="0.2">
      <c r="B4" s="77" t="s">
        <v>44</v>
      </c>
      <c r="C4" s="77" t="s">
        <v>354</v>
      </c>
    </row>
    <row r="5" spans="1:3" x14ac:dyDescent="0.2">
      <c r="B5" s="77" t="s">
        <v>66</v>
      </c>
      <c r="C5" s="77" t="s">
        <v>500</v>
      </c>
    </row>
    <row r="6" spans="1:3" x14ac:dyDescent="0.2">
      <c r="B6" s="77" t="s">
        <v>65</v>
      </c>
      <c r="C6" s="77" t="s">
        <v>499</v>
      </c>
    </row>
    <row r="7" spans="1:3" x14ac:dyDescent="0.2">
      <c r="C7" s="77" t="s">
        <v>498</v>
      </c>
    </row>
    <row r="8" spans="1:3" x14ac:dyDescent="0.2">
      <c r="C8" s="77" t="s">
        <v>497</v>
      </c>
    </row>
    <row r="9" spans="1:3" x14ac:dyDescent="0.2">
      <c r="C9" s="77" t="s">
        <v>496</v>
      </c>
    </row>
    <row r="10" spans="1:3" x14ac:dyDescent="0.2">
      <c r="B10" s="77" t="s">
        <v>495</v>
      </c>
    </row>
    <row r="11" spans="1:3" x14ac:dyDescent="0.2">
      <c r="C11" s="78" t="s">
        <v>494</v>
      </c>
    </row>
    <row r="12" spans="1:3" x14ac:dyDescent="0.2">
      <c r="C12" s="78"/>
    </row>
    <row r="13" spans="1:3" x14ac:dyDescent="0.2">
      <c r="C13" s="78" t="s">
        <v>503</v>
      </c>
    </row>
    <row r="14" spans="1:3" x14ac:dyDescent="0.2">
      <c r="C14" s="78"/>
    </row>
    <row r="15" spans="1:3" x14ac:dyDescent="0.2">
      <c r="C15" s="78" t="s">
        <v>493</v>
      </c>
    </row>
    <row r="17" spans="3:3" x14ac:dyDescent="0.2">
      <c r="C17" s="78" t="s">
        <v>492</v>
      </c>
    </row>
    <row r="18" spans="3:3" x14ac:dyDescent="0.2">
      <c r="C18" s="77" t="s">
        <v>599</v>
      </c>
    </row>
    <row r="20" spans="3:3" x14ac:dyDescent="0.2">
      <c r="C20" s="78" t="s">
        <v>491</v>
      </c>
    </row>
    <row r="21" spans="3:3" x14ac:dyDescent="0.2">
      <c r="C21" s="77" t="s">
        <v>599</v>
      </c>
    </row>
    <row r="23" spans="3:3" x14ac:dyDescent="0.2">
      <c r="C23" s="78" t="s">
        <v>490</v>
      </c>
    </row>
    <row r="25" spans="3:3" x14ac:dyDescent="0.2">
      <c r="C25" s="78" t="s">
        <v>518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40" t="s">
        <v>55</v>
      </c>
    </row>
    <row r="2" spans="1:3" x14ac:dyDescent="0.2">
      <c r="B2" s="2" t="s">
        <v>49</v>
      </c>
    </row>
    <row r="3" spans="1:3" x14ac:dyDescent="0.2">
      <c r="B3" s="2" t="s">
        <v>51</v>
      </c>
      <c r="C3" s="2" t="s">
        <v>318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RowHeight="12.75" x14ac:dyDescent="0.2"/>
  <cols>
    <col min="1" max="1" width="5" bestFit="1" customWidth="1"/>
    <col min="2" max="2" width="19.85546875" bestFit="1" customWidth="1"/>
    <col min="9" max="9" width="12.5703125" bestFit="1" customWidth="1"/>
    <col min="15" max="15" width="10.140625" bestFit="1" customWidth="1"/>
    <col min="17" max="17" width="10.140625" bestFit="1" customWidth="1"/>
  </cols>
  <sheetData>
    <row r="1" spans="1:19" x14ac:dyDescent="0.2">
      <c r="A1" s="116" t="s">
        <v>55</v>
      </c>
    </row>
    <row r="2" spans="1:19" x14ac:dyDescent="0.2">
      <c r="B2" s="41" t="s">
        <v>617</v>
      </c>
    </row>
    <row r="3" spans="1:19" x14ac:dyDescent="0.2">
      <c r="E3" s="2" t="s">
        <v>641</v>
      </c>
      <c r="F3" s="2" t="s">
        <v>642</v>
      </c>
    </row>
    <row r="4" spans="1:19" x14ac:dyDescent="0.2">
      <c r="B4" s="2" t="s">
        <v>43</v>
      </c>
      <c r="C4" s="2" t="s">
        <v>618</v>
      </c>
      <c r="D4" s="2" t="s">
        <v>619</v>
      </c>
      <c r="E4" s="2" t="s">
        <v>620</v>
      </c>
      <c r="F4" s="2" t="s">
        <v>620</v>
      </c>
      <c r="G4" s="2" t="s">
        <v>621</v>
      </c>
      <c r="H4" s="2" t="s">
        <v>622</v>
      </c>
      <c r="I4" s="2" t="s">
        <v>623</v>
      </c>
      <c r="J4" t="s">
        <v>106</v>
      </c>
      <c r="K4" t="s">
        <v>625</v>
      </c>
      <c r="L4" t="s">
        <v>626</v>
      </c>
      <c r="M4" t="s">
        <v>627</v>
      </c>
      <c r="N4" t="s">
        <v>628</v>
      </c>
      <c r="O4" t="s">
        <v>629</v>
      </c>
      <c r="P4" t="s">
        <v>630</v>
      </c>
      <c r="Q4" t="s">
        <v>631</v>
      </c>
      <c r="R4" t="s">
        <v>632</v>
      </c>
      <c r="S4" s="2" t="s">
        <v>637</v>
      </c>
    </row>
    <row r="5" spans="1:19" x14ac:dyDescent="0.2">
      <c r="C5">
        <v>2010</v>
      </c>
    </row>
    <row r="6" spans="1:19" x14ac:dyDescent="0.2">
      <c r="C6">
        <v>2011</v>
      </c>
    </row>
    <row r="7" spans="1:19" x14ac:dyDescent="0.2">
      <c r="C7">
        <v>2012</v>
      </c>
    </row>
    <row r="8" spans="1:19" x14ac:dyDescent="0.2">
      <c r="C8">
        <v>2013</v>
      </c>
    </row>
    <row r="9" spans="1:19" x14ac:dyDescent="0.2">
      <c r="C9">
        <v>2014</v>
      </c>
    </row>
    <row r="10" spans="1:19" x14ac:dyDescent="0.2">
      <c r="B10" s="2" t="s">
        <v>665</v>
      </c>
      <c r="C10" s="103">
        <v>42200</v>
      </c>
      <c r="D10" s="102">
        <v>38551</v>
      </c>
      <c r="E10" s="2" t="s">
        <v>655</v>
      </c>
      <c r="F10" s="2" t="s">
        <v>663</v>
      </c>
      <c r="G10" s="90">
        <v>993.32</v>
      </c>
      <c r="H10" s="101">
        <v>4.7500000000000001E-2</v>
      </c>
      <c r="I10" s="2" t="s">
        <v>624</v>
      </c>
      <c r="J10">
        <v>107.1</v>
      </c>
      <c r="K10" s="101">
        <v>3.2599999999999997E-2</v>
      </c>
      <c r="L10" s="2" t="s">
        <v>640</v>
      </c>
      <c r="M10" s="2" t="s">
        <v>633</v>
      </c>
      <c r="N10" s="101">
        <v>7.3590000000000003E-2</v>
      </c>
      <c r="O10" s="102">
        <v>39736</v>
      </c>
      <c r="P10" s="101">
        <v>2.8389999999999999E-2</v>
      </c>
      <c r="Q10" s="102">
        <v>40133</v>
      </c>
      <c r="R10" s="101">
        <v>2.4500000000000001E-2</v>
      </c>
      <c r="S10" s="101">
        <f t="shared" ref="S10:S19" si="0">K10-R10</f>
        <v>8.0999999999999961E-3</v>
      </c>
    </row>
    <row r="11" spans="1:19" x14ac:dyDescent="0.2">
      <c r="B11" s="2" t="s">
        <v>664</v>
      </c>
      <c r="C11" s="102">
        <v>42200</v>
      </c>
      <c r="D11" s="102">
        <v>38546</v>
      </c>
      <c r="E11" s="2" t="s">
        <v>655</v>
      </c>
      <c r="F11" s="2" t="s">
        <v>663</v>
      </c>
      <c r="G11" s="90">
        <v>6.68</v>
      </c>
      <c r="H11" s="101">
        <v>4.7500000000000001E-2</v>
      </c>
      <c r="I11" s="2" t="s">
        <v>624</v>
      </c>
      <c r="J11">
        <v>108</v>
      </c>
      <c r="K11" s="101">
        <v>3.0700000000000002E-2</v>
      </c>
      <c r="L11" s="2" t="s">
        <v>640</v>
      </c>
      <c r="M11" s="2" t="s">
        <v>633</v>
      </c>
      <c r="N11" s="101">
        <v>7.5139999999999998E-2</v>
      </c>
      <c r="O11" s="102">
        <v>39745</v>
      </c>
      <c r="P11" s="101">
        <v>2.9579999999999999E-2</v>
      </c>
      <c r="Q11" s="102">
        <v>40144</v>
      </c>
      <c r="R11" s="101">
        <v>2.4500000000000001E-2</v>
      </c>
      <c r="S11" s="101">
        <f t="shared" si="0"/>
        <v>6.2000000000000006E-3</v>
      </c>
    </row>
    <row r="12" spans="1:19" x14ac:dyDescent="0.2">
      <c r="B12" s="2" t="s">
        <v>662</v>
      </c>
      <c r="C12" s="102">
        <v>42067</v>
      </c>
      <c r="D12" s="102">
        <v>39869</v>
      </c>
      <c r="E12" s="2" t="s">
        <v>661</v>
      </c>
      <c r="F12" s="2" t="s">
        <v>663</v>
      </c>
      <c r="G12" s="90">
        <v>1250</v>
      </c>
      <c r="H12" s="101">
        <v>5.5E-2</v>
      </c>
      <c r="I12" s="2" t="s">
        <v>644</v>
      </c>
      <c r="J12">
        <v>107.8914</v>
      </c>
      <c r="K12" s="101">
        <v>3.6400000000000002E-2</v>
      </c>
      <c r="L12" s="2" t="s">
        <v>634</v>
      </c>
      <c r="M12" s="2" t="s">
        <v>633</v>
      </c>
      <c r="N12" s="101">
        <v>5.6730000000000003E-2</v>
      </c>
      <c r="O12" s="102">
        <v>39870</v>
      </c>
      <c r="P12" s="101">
        <v>3.6339999999999997E-2</v>
      </c>
      <c r="Q12" s="102">
        <v>40270</v>
      </c>
      <c r="R12" s="101">
        <v>2.4500000000000001E-2</v>
      </c>
      <c r="S12" s="101">
        <f t="shared" si="0"/>
        <v>1.1900000000000001E-2</v>
      </c>
    </row>
    <row r="13" spans="1:19" x14ac:dyDescent="0.2">
      <c r="B13" s="2" t="s">
        <v>660</v>
      </c>
      <c r="C13" s="102">
        <v>42433</v>
      </c>
      <c r="D13" s="102">
        <v>39869</v>
      </c>
      <c r="E13" s="2" t="s">
        <v>659</v>
      </c>
      <c r="F13" s="2" t="s">
        <v>661</v>
      </c>
      <c r="G13" s="90">
        <v>2750</v>
      </c>
      <c r="H13" s="101">
        <v>5.6250000000000001E-2</v>
      </c>
      <c r="I13" s="2" t="s">
        <v>647</v>
      </c>
      <c r="J13">
        <v>113.5855</v>
      </c>
      <c r="K13" s="101">
        <v>3.0300000000000001E-2</v>
      </c>
      <c r="L13" s="2" t="s">
        <v>634</v>
      </c>
      <c r="M13" s="2" t="s">
        <v>633</v>
      </c>
      <c r="N13" s="101">
        <v>5.5359999999999999E-2</v>
      </c>
      <c r="O13" s="102">
        <v>39870</v>
      </c>
      <c r="P13" s="101">
        <v>3.024E-2</v>
      </c>
      <c r="Q13" s="103">
        <v>40284</v>
      </c>
      <c r="R13" s="101">
        <f>AVERAGE(2.48%,3.19%)</f>
        <v>2.835E-2</v>
      </c>
      <c r="S13" s="101">
        <f t="shared" si="0"/>
        <v>1.9500000000000003E-3</v>
      </c>
    </row>
    <row r="14" spans="1:19" x14ac:dyDescent="0.2">
      <c r="B14" s="2" t="s">
        <v>656</v>
      </c>
      <c r="C14" s="102">
        <v>42817</v>
      </c>
      <c r="D14" s="102">
        <v>39876</v>
      </c>
      <c r="E14" s="2" t="s">
        <v>658</v>
      </c>
      <c r="F14" s="2" t="s">
        <v>659</v>
      </c>
      <c r="G14" s="90">
        <v>1500</v>
      </c>
      <c r="H14" s="101">
        <v>4.4999999999999998E-2</v>
      </c>
      <c r="I14" s="2" t="s">
        <v>657</v>
      </c>
      <c r="J14">
        <v>115.0825</v>
      </c>
      <c r="K14" s="101">
        <v>2.1499999999999998E-2</v>
      </c>
      <c r="L14" s="2" t="s">
        <v>634</v>
      </c>
      <c r="M14" s="2" t="s">
        <v>633</v>
      </c>
      <c r="N14" s="101">
        <v>4.4569999999999999E-2</v>
      </c>
      <c r="O14" s="102">
        <v>39876</v>
      </c>
      <c r="P14" s="101">
        <v>2.1149999999999999E-2</v>
      </c>
      <c r="Q14" s="102">
        <v>40274</v>
      </c>
      <c r="R14" s="101">
        <v>3.1899999999999998E-2</v>
      </c>
      <c r="S14" s="101">
        <f t="shared" si="0"/>
        <v>-1.04E-2</v>
      </c>
    </row>
    <row r="15" spans="1:19" x14ac:dyDescent="0.2">
      <c r="B15" s="2" t="s">
        <v>653</v>
      </c>
      <c r="C15" s="102">
        <v>43525</v>
      </c>
      <c r="D15" s="102">
        <v>39862</v>
      </c>
      <c r="E15" s="2" t="s">
        <v>655</v>
      </c>
      <c r="F15" s="2" t="s">
        <v>654</v>
      </c>
      <c r="G15" s="90">
        <v>4500</v>
      </c>
      <c r="H15" s="101">
        <v>0.06</v>
      </c>
      <c r="I15" s="2" t="s">
        <v>624</v>
      </c>
      <c r="J15">
        <v>110.85899999999999</v>
      </c>
      <c r="K15" s="101">
        <v>4.4499999999999998E-2</v>
      </c>
      <c r="L15" s="2" t="s">
        <v>634</v>
      </c>
      <c r="M15" s="2" t="s">
        <v>633</v>
      </c>
      <c r="N15" s="101">
        <v>5.9859999999999997E-2</v>
      </c>
      <c r="O15" s="102">
        <v>39889</v>
      </c>
      <c r="P15" s="101">
        <v>4.2569999999999997E-2</v>
      </c>
      <c r="Q15" s="102">
        <v>40147</v>
      </c>
      <c r="R15" s="101">
        <v>3.7499999999999999E-2</v>
      </c>
      <c r="S15" s="101">
        <f t="shared" si="0"/>
        <v>6.9999999999999993E-3</v>
      </c>
    </row>
    <row r="16" spans="1:19" x14ac:dyDescent="0.2">
      <c r="B16" s="2" t="s">
        <v>646</v>
      </c>
      <c r="C16" s="102">
        <v>44259</v>
      </c>
      <c r="D16" s="102">
        <v>39869</v>
      </c>
      <c r="E16" s="2" t="s">
        <v>648</v>
      </c>
      <c r="F16" s="2" t="s">
        <v>649</v>
      </c>
      <c r="G16" s="90">
        <v>1750</v>
      </c>
      <c r="H16" s="101">
        <v>6.5000000000000002E-2</v>
      </c>
      <c r="I16" s="2" t="s">
        <v>647</v>
      </c>
      <c r="J16">
        <v>122.0099</v>
      </c>
      <c r="K16" s="101">
        <v>3.95E-2</v>
      </c>
      <c r="L16" s="2" t="s">
        <v>634</v>
      </c>
      <c r="M16" s="2" t="s">
        <v>633</v>
      </c>
      <c r="N16" s="101">
        <v>6.4390000000000003E-2</v>
      </c>
      <c r="O16" s="102">
        <v>39870</v>
      </c>
      <c r="P16" s="101">
        <v>3.9410000000000001E-2</v>
      </c>
      <c r="Q16" s="102">
        <v>40260</v>
      </c>
      <c r="R16" s="101">
        <v>3.7499999999999999E-2</v>
      </c>
      <c r="S16" s="101">
        <f t="shared" si="0"/>
        <v>2.0000000000000018E-3</v>
      </c>
    </row>
    <row r="17" spans="2:19" x14ac:dyDescent="0.2">
      <c r="B17" s="2" t="s">
        <v>643</v>
      </c>
      <c r="C17" s="102">
        <v>45167</v>
      </c>
      <c r="D17" s="102">
        <v>37854</v>
      </c>
      <c r="E17" s="2" t="s">
        <v>645</v>
      </c>
      <c r="F17" s="2" t="s">
        <v>650</v>
      </c>
      <c r="G17" s="90">
        <v>250</v>
      </c>
      <c r="H17" s="101">
        <v>5.3749999999999999E-2</v>
      </c>
      <c r="I17" s="2" t="s">
        <v>644</v>
      </c>
      <c r="J17">
        <v>102.3557</v>
      </c>
      <c r="K17" s="101">
        <v>3.6999999999999998E-2</v>
      </c>
      <c r="L17" s="2" t="s">
        <v>634</v>
      </c>
      <c r="M17" s="2" t="s">
        <v>633</v>
      </c>
      <c r="N17" s="101">
        <v>7.0470000000000005E-2</v>
      </c>
      <c r="O17" s="102">
        <v>39756</v>
      </c>
      <c r="P17" s="101">
        <v>4.546E-2</v>
      </c>
      <c r="Q17" s="102">
        <v>38735</v>
      </c>
      <c r="R17" s="101">
        <v>2.1000000000000001E-2</v>
      </c>
      <c r="S17" s="101">
        <f t="shared" si="0"/>
        <v>1.5999999999999997E-2</v>
      </c>
    </row>
    <row r="18" spans="2:19" x14ac:dyDescent="0.2">
      <c r="B18" s="2" t="s">
        <v>638</v>
      </c>
      <c r="C18" s="102">
        <v>49505</v>
      </c>
      <c r="D18" s="102">
        <v>38551</v>
      </c>
      <c r="E18" s="2" t="s">
        <v>635</v>
      </c>
      <c r="F18" s="2" t="s">
        <v>651</v>
      </c>
      <c r="G18" s="90">
        <v>500</v>
      </c>
      <c r="H18" s="101">
        <v>5.2499999999999998E-2</v>
      </c>
      <c r="I18" s="2" t="s">
        <v>639</v>
      </c>
      <c r="J18">
        <v>98.950999999999993</v>
      </c>
      <c r="K18" s="101">
        <v>4.3900000000000002E-2</v>
      </c>
      <c r="L18" s="2" t="s">
        <v>640</v>
      </c>
      <c r="M18" s="2" t="s">
        <v>633</v>
      </c>
      <c r="N18" s="101">
        <v>7.2969999999999993E-2</v>
      </c>
      <c r="O18" s="102">
        <v>39735</v>
      </c>
      <c r="P18" s="101">
        <v>5.135E-2</v>
      </c>
      <c r="Q18" s="102">
        <v>40147</v>
      </c>
      <c r="R18" s="101">
        <v>0.03</v>
      </c>
      <c r="S18" s="101">
        <f t="shared" si="0"/>
        <v>1.3900000000000003E-2</v>
      </c>
    </row>
    <row r="19" spans="2:19" x14ac:dyDescent="0.2">
      <c r="B19" s="2" t="s">
        <v>636</v>
      </c>
      <c r="C19" s="102">
        <v>50830</v>
      </c>
      <c r="D19" s="102">
        <v>39862</v>
      </c>
      <c r="E19" s="2" t="s">
        <v>635</v>
      </c>
      <c r="F19" s="2" t="s">
        <v>652</v>
      </c>
      <c r="G19" s="90">
        <v>2500</v>
      </c>
      <c r="H19" s="101">
        <v>7.0000000000000007E-2</v>
      </c>
      <c r="I19" s="2" t="s">
        <v>624</v>
      </c>
      <c r="J19">
        <v>125.7942</v>
      </c>
      <c r="K19" s="101">
        <v>4.5999999999999999E-2</v>
      </c>
      <c r="L19" s="2" t="s">
        <v>634</v>
      </c>
      <c r="M19" s="2" t="s">
        <v>633</v>
      </c>
      <c r="N19" s="101">
        <v>6.8470000000000003E-2</v>
      </c>
      <c r="O19" s="102">
        <v>39863</v>
      </c>
      <c r="P19" s="101">
        <v>4.5159999999999999E-2</v>
      </c>
      <c r="Q19" s="102">
        <v>40416</v>
      </c>
      <c r="R19" s="101">
        <v>3.4799999999999998E-2</v>
      </c>
      <c r="S19" s="101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50</v>
      </c>
    </row>
    <row r="3" spans="1:3" x14ac:dyDescent="0.2">
      <c r="B3" s="5" t="s">
        <v>51</v>
      </c>
      <c r="C3" s="5" t="s">
        <v>52</v>
      </c>
    </row>
    <row r="4" spans="1:3" x14ac:dyDescent="0.2">
      <c r="B4" s="5" t="s">
        <v>104</v>
      </c>
      <c r="C4" s="5" t="s">
        <v>105</v>
      </c>
    </row>
    <row r="5" spans="1:3" x14ac:dyDescent="0.2">
      <c r="B5" s="5" t="s">
        <v>74</v>
      </c>
      <c r="C5" s="5" t="s">
        <v>175</v>
      </c>
    </row>
    <row r="6" spans="1:3" x14ac:dyDescent="0.2">
      <c r="B6" s="5" t="s">
        <v>53</v>
      </c>
    </row>
    <row r="7" spans="1:3" x14ac:dyDescent="0.2">
      <c r="C7" s="5" t="s">
        <v>54</v>
      </c>
    </row>
    <row r="9" spans="1:3" x14ac:dyDescent="0.2">
      <c r="C9" s="16" t="s">
        <v>89</v>
      </c>
    </row>
    <row r="10" spans="1:3" x14ac:dyDescent="0.2">
      <c r="C10" s="5" t="s">
        <v>88</v>
      </c>
    </row>
    <row r="11" spans="1:3" x14ac:dyDescent="0.2">
      <c r="C11" s="5" t="s">
        <v>90</v>
      </c>
    </row>
    <row r="12" spans="1:3" x14ac:dyDescent="0.2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  <col min="3" max="3" width="7.28515625" bestFit="1" customWidth="1"/>
  </cols>
  <sheetData>
    <row r="1" spans="1:4" x14ac:dyDescent="0.2">
      <c r="A1" s="40" t="s">
        <v>55</v>
      </c>
    </row>
    <row r="2" spans="1:4" x14ac:dyDescent="0.2">
      <c r="B2" s="2" t="s">
        <v>49</v>
      </c>
      <c r="C2" s="2" t="s">
        <v>25</v>
      </c>
    </row>
    <row r="3" spans="1:4" x14ac:dyDescent="0.2">
      <c r="B3" s="3" t="s">
        <v>399</v>
      </c>
      <c r="C3" s="5"/>
      <c r="D3" s="5"/>
    </row>
    <row r="4" spans="1:4" x14ac:dyDescent="0.2">
      <c r="B4" s="5"/>
      <c r="C4" s="56">
        <v>39387</v>
      </c>
      <c r="D4" s="5">
        <v>37</v>
      </c>
    </row>
    <row r="5" spans="1:4" x14ac:dyDescent="0.2">
      <c r="B5" s="5"/>
      <c r="C5" s="56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RowHeight="12.75" x14ac:dyDescent="0.2"/>
  <cols>
    <col min="1" max="1" width="5" bestFit="1" customWidth="1"/>
  </cols>
  <sheetData>
    <row r="1" spans="1:6" x14ac:dyDescent="0.2">
      <c r="A1" s="40" t="s">
        <v>55</v>
      </c>
    </row>
    <row r="3" spans="1:6" x14ac:dyDescent="0.2">
      <c r="B3" s="2" t="s">
        <v>122</v>
      </c>
      <c r="C3" s="2" t="s">
        <v>123</v>
      </c>
    </row>
    <row r="4" spans="1:6" x14ac:dyDescent="0.2">
      <c r="B4" s="2" t="s">
        <v>199</v>
      </c>
      <c r="C4" s="2" t="s">
        <v>67</v>
      </c>
      <c r="D4" s="2" t="s">
        <v>114</v>
      </c>
    </row>
    <row r="5" spans="1:6" x14ac:dyDescent="0.2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 x14ac:dyDescent="0.2">
      <c r="B6" s="8" t="s">
        <v>290</v>
      </c>
      <c r="C6" s="11" t="s">
        <v>291</v>
      </c>
      <c r="D6" s="11" t="s">
        <v>110</v>
      </c>
      <c r="E6" s="14">
        <v>1</v>
      </c>
      <c r="F6" s="11" t="s">
        <v>292</v>
      </c>
    </row>
    <row r="7" spans="1:6" x14ac:dyDescent="0.2">
      <c r="B7" s="8" t="s">
        <v>274</v>
      </c>
      <c r="C7" s="11" t="s">
        <v>275</v>
      </c>
      <c r="D7" s="11" t="s">
        <v>110</v>
      </c>
      <c r="E7" s="14">
        <v>1</v>
      </c>
    </row>
    <row r="8" spans="1:6" x14ac:dyDescent="0.2">
      <c r="B8" s="8" t="s">
        <v>280</v>
      </c>
      <c r="C8" s="11" t="s">
        <v>115</v>
      </c>
      <c r="D8" s="11" t="s">
        <v>110</v>
      </c>
      <c r="E8" s="14">
        <v>1</v>
      </c>
    </row>
    <row r="9" spans="1:6" x14ac:dyDescent="0.2">
      <c r="B9" s="8" t="s">
        <v>278</v>
      </c>
      <c r="C9" s="11" t="s">
        <v>115</v>
      </c>
      <c r="D9" s="11" t="s">
        <v>110</v>
      </c>
      <c r="E9" s="14">
        <v>1</v>
      </c>
    </row>
    <row r="10" spans="1:6" x14ac:dyDescent="0.2">
      <c r="B10" s="54" t="s">
        <v>364</v>
      </c>
      <c r="C10" s="10" t="s">
        <v>361</v>
      </c>
      <c r="D10" s="10" t="s">
        <v>110</v>
      </c>
      <c r="E10" s="42">
        <v>1</v>
      </c>
      <c r="F10" s="10" t="s">
        <v>365</v>
      </c>
    </row>
    <row r="11" spans="1:6" x14ac:dyDescent="0.2">
      <c r="B11" s="8" t="s">
        <v>283</v>
      </c>
      <c r="C11" s="11" t="s">
        <v>284</v>
      </c>
      <c r="D11" s="11" t="s">
        <v>110</v>
      </c>
      <c r="E11" s="14">
        <v>1</v>
      </c>
    </row>
    <row r="12" spans="1:6" x14ac:dyDescent="0.2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 x14ac:dyDescent="0.2">
      <c r="B13" s="8" t="s">
        <v>118</v>
      </c>
      <c r="C13" s="11" t="s">
        <v>119</v>
      </c>
      <c r="D13" s="11" t="s">
        <v>80</v>
      </c>
      <c r="E13" s="14">
        <v>1</v>
      </c>
    </row>
    <row r="14" spans="1:6" x14ac:dyDescent="0.2">
      <c r="B14" s="8" t="s">
        <v>69</v>
      </c>
      <c r="C14" s="11" t="s">
        <v>67</v>
      </c>
      <c r="D14" s="11" t="s">
        <v>80</v>
      </c>
      <c r="E14" s="14">
        <v>1</v>
      </c>
    </row>
    <row r="15" spans="1:6" x14ac:dyDescent="0.2">
      <c r="B15" s="54" t="s">
        <v>125</v>
      </c>
      <c r="C15" s="10" t="s">
        <v>124</v>
      </c>
      <c r="D15" s="10" t="s">
        <v>80</v>
      </c>
      <c r="E15" s="2" t="s">
        <v>126</v>
      </c>
      <c r="F15" s="2" t="s">
        <v>604</v>
      </c>
    </row>
    <row r="16" spans="1:6" x14ac:dyDescent="0.2">
      <c r="B16" s="54" t="s">
        <v>382</v>
      </c>
      <c r="C16" s="10" t="s">
        <v>291</v>
      </c>
      <c r="D16" s="10" t="s">
        <v>80</v>
      </c>
      <c r="E16" s="2" t="s">
        <v>578</v>
      </c>
      <c r="F16" s="2" t="s">
        <v>605</v>
      </c>
    </row>
    <row r="17" spans="2:4" x14ac:dyDescent="0.2">
      <c r="B17" s="54" t="s">
        <v>614</v>
      </c>
      <c r="C17" s="10" t="s">
        <v>291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61" t="s">
        <v>55</v>
      </c>
    </row>
    <row r="2" spans="1:3" x14ac:dyDescent="0.2">
      <c r="B2" s="5" t="s">
        <v>49</v>
      </c>
      <c r="C2" s="3" t="s">
        <v>533</v>
      </c>
    </row>
    <row r="3" spans="1:3" x14ac:dyDescent="0.2">
      <c r="B3" s="5" t="s">
        <v>51</v>
      </c>
      <c r="C3" s="5" t="s">
        <v>532</v>
      </c>
    </row>
    <row r="4" spans="1:3" x14ac:dyDescent="0.2">
      <c r="B4" s="5" t="s">
        <v>44</v>
      </c>
      <c r="C4" s="5" t="s">
        <v>70</v>
      </c>
    </row>
    <row r="5" spans="1:3" x14ac:dyDescent="0.2">
      <c r="B5" s="5" t="s">
        <v>65</v>
      </c>
      <c r="C5" s="5" t="s">
        <v>77</v>
      </c>
    </row>
    <row r="6" spans="1:3" x14ac:dyDescent="0.2">
      <c r="B6" s="5" t="s">
        <v>66</v>
      </c>
      <c r="C6" s="5" t="s">
        <v>98</v>
      </c>
    </row>
    <row r="7" spans="1:3" x14ac:dyDescent="0.2">
      <c r="C7" s="5" t="s">
        <v>99</v>
      </c>
    </row>
    <row r="8" spans="1:3" x14ac:dyDescent="0.2">
      <c r="C8" s="5" t="s">
        <v>100</v>
      </c>
    </row>
    <row r="9" spans="1:3" x14ac:dyDescent="0.2">
      <c r="C9" s="5" t="s">
        <v>101</v>
      </c>
    </row>
    <row r="10" spans="1:3" x14ac:dyDescent="0.2">
      <c r="C10" s="5" t="s">
        <v>102</v>
      </c>
    </row>
    <row r="11" spans="1:3" x14ac:dyDescent="0.2">
      <c r="B11" s="5" t="s">
        <v>75</v>
      </c>
      <c r="C11" s="5" t="s">
        <v>76</v>
      </c>
    </row>
    <row r="12" spans="1:3" x14ac:dyDescent="0.2">
      <c r="B12" s="5" t="s">
        <v>96</v>
      </c>
      <c r="C12" s="5" t="s">
        <v>97</v>
      </c>
    </row>
    <row r="13" spans="1:3" x14ac:dyDescent="0.2">
      <c r="B13" s="3" t="s">
        <v>53</v>
      </c>
    </row>
    <row r="14" spans="1:3" x14ac:dyDescent="0.2">
      <c r="C14" s="16" t="s">
        <v>525</v>
      </c>
    </row>
    <row r="15" spans="1:3" x14ac:dyDescent="0.2">
      <c r="C15" s="3" t="s">
        <v>526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40" t="s">
        <v>55</v>
      </c>
    </row>
    <row r="2" spans="1:3" x14ac:dyDescent="0.2">
      <c r="B2" s="1" t="s">
        <v>49</v>
      </c>
      <c r="C2" s="1" t="s">
        <v>294</v>
      </c>
    </row>
    <row r="3" spans="1:3" x14ac:dyDescent="0.2">
      <c r="B3" s="1" t="s">
        <v>51</v>
      </c>
      <c r="C3" s="1" t="s">
        <v>295</v>
      </c>
    </row>
    <row r="4" spans="1:3" x14ac:dyDescent="0.2">
      <c r="B4" s="1" t="s">
        <v>44</v>
      </c>
      <c r="C4" s="1" t="s">
        <v>296</v>
      </c>
    </row>
    <row r="5" spans="1:3" x14ac:dyDescent="0.2">
      <c r="B5" s="1" t="s">
        <v>66</v>
      </c>
      <c r="C5" s="1" t="s">
        <v>130</v>
      </c>
    </row>
    <row r="6" spans="1:3" x14ac:dyDescent="0.2">
      <c r="B6" s="1" t="s">
        <v>53</v>
      </c>
    </row>
    <row r="7" spans="1:3" x14ac:dyDescent="0.2">
      <c r="C7" s="41" t="s">
        <v>297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RowHeight="12.75" x14ac:dyDescent="0.2"/>
  <cols>
    <col min="1" max="1" width="5" style="4" bestFit="1" customWidth="1"/>
    <col min="2" max="2" width="12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78</v>
      </c>
    </row>
    <row r="3" spans="1:3" x14ac:dyDescent="0.2">
      <c r="B3" s="4" t="s">
        <v>66</v>
      </c>
      <c r="C3" s="4" t="s">
        <v>252</v>
      </c>
    </row>
    <row r="4" spans="1:3" x14ac:dyDescent="0.2">
      <c r="B4" s="4" t="s">
        <v>44</v>
      </c>
      <c r="C4" s="4" t="s">
        <v>246</v>
      </c>
    </row>
    <row r="5" spans="1:3" x14ac:dyDescent="0.2">
      <c r="B5" s="4" t="s">
        <v>75</v>
      </c>
      <c r="C5" s="4" t="s">
        <v>121</v>
      </c>
    </row>
    <row r="6" spans="1:3" x14ac:dyDescent="0.2">
      <c r="B6" s="4" t="s">
        <v>53</v>
      </c>
    </row>
    <row r="7" spans="1:3" x14ac:dyDescent="0.2">
      <c r="C7" s="16" t="s">
        <v>257</v>
      </c>
    </row>
    <row r="10" spans="1:3" x14ac:dyDescent="0.2">
      <c r="C10" s="16" t="s">
        <v>256</v>
      </c>
    </row>
    <row r="11" spans="1:3" x14ac:dyDescent="0.2">
      <c r="C11" s="4" t="s">
        <v>255</v>
      </c>
    </row>
    <row r="13" spans="1:3" x14ac:dyDescent="0.2">
      <c r="C13" s="4" t="s">
        <v>286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222</v>
      </c>
    </row>
    <row r="3" spans="1:3" x14ac:dyDescent="0.2">
      <c r="B3" s="4" t="s">
        <v>51</v>
      </c>
      <c r="C3" s="4" t="s">
        <v>199</v>
      </c>
    </row>
    <row r="4" spans="1:3" x14ac:dyDescent="0.2">
      <c r="B4" s="4" t="s">
        <v>66</v>
      </c>
      <c r="C4" s="4" t="s">
        <v>203</v>
      </c>
    </row>
    <row r="5" spans="1:3" x14ac:dyDescent="0.2">
      <c r="B5" s="4" t="s">
        <v>65</v>
      </c>
      <c r="C5" s="4" t="s">
        <v>200</v>
      </c>
    </row>
    <row r="6" spans="1:3" x14ac:dyDescent="0.2">
      <c r="B6" s="4" t="s">
        <v>9</v>
      </c>
      <c r="C6" s="4" t="s">
        <v>202</v>
      </c>
    </row>
    <row r="7" spans="1:3" x14ac:dyDescent="0.2">
      <c r="B7" s="4" t="s">
        <v>81</v>
      </c>
      <c r="C7" s="4" t="s">
        <v>201</v>
      </c>
    </row>
    <row r="8" spans="1:3" x14ac:dyDescent="0.2">
      <c r="B8" s="4" t="s">
        <v>53</v>
      </c>
    </row>
    <row r="9" spans="1:3" x14ac:dyDescent="0.2">
      <c r="C9" s="16" t="s">
        <v>511</v>
      </c>
    </row>
    <row r="10" spans="1:3" x14ac:dyDescent="0.2">
      <c r="C10" s="3" t="s">
        <v>512</v>
      </c>
    </row>
    <row r="11" spans="1:3" x14ac:dyDescent="0.2">
      <c r="C11" s="3" t="s">
        <v>513</v>
      </c>
    </row>
    <row r="13" spans="1:3" x14ac:dyDescent="0.2">
      <c r="C13" s="16" t="s">
        <v>204</v>
      </c>
    </row>
    <row r="14" spans="1:3" x14ac:dyDescent="0.2">
      <c r="C14" s="4" t="s">
        <v>221</v>
      </c>
    </row>
    <row r="15" spans="1:3" x14ac:dyDescent="0.2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2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7" sqref="B27"/>
    </sheetView>
  </sheetViews>
  <sheetFormatPr defaultRowHeight="12.75" x14ac:dyDescent="0.2"/>
  <cols>
    <col min="1" max="1" width="5" bestFit="1" customWidth="1"/>
    <col min="3" max="3" width="11.5703125" customWidth="1"/>
    <col min="6" max="6" width="10.140625" customWidth="1"/>
    <col min="7" max="7" width="13.140625" customWidth="1"/>
  </cols>
  <sheetData>
    <row r="1" spans="1:8" x14ac:dyDescent="0.2">
      <c r="A1" s="40" t="s">
        <v>55</v>
      </c>
    </row>
    <row r="2" spans="1:8" x14ac:dyDescent="0.2">
      <c r="B2" s="2" t="s">
        <v>822</v>
      </c>
      <c r="C2" s="2" t="s">
        <v>823</v>
      </c>
      <c r="D2" s="2" t="s">
        <v>44</v>
      </c>
      <c r="E2" s="2" t="s">
        <v>87</v>
      </c>
      <c r="F2" s="2" t="s">
        <v>65</v>
      </c>
      <c r="G2" s="2" t="s">
        <v>826</v>
      </c>
    </row>
    <row r="3" spans="1:8" x14ac:dyDescent="0.2">
      <c r="B3" s="2" t="s">
        <v>33</v>
      </c>
      <c r="C3" s="2" t="s">
        <v>827</v>
      </c>
      <c r="D3" s="2" t="s">
        <v>86</v>
      </c>
      <c r="E3">
        <v>1999</v>
      </c>
      <c r="F3" s="2" t="s">
        <v>828</v>
      </c>
      <c r="G3" s="2" t="s">
        <v>401</v>
      </c>
    </row>
    <row r="4" spans="1:8" x14ac:dyDescent="0.2">
      <c r="B4" s="2" t="s">
        <v>113</v>
      </c>
      <c r="C4" s="2" t="s">
        <v>830</v>
      </c>
      <c r="D4" s="2" t="s">
        <v>206</v>
      </c>
      <c r="E4" s="102">
        <v>36959</v>
      </c>
    </row>
    <row r="6" spans="1:8" x14ac:dyDescent="0.2">
      <c r="B6" s="3" t="s">
        <v>711</v>
      </c>
    </row>
    <row r="7" spans="1:8" x14ac:dyDescent="0.2">
      <c r="B7" s="3" t="s">
        <v>740</v>
      </c>
    </row>
    <row r="8" spans="1:8" x14ac:dyDescent="0.2">
      <c r="B8" s="3" t="s">
        <v>759</v>
      </c>
    </row>
    <row r="9" spans="1:8" x14ac:dyDescent="0.2">
      <c r="B9" s="4"/>
    </row>
    <row r="10" spans="1:8" x14ac:dyDescent="0.2">
      <c r="B10" s="4"/>
    </row>
    <row r="11" spans="1:8" x14ac:dyDescent="0.2">
      <c r="B11" s="4"/>
    </row>
    <row r="12" spans="1:8" x14ac:dyDescent="0.2">
      <c r="B12" s="3" t="s">
        <v>754</v>
      </c>
    </row>
    <row r="13" spans="1:8" x14ac:dyDescent="0.2">
      <c r="B13" s="3" t="s">
        <v>753</v>
      </c>
    </row>
    <row r="14" spans="1:8" x14ac:dyDescent="0.2">
      <c r="B14" s="54" t="s">
        <v>406</v>
      </c>
      <c r="C14" s="11" t="s">
        <v>67</v>
      </c>
      <c r="D14" s="11" t="s">
        <v>80</v>
      </c>
      <c r="E14" s="14">
        <v>1</v>
      </c>
      <c r="F14" s="11" t="s">
        <v>68</v>
      </c>
      <c r="G14" s="87"/>
      <c r="H14" s="43" t="s">
        <v>253</v>
      </c>
    </row>
    <row r="15" spans="1:8" x14ac:dyDescent="0.2">
      <c r="B15" s="54" t="s">
        <v>350</v>
      </c>
      <c r="C15" s="10" t="s">
        <v>281</v>
      </c>
      <c r="D15" s="11" t="s">
        <v>80</v>
      </c>
      <c r="E15" s="14">
        <v>1</v>
      </c>
      <c r="F15" s="11" t="s">
        <v>282</v>
      </c>
      <c r="G15" s="87"/>
      <c r="H15" s="36" t="s">
        <v>253</v>
      </c>
    </row>
    <row r="16" spans="1:8" x14ac:dyDescent="0.2">
      <c r="B16" s="54" t="s">
        <v>366</v>
      </c>
      <c r="C16" s="10" t="s">
        <v>591</v>
      </c>
      <c r="D16" s="10" t="s">
        <v>80</v>
      </c>
      <c r="E16" s="14">
        <v>1</v>
      </c>
      <c r="F16" s="10" t="s">
        <v>365</v>
      </c>
      <c r="G16" s="87"/>
      <c r="H16" s="36" t="s">
        <v>253</v>
      </c>
    </row>
    <row r="17" spans="2:8" x14ac:dyDescent="0.2">
      <c r="B17" s="54" t="s">
        <v>394</v>
      </c>
      <c r="C17" s="10" t="s">
        <v>395</v>
      </c>
      <c r="D17" s="10" t="s">
        <v>80</v>
      </c>
      <c r="E17" s="14">
        <v>1</v>
      </c>
      <c r="F17" s="10" t="s">
        <v>396</v>
      </c>
      <c r="G17" s="87"/>
      <c r="H17" s="36" t="s">
        <v>397</v>
      </c>
    </row>
    <row r="18" spans="2:8" x14ac:dyDescent="0.2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8" t="s">
        <v>616</v>
      </c>
      <c r="H18" s="36" t="s">
        <v>253</v>
      </c>
    </row>
    <row r="19" spans="2:8" x14ac:dyDescent="0.2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8" t="s">
        <v>535</v>
      </c>
      <c r="H19" s="36" t="s">
        <v>253</v>
      </c>
    </row>
    <row r="20" spans="2:8" x14ac:dyDescent="0.2">
      <c r="B20" s="8" t="s">
        <v>272</v>
      </c>
      <c r="C20" s="11" t="s">
        <v>67</v>
      </c>
      <c r="D20" s="11" t="s">
        <v>110</v>
      </c>
      <c r="E20" s="14">
        <v>1</v>
      </c>
      <c r="F20" s="10" t="s">
        <v>470</v>
      </c>
      <c r="G20" s="87"/>
      <c r="H20" s="36" t="s">
        <v>253</v>
      </c>
    </row>
    <row r="21" spans="2:8" x14ac:dyDescent="0.2">
      <c r="B21" s="8" t="s">
        <v>273</v>
      </c>
      <c r="C21" s="11" t="s">
        <v>67</v>
      </c>
      <c r="D21" s="11" t="s">
        <v>110</v>
      </c>
      <c r="E21" s="14">
        <v>1</v>
      </c>
      <c r="F21" s="10" t="s">
        <v>470</v>
      </c>
      <c r="G21" s="87"/>
      <c r="H21" s="36" t="s">
        <v>253</v>
      </c>
    </row>
    <row r="22" spans="2:8" x14ac:dyDescent="0.2">
      <c r="B22" s="54" t="s">
        <v>357</v>
      </c>
      <c r="C22" s="10" t="s">
        <v>67</v>
      </c>
      <c r="D22" s="10" t="s">
        <v>110</v>
      </c>
      <c r="E22" s="14">
        <v>1</v>
      </c>
      <c r="F22" s="10" t="s">
        <v>471</v>
      </c>
      <c r="G22" s="87"/>
      <c r="H22" s="36" t="s">
        <v>253</v>
      </c>
    </row>
    <row r="23" spans="2:8" x14ac:dyDescent="0.2">
      <c r="B23" s="54" t="s">
        <v>359</v>
      </c>
      <c r="C23" s="10" t="s">
        <v>360</v>
      </c>
      <c r="D23" s="10" t="s">
        <v>110</v>
      </c>
      <c r="E23" s="14">
        <v>1</v>
      </c>
      <c r="F23" s="10"/>
      <c r="G23" s="87"/>
      <c r="H23" s="36" t="s">
        <v>253</v>
      </c>
    </row>
    <row r="24" spans="2:8" x14ac:dyDescent="0.2">
      <c r="B24" s="54" t="s">
        <v>615</v>
      </c>
      <c r="C24" s="10" t="s">
        <v>67</v>
      </c>
      <c r="D24" s="10" t="s">
        <v>80</v>
      </c>
      <c r="E24" s="14">
        <v>1</v>
      </c>
      <c r="F24" s="10"/>
      <c r="G24" s="87"/>
      <c r="H24" s="36" t="s">
        <v>253</v>
      </c>
    </row>
    <row r="25" spans="2:8" x14ac:dyDescent="0.2">
      <c r="B25" s="44" t="s">
        <v>324</v>
      </c>
      <c r="C25" s="34" t="s">
        <v>325</v>
      </c>
      <c r="D25" s="34" t="s">
        <v>80</v>
      </c>
      <c r="E25" s="14">
        <v>1</v>
      </c>
      <c r="F25" s="10" t="s">
        <v>590</v>
      </c>
      <c r="H25" s="36" t="s">
        <v>300</v>
      </c>
    </row>
    <row r="26" spans="2:8" x14ac:dyDescent="0.2">
      <c r="B26" s="54" t="s">
        <v>891</v>
      </c>
      <c r="C26" s="10" t="s">
        <v>592</v>
      </c>
      <c r="D26" s="10" t="s">
        <v>80</v>
      </c>
      <c r="E26" s="42">
        <v>1</v>
      </c>
      <c r="F26" s="10" t="s">
        <v>593</v>
      </c>
      <c r="G26" s="10" t="s">
        <v>890</v>
      </c>
      <c r="H26" s="36" t="s">
        <v>253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4"/>
  <sheetViews>
    <sheetView zoomScale="145" zoomScaleNormal="145" workbookViewId="0">
      <selection activeCell="B39" sqref="B39:G39"/>
    </sheetView>
  </sheetViews>
  <sheetFormatPr defaultRowHeight="12.75" x14ac:dyDescent="0.2"/>
  <cols>
    <col min="1" max="1" width="2.42578125" style="4" customWidth="1"/>
    <col min="2" max="2" width="28.140625" style="4" customWidth="1"/>
    <col min="3" max="3" width="32.28515625" style="11" customWidth="1"/>
    <col min="4" max="4" width="11.140625" style="11" customWidth="1"/>
    <col min="5" max="5" width="11" style="11" bestFit="1" customWidth="1"/>
    <col min="6" max="6" width="22.140625" style="11" customWidth="1"/>
    <col min="7" max="7" width="9.140625" style="4"/>
    <col min="8" max="8" width="3.28515625" style="4" customWidth="1"/>
    <col min="9" max="9" width="12.7109375" style="4" customWidth="1"/>
    <col min="10" max="10" width="8.42578125" style="4" customWidth="1"/>
    <col min="11" max="11" width="6.85546875" style="4" customWidth="1"/>
    <col min="12" max="12" width="8.140625" style="4" bestFit="1" customWidth="1"/>
    <col min="13" max="13" width="7.140625" style="4" customWidth="1"/>
    <col min="14" max="16384" width="9.140625" style="4"/>
  </cols>
  <sheetData>
    <row r="1" spans="1:13" x14ac:dyDescent="0.2">
      <c r="A1" s="3"/>
    </row>
    <row r="2" spans="1:13" s="3" customFormat="1" x14ac:dyDescent="0.2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285</v>
      </c>
      <c r="J2" s="19">
        <v>323.35000000000002</v>
      </c>
      <c r="K2" s="19"/>
    </row>
    <row r="3" spans="1:13" s="3" customFormat="1" x14ac:dyDescent="0.2">
      <c r="B3" s="7" t="s">
        <v>48</v>
      </c>
      <c r="C3" s="34" t="s">
        <v>329</v>
      </c>
      <c r="D3" s="10">
        <v>2004</v>
      </c>
      <c r="E3" s="42">
        <v>1</v>
      </c>
      <c r="F3" s="10" t="s">
        <v>71</v>
      </c>
      <c r="G3" s="36" t="s">
        <v>161</v>
      </c>
      <c r="I3" s="3" t="s">
        <v>42</v>
      </c>
      <c r="J3" s="20">
        <v>800.40300000000002</v>
      </c>
      <c r="K3" s="55" t="s">
        <v>796</v>
      </c>
    </row>
    <row r="4" spans="1:13" x14ac:dyDescent="0.2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7" t="s">
        <v>161</v>
      </c>
      <c r="I4" s="4" t="s">
        <v>107</v>
      </c>
      <c r="J4" s="21">
        <f>J3*J2+J12</f>
        <v>258810.31005000003</v>
      </c>
      <c r="K4" s="20"/>
    </row>
    <row r="5" spans="1:13" x14ac:dyDescent="0.2">
      <c r="B5" s="7" t="s">
        <v>172</v>
      </c>
      <c r="C5" s="34" t="s">
        <v>330</v>
      </c>
      <c r="D5" s="11">
        <v>1997</v>
      </c>
      <c r="E5" s="34" t="s">
        <v>298</v>
      </c>
      <c r="F5" s="11" t="s">
        <v>82</v>
      </c>
      <c r="G5" s="37" t="s">
        <v>161</v>
      </c>
      <c r="I5" s="3" t="s">
        <v>182</v>
      </c>
      <c r="J5" s="21">
        <f>31198-18167</f>
        <v>13031</v>
      </c>
      <c r="K5" s="55" t="s">
        <v>796</v>
      </c>
    </row>
    <row r="6" spans="1:13" x14ac:dyDescent="0.2">
      <c r="B6" s="54" t="s">
        <v>802</v>
      </c>
      <c r="C6" s="10" t="s">
        <v>829</v>
      </c>
      <c r="F6" s="10"/>
      <c r="G6" s="36"/>
      <c r="I6" s="3" t="s">
        <v>582</v>
      </c>
      <c r="J6" s="21">
        <v>31198</v>
      </c>
      <c r="K6" s="55" t="s">
        <v>796</v>
      </c>
      <c r="L6" s="3"/>
      <c r="M6" s="3"/>
    </row>
    <row r="7" spans="1:13" x14ac:dyDescent="0.2">
      <c r="B7" s="39" t="s">
        <v>819</v>
      </c>
      <c r="C7" s="10" t="s">
        <v>820</v>
      </c>
      <c r="D7" s="120">
        <v>42508</v>
      </c>
      <c r="E7" s="14">
        <v>1</v>
      </c>
      <c r="F7" s="10" t="s">
        <v>821</v>
      </c>
      <c r="G7" s="36" t="s">
        <v>161</v>
      </c>
      <c r="I7" s="4" t="s">
        <v>108</v>
      </c>
      <c r="J7" s="21">
        <f>J4-J5+J6</f>
        <v>276977.31005000003</v>
      </c>
      <c r="L7" s="3"/>
      <c r="M7" s="3"/>
    </row>
    <row r="8" spans="1:13" x14ac:dyDescent="0.2">
      <c r="B8" s="39" t="s">
        <v>710</v>
      </c>
      <c r="C8" s="10" t="s">
        <v>407</v>
      </c>
      <c r="D8" s="11" t="s">
        <v>114</v>
      </c>
      <c r="E8" s="14">
        <v>1</v>
      </c>
      <c r="F8" s="10" t="s">
        <v>163</v>
      </c>
      <c r="G8" s="37" t="s">
        <v>161</v>
      </c>
      <c r="J8" s="21"/>
      <c r="K8" s="111"/>
      <c r="L8" s="3"/>
      <c r="M8" s="3"/>
    </row>
    <row r="9" spans="1:13" x14ac:dyDescent="0.2">
      <c r="B9" s="39" t="s">
        <v>831</v>
      </c>
      <c r="C9" s="10" t="s">
        <v>123</v>
      </c>
      <c r="E9" s="42" t="s">
        <v>298</v>
      </c>
      <c r="F9" s="10" t="s">
        <v>82</v>
      </c>
      <c r="G9" s="36" t="s">
        <v>161</v>
      </c>
      <c r="I9" s="3"/>
      <c r="J9" s="3"/>
      <c r="K9" s="21"/>
      <c r="L9" s="3"/>
      <c r="M9" s="3"/>
    </row>
    <row r="10" spans="1:13" x14ac:dyDescent="0.2">
      <c r="B10" s="39" t="s">
        <v>265</v>
      </c>
      <c r="C10" s="11" t="s">
        <v>147</v>
      </c>
      <c r="D10" s="11">
        <v>2004</v>
      </c>
      <c r="E10" s="34" t="s">
        <v>299</v>
      </c>
      <c r="F10" s="11" t="s">
        <v>164</v>
      </c>
      <c r="G10" s="86" t="s">
        <v>317</v>
      </c>
    </row>
    <row r="11" spans="1:13" x14ac:dyDescent="0.2">
      <c r="B11" s="39" t="s">
        <v>314</v>
      </c>
      <c r="C11" s="34" t="s">
        <v>315</v>
      </c>
      <c r="E11" s="38" t="s">
        <v>316</v>
      </c>
      <c r="F11" s="34" t="s">
        <v>71</v>
      </c>
      <c r="G11" s="86" t="s">
        <v>161</v>
      </c>
      <c r="I11" s="3"/>
      <c r="J11" s="3"/>
      <c r="K11" s="21"/>
      <c r="L11" s="3"/>
      <c r="M11" s="3"/>
    </row>
    <row r="12" spans="1:13" x14ac:dyDescent="0.2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5" t="s">
        <v>211</v>
      </c>
      <c r="J12" s="21"/>
      <c r="K12" s="21"/>
      <c r="L12" s="3"/>
      <c r="M12" s="3"/>
    </row>
    <row r="13" spans="1:13" x14ac:dyDescent="0.2">
      <c r="B13" s="39" t="s">
        <v>739</v>
      </c>
      <c r="C13" s="34" t="s">
        <v>319</v>
      </c>
      <c r="D13" s="10" t="s">
        <v>114</v>
      </c>
      <c r="E13" s="34" t="s">
        <v>320</v>
      </c>
      <c r="F13" s="10" t="s">
        <v>163</v>
      </c>
      <c r="G13" s="36" t="s">
        <v>534</v>
      </c>
      <c r="I13" s="61" t="s">
        <v>41</v>
      </c>
      <c r="J13" s="21"/>
      <c r="K13" s="21"/>
    </row>
    <row r="14" spans="1:13" s="3" customFormat="1" x14ac:dyDescent="0.2">
      <c r="B14" s="39" t="s">
        <v>760</v>
      </c>
      <c r="C14" s="11" t="s">
        <v>84</v>
      </c>
      <c r="D14" s="10">
        <v>2009</v>
      </c>
      <c r="E14" s="14">
        <v>1</v>
      </c>
      <c r="F14" s="11" t="s">
        <v>83</v>
      </c>
      <c r="G14" s="37" t="s">
        <v>161</v>
      </c>
      <c r="I14" s="61" t="s">
        <v>475</v>
      </c>
      <c r="K14" s="21"/>
      <c r="L14" s="4"/>
      <c r="M14" s="4"/>
    </row>
    <row r="15" spans="1:13" x14ac:dyDescent="0.2">
      <c r="B15" s="8" t="s">
        <v>267</v>
      </c>
      <c r="C15" s="11" t="s">
        <v>207</v>
      </c>
      <c r="D15" s="11">
        <v>1995</v>
      </c>
      <c r="E15" s="14">
        <v>1</v>
      </c>
      <c r="F15" s="10" t="s">
        <v>347</v>
      </c>
      <c r="G15" s="84" t="s">
        <v>466</v>
      </c>
    </row>
    <row r="16" spans="1:13" x14ac:dyDescent="0.2">
      <c r="B16" s="39" t="s">
        <v>855</v>
      </c>
      <c r="C16" s="10" t="s">
        <v>859</v>
      </c>
      <c r="E16" s="42" t="s">
        <v>856</v>
      </c>
      <c r="F16" s="10" t="s">
        <v>858</v>
      </c>
      <c r="G16" s="84" t="s">
        <v>857</v>
      </c>
    </row>
    <row r="17" spans="2:11" x14ac:dyDescent="0.2">
      <c r="B17" s="54" t="s">
        <v>718</v>
      </c>
      <c r="C17" s="10" t="s">
        <v>379</v>
      </c>
      <c r="D17" s="10"/>
      <c r="E17" s="42" t="s">
        <v>380</v>
      </c>
      <c r="F17" s="10" t="s">
        <v>381</v>
      </c>
      <c r="G17" s="36" t="s">
        <v>253</v>
      </c>
    </row>
    <row r="18" spans="2:11" x14ac:dyDescent="0.2">
      <c r="B18" s="54" t="s">
        <v>761</v>
      </c>
      <c r="C18" s="10" t="s">
        <v>577</v>
      </c>
      <c r="D18" s="10">
        <v>2013</v>
      </c>
      <c r="E18" s="42">
        <v>1</v>
      </c>
      <c r="F18" s="10" t="s">
        <v>82</v>
      </c>
      <c r="G18" s="36" t="s">
        <v>161</v>
      </c>
    </row>
    <row r="19" spans="2:11" x14ac:dyDescent="0.2">
      <c r="B19" s="54" t="s">
        <v>815</v>
      </c>
      <c r="C19" s="10"/>
      <c r="D19" s="10"/>
      <c r="E19" s="42"/>
      <c r="F19" s="10"/>
      <c r="G19" s="36"/>
    </row>
    <row r="20" spans="2:11" x14ac:dyDescent="0.2">
      <c r="B20" s="54" t="s">
        <v>811</v>
      </c>
      <c r="C20" s="10"/>
      <c r="D20" s="10"/>
      <c r="E20" s="42"/>
      <c r="F20" s="10"/>
      <c r="G20" s="36"/>
    </row>
    <row r="21" spans="2:11" x14ac:dyDescent="0.2">
      <c r="B21" s="39" t="s">
        <v>266</v>
      </c>
      <c r="C21" s="11" t="s">
        <v>239</v>
      </c>
      <c r="D21" s="11">
        <v>1998</v>
      </c>
      <c r="E21" s="14">
        <v>1</v>
      </c>
      <c r="F21" s="10" t="s">
        <v>402</v>
      </c>
      <c r="G21" s="84" t="s">
        <v>516</v>
      </c>
      <c r="K21" s="21"/>
    </row>
    <row r="22" spans="2:11" x14ac:dyDescent="0.2">
      <c r="B22" s="54" t="s">
        <v>735</v>
      </c>
      <c r="C22" s="10" t="s">
        <v>326</v>
      </c>
      <c r="D22" s="10" t="s">
        <v>114</v>
      </c>
      <c r="E22" s="38" t="s">
        <v>323</v>
      </c>
      <c r="F22" s="34" t="s">
        <v>327</v>
      </c>
      <c r="G22" s="36" t="s">
        <v>253</v>
      </c>
      <c r="I22" s="3" t="s">
        <v>685</v>
      </c>
    </row>
    <row r="23" spans="2:11" x14ac:dyDescent="0.2">
      <c r="B23" s="7" t="s">
        <v>47</v>
      </c>
      <c r="C23" s="11" t="s">
        <v>45</v>
      </c>
      <c r="D23" s="11">
        <v>2007</v>
      </c>
      <c r="E23" s="11" t="s">
        <v>73</v>
      </c>
      <c r="F23" s="11" t="s">
        <v>72</v>
      </c>
      <c r="G23" s="85" t="s">
        <v>211</v>
      </c>
    </row>
    <row r="24" spans="2:11" x14ac:dyDescent="0.2">
      <c r="B24" s="6"/>
      <c r="C24" s="9"/>
      <c r="D24" s="9" t="s">
        <v>46</v>
      </c>
      <c r="E24" s="9"/>
      <c r="F24" s="9"/>
      <c r="G24" s="12"/>
    </row>
    <row r="25" spans="2:11" x14ac:dyDescent="0.2">
      <c r="B25" s="121" t="s">
        <v>887</v>
      </c>
      <c r="C25" s="10" t="s">
        <v>888</v>
      </c>
      <c r="D25" s="10" t="s">
        <v>114</v>
      </c>
      <c r="E25" s="42" t="s">
        <v>889</v>
      </c>
      <c r="G25" s="37"/>
      <c r="I25" s="3" t="s">
        <v>854</v>
      </c>
    </row>
    <row r="26" spans="2:11" x14ac:dyDescent="0.2">
      <c r="B26" s="54" t="s">
        <v>719</v>
      </c>
      <c r="C26" s="10" t="s">
        <v>115</v>
      </c>
      <c r="D26" s="10" t="s">
        <v>114</v>
      </c>
      <c r="E26" s="38">
        <v>1</v>
      </c>
      <c r="F26" s="10" t="s">
        <v>594</v>
      </c>
      <c r="G26" s="36" t="s">
        <v>161</v>
      </c>
      <c r="I26" s="3" t="s">
        <v>864</v>
      </c>
    </row>
    <row r="27" spans="2:11" x14ac:dyDescent="0.2">
      <c r="B27" s="8" t="s">
        <v>271</v>
      </c>
      <c r="C27" s="11" t="s">
        <v>67</v>
      </c>
      <c r="D27" s="34" t="s">
        <v>80</v>
      </c>
      <c r="E27" s="38" t="s">
        <v>19</v>
      </c>
      <c r="F27" s="10" t="s">
        <v>358</v>
      </c>
      <c r="G27" s="36" t="s">
        <v>253</v>
      </c>
    </row>
    <row r="28" spans="2:11" x14ac:dyDescent="0.2">
      <c r="B28" s="54" t="s">
        <v>389</v>
      </c>
      <c r="C28" s="10" t="s">
        <v>115</v>
      </c>
      <c r="D28" s="10" t="s">
        <v>80</v>
      </c>
      <c r="E28" s="42">
        <v>1</v>
      </c>
      <c r="F28" s="10" t="s">
        <v>344</v>
      </c>
      <c r="G28" s="36" t="s">
        <v>253</v>
      </c>
    </row>
    <row r="29" spans="2:11" x14ac:dyDescent="0.2">
      <c r="B29" s="54" t="s">
        <v>348</v>
      </c>
      <c r="C29" s="10" t="s">
        <v>284</v>
      </c>
      <c r="D29" s="10" t="s">
        <v>80</v>
      </c>
      <c r="E29" s="38">
        <v>1</v>
      </c>
      <c r="F29" s="10" t="s">
        <v>349</v>
      </c>
      <c r="G29" s="37" t="s">
        <v>161</v>
      </c>
    </row>
    <row r="30" spans="2:11" x14ac:dyDescent="0.2">
      <c r="B30" s="54" t="s">
        <v>383</v>
      </c>
      <c r="C30" s="10" t="s">
        <v>115</v>
      </c>
      <c r="D30" s="10" t="s">
        <v>80</v>
      </c>
      <c r="E30" s="42" t="s">
        <v>378</v>
      </c>
      <c r="F30" s="10" t="s">
        <v>384</v>
      </c>
      <c r="G30" s="36" t="s">
        <v>211</v>
      </c>
    </row>
    <row r="31" spans="2:11" x14ac:dyDescent="0.2">
      <c r="B31" s="44" t="s">
        <v>321</v>
      </c>
      <c r="C31" s="34" t="s">
        <v>322</v>
      </c>
      <c r="D31" s="34" t="s">
        <v>80</v>
      </c>
      <c r="E31" s="38" t="s">
        <v>323</v>
      </c>
      <c r="F31" s="10" t="s">
        <v>327</v>
      </c>
      <c r="G31" s="36" t="s">
        <v>253</v>
      </c>
    </row>
    <row r="32" spans="2:11" x14ac:dyDescent="0.2">
      <c r="B32" s="8" t="s">
        <v>276</v>
      </c>
      <c r="C32" s="11" t="s">
        <v>277</v>
      </c>
      <c r="D32" s="11" t="s">
        <v>110</v>
      </c>
      <c r="E32" s="42" t="s">
        <v>356</v>
      </c>
      <c r="F32" s="10" t="s">
        <v>469</v>
      </c>
      <c r="G32" s="36" t="s">
        <v>161</v>
      </c>
    </row>
    <row r="33" spans="2:7" x14ac:dyDescent="0.2">
      <c r="B33" s="54" t="s">
        <v>736</v>
      </c>
      <c r="C33" s="10" t="s">
        <v>705</v>
      </c>
      <c r="D33" s="10" t="s">
        <v>80</v>
      </c>
      <c r="E33" s="42" t="s">
        <v>578</v>
      </c>
      <c r="F33" s="10" t="s">
        <v>706</v>
      </c>
      <c r="G33" s="36" t="s">
        <v>253</v>
      </c>
    </row>
    <row r="34" spans="2:7" x14ac:dyDescent="0.2">
      <c r="B34" s="54" t="s">
        <v>472</v>
      </c>
      <c r="C34" s="10" t="s">
        <v>315</v>
      </c>
      <c r="D34" s="10" t="s">
        <v>110</v>
      </c>
      <c r="E34" s="42">
        <v>1</v>
      </c>
      <c r="F34" s="10" t="s">
        <v>473</v>
      </c>
      <c r="G34" s="36" t="s">
        <v>253</v>
      </c>
    </row>
    <row r="35" spans="2:7" x14ac:dyDescent="0.2">
      <c r="B35" s="54" t="s">
        <v>586</v>
      </c>
      <c r="C35" s="10" t="s">
        <v>70</v>
      </c>
      <c r="D35" s="10" t="s">
        <v>110</v>
      </c>
      <c r="E35" s="42">
        <v>1</v>
      </c>
      <c r="F35" s="10" t="s">
        <v>587</v>
      </c>
      <c r="G35" s="36" t="s">
        <v>253</v>
      </c>
    </row>
    <row r="36" spans="2:7" x14ac:dyDescent="0.2">
      <c r="B36" s="54" t="s">
        <v>737</v>
      </c>
      <c r="C36" s="10" t="s">
        <v>291</v>
      </c>
      <c r="D36" s="10" t="s">
        <v>80</v>
      </c>
      <c r="E36" s="42">
        <v>1</v>
      </c>
      <c r="F36" s="10" t="s">
        <v>738</v>
      </c>
      <c r="G36" s="36"/>
    </row>
    <row r="37" spans="2:7" x14ac:dyDescent="0.2">
      <c r="B37" s="54" t="s">
        <v>474</v>
      </c>
      <c r="C37" s="10" t="s">
        <v>361</v>
      </c>
      <c r="D37" s="10"/>
      <c r="E37" s="42" t="s">
        <v>362</v>
      </c>
      <c r="F37" s="10" t="s">
        <v>363</v>
      </c>
      <c r="G37" s="36" t="s">
        <v>161</v>
      </c>
    </row>
    <row r="38" spans="2:7" x14ac:dyDescent="0.2">
      <c r="B38" s="54" t="s">
        <v>742</v>
      </c>
      <c r="C38" s="10" t="s">
        <v>361</v>
      </c>
      <c r="D38" s="10"/>
      <c r="E38" s="42"/>
      <c r="F38" s="10" t="s">
        <v>363</v>
      </c>
      <c r="G38" s="36" t="s">
        <v>161</v>
      </c>
    </row>
    <row r="40" spans="2:7" x14ac:dyDescent="0.2">
      <c r="B40" s="54" t="s">
        <v>746</v>
      </c>
      <c r="C40" s="10" t="s">
        <v>743</v>
      </c>
      <c r="D40" s="10" t="s">
        <v>110</v>
      </c>
      <c r="E40" s="42">
        <v>1</v>
      </c>
      <c r="F40" s="10" t="s">
        <v>744</v>
      </c>
      <c r="G40" s="36" t="s">
        <v>253</v>
      </c>
    </row>
    <row r="41" spans="2:7" x14ac:dyDescent="0.2">
      <c r="B41" s="54" t="s">
        <v>749</v>
      </c>
      <c r="C41" s="10" t="s">
        <v>361</v>
      </c>
      <c r="D41" s="10" t="s">
        <v>110</v>
      </c>
      <c r="E41" s="42">
        <v>1</v>
      </c>
      <c r="F41" s="10" t="s">
        <v>750</v>
      </c>
      <c r="G41" s="36"/>
    </row>
    <row r="42" spans="2:7" x14ac:dyDescent="0.2">
      <c r="B42" s="54" t="s">
        <v>745</v>
      </c>
      <c r="C42" s="10" t="s">
        <v>361</v>
      </c>
      <c r="D42" s="10" t="s">
        <v>110</v>
      </c>
      <c r="E42" s="42" t="s">
        <v>747</v>
      </c>
      <c r="F42" s="10" t="s">
        <v>748</v>
      </c>
      <c r="G42" s="36" t="s">
        <v>253</v>
      </c>
    </row>
    <row r="43" spans="2:7" x14ac:dyDescent="0.2">
      <c r="B43" s="54" t="s">
        <v>751</v>
      </c>
      <c r="C43" s="10" t="s">
        <v>268</v>
      </c>
      <c r="D43" s="10" t="s">
        <v>110</v>
      </c>
      <c r="E43" s="42">
        <v>1</v>
      </c>
      <c r="F43" s="10" t="s">
        <v>752</v>
      </c>
      <c r="G43" s="36"/>
    </row>
    <row r="44" spans="2:7" x14ac:dyDescent="0.2">
      <c r="B44" s="54" t="s">
        <v>715</v>
      </c>
      <c r="C44" s="10" t="s">
        <v>361</v>
      </c>
      <c r="D44" s="10" t="s">
        <v>110</v>
      </c>
      <c r="E44" s="42">
        <v>1</v>
      </c>
      <c r="F44" s="10" t="s">
        <v>716</v>
      </c>
      <c r="G44" s="36" t="s">
        <v>253</v>
      </c>
    </row>
    <row r="45" spans="2:7" s="17" customFormat="1" x14ac:dyDescent="0.2">
      <c r="B45" s="54" t="s">
        <v>712</v>
      </c>
      <c r="C45" s="10" t="s">
        <v>713</v>
      </c>
      <c r="D45" s="10" t="s">
        <v>110</v>
      </c>
      <c r="E45" s="42">
        <v>1</v>
      </c>
      <c r="F45" s="10" t="s">
        <v>714</v>
      </c>
      <c r="G45" s="36" t="s">
        <v>253</v>
      </c>
    </row>
    <row r="46" spans="2:7" s="17" customFormat="1" x14ac:dyDescent="0.2">
      <c r="B46" s="8" t="s">
        <v>279</v>
      </c>
      <c r="C46" s="11" t="s">
        <v>115</v>
      </c>
      <c r="D46" s="11" t="s">
        <v>110</v>
      </c>
      <c r="E46" s="14">
        <v>1</v>
      </c>
      <c r="F46" s="10" t="s">
        <v>385</v>
      </c>
      <c r="G46" s="36" t="s">
        <v>253</v>
      </c>
    </row>
    <row r="47" spans="2:7" x14ac:dyDescent="0.2">
      <c r="B47" s="54" t="s">
        <v>698</v>
      </c>
      <c r="C47" s="10" t="s">
        <v>115</v>
      </c>
      <c r="D47" s="10" t="s">
        <v>110</v>
      </c>
      <c r="E47" s="42">
        <v>1</v>
      </c>
      <c r="F47" s="10" t="s">
        <v>478</v>
      </c>
      <c r="G47" s="36" t="s">
        <v>161</v>
      </c>
    </row>
    <row r="48" spans="2:7" x14ac:dyDescent="0.2">
      <c r="B48" s="54" t="s">
        <v>280</v>
      </c>
      <c r="C48" s="10" t="s">
        <v>115</v>
      </c>
      <c r="D48" s="10" t="s">
        <v>110</v>
      </c>
      <c r="E48" s="42">
        <v>1</v>
      </c>
      <c r="F48" s="10" t="s">
        <v>611</v>
      </c>
      <c r="G48" s="36"/>
    </row>
    <row r="49" spans="2:7" x14ac:dyDescent="0.2">
      <c r="B49" s="54" t="s">
        <v>372</v>
      </c>
      <c r="C49" s="10" t="s">
        <v>115</v>
      </c>
      <c r="D49" s="10" t="s">
        <v>110</v>
      </c>
      <c r="E49" s="42">
        <v>1</v>
      </c>
      <c r="F49" s="10" t="s">
        <v>477</v>
      </c>
      <c r="G49" s="36" t="s">
        <v>253</v>
      </c>
    </row>
    <row r="50" spans="2:7" x14ac:dyDescent="0.2">
      <c r="B50" s="54" t="s">
        <v>386</v>
      </c>
      <c r="C50" s="10" t="s">
        <v>115</v>
      </c>
      <c r="D50" s="10" t="s">
        <v>110</v>
      </c>
      <c r="E50" s="42">
        <v>1</v>
      </c>
      <c r="F50" s="10" t="s">
        <v>387</v>
      </c>
      <c r="G50" s="36" t="s">
        <v>161</v>
      </c>
    </row>
    <row r="51" spans="2:7" x14ac:dyDescent="0.2">
      <c r="B51" s="54" t="s">
        <v>676</v>
      </c>
      <c r="C51" s="10" t="s">
        <v>115</v>
      </c>
      <c r="D51" s="10" t="s">
        <v>110</v>
      </c>
      <c r="E51" s="42">
        <v>1</v>
      </c>
      <c r="F51" s="10" t="s">
        <v>388</v>
      </c>
      <c r="G51" s="36" t="s">
        <v>253</v>
      </c>
    </row>
    <row r="52" spans="2:7" x14ac:dyDescent="0.2">
      <c r="B52" s="54" t="s">
        <v>373</v>
      </c>
      <c r="C52" s="10" t="s">
        <v>115</v>
      </c>
      <c r="D52" s="10" t="s">
        <v>110</v>
      </c>
      <c r="E52" s="42">
        <v>1</v>
      </c>
      <c r="G52" s="36" t="s">
        <v>253</v>
      </c>
    </row>
    <row r="53" spans="2:7" x14ac:dyDescent="0.2">
      <c r="B53" s="54" t="s">
        <v>370</v>
      </c>
      <c r="C53" s="11" t="s">
        <v>115</v>
      </c>
      <c r="D53" s="11" t="s">
        <v>110</v>
      </c>
      <c r="E53" s="14">
        <v>1</v>
      </c>
      <c r="F53" s="10" t="s">
        <v>371</v>
      </c>
      <c r="G53" s="36" t="s">
        <v>253</v>
      </c>
    </row>
    <row r="54" spans="2:7" x14ac:dyDescent="0.2">
      <c r="B54" s="54" t="s">
        <v>613</v>
      </c>
      <c r="C54" s="10" t="s">
        <v>115</v>
      </c>
      <c r="D54" s="10" t="s">
        <v>110</v>
      </c>
      <c r="E54" s="14">
        <v>1</v>
      </c>
      <c r="F54" s="10"/>
      <c r="G54" s="36" t="s">
        <v>253</v>
      </c>
    </row>
    <row r="55" spans="2:7" x14ac:dyDescent="0.2">
      <c r="B55" s="54" t="s">
        <v>579</v>
      </c>
      <c r="C55" s="10" t="s">
        <v>115</v>
      </c>
      <c r="D55" s="10" t="s">
        <v>110</v>
      </c>
      <c r="E55" s="42" t="s">
        <v>580</v>
      </c>
      <c r="F55" s="10"/>
      <c r="G55" s="36" t="s">
        <v>253</v>
      </c>
    </row>
    <row r="56" spans="2:7" x14ac:dyDescent="0.2">
      <c r="B56" s="54" t="s">
        <v>677</v>
      </c>
      <c r="C56" s="10" t="s">
        <v>610</v>
      </c>
      <c r="D56" s="10" t="s">
        <v>110</v>
      </c>
      <c r="E56" s="42">
        <v>1</v>
      </c>
      <c r="F56" s="10" t="s">
        <v>388</v>
      </c>
      <c r="G56" s="36" t="s">
        <v>253</v>
      </c>
    </row>
    <row r="57" spans="2:7" x14ac:dyDescent="0.2">
      <c r="B57" s="54" t="s">
        <v>377</v>
      </c>
      <c r="C57" s="10" t="s">
        <v>115</v>
      </c>
      <c r="D57" s="10" t="s">
        <v>110</v>
      </c>
      <c r="E57" s="42">
        <v>1</v>
      </c>
      <c r="F57" s="10" t="s">
        <v>476</v>
      </c>
      <c r="G57" s="36" t="s">
        <v>253</v>
      </c>
    </row>
    <row r="58" spans="2:7" x14ac:dyDescent="0.2">
      <c r="B58" s="54" t="s">
        <v>367</v>
      </c>
      <c r="C58" s="10" t="s">
        <v>368</v>
      </c>
      <c r="D58" s="10" t="s">
        <v>110</v>
      </c>
      <c r="E58" s="14">
        <v>1</v>
      </c>
      <c r="F58" s="10" t="s">
        <v>369</v>
      </c>
      <c r="G58" s="36" t="s">
        <v>211</v>
      </c>
    </row>
    <row r="59" spans="2:7" x14ac:dyDescent="0.2">
      <c r="B59" s="54" t="s">
        <v>595</v>
      </c>
      <c r="C59" s="10" t="s">
        <v>115</v>
      </c>
      <c r="D59" s="10" t="s">
        <v>110</v>
      </c>
      <c r="E59" s="14">
        <v>1</v>
      </c>
      <c r="F59" s="10" t="s">
        <v>596</v>
      </c>
      <c r="G59" s="36" t="s">
        <v>253</v>
      </c>
    </row>
    <row r="60" spans="2:7" x14ac:dyDescent="0.2">
      <c r="B60" s="97" t="s">
        <v>741</v>
      </c>
      <c r="C60" s="33" t="s">
        <v>351</v>
      </c>
      <c r="D60" s="33" t="s">
        <v>110</v>
      </c>
      <c r="E60" s="98">
        <v>1</v>
      </c>
      <c r="F60" s="33" t="s">
        <v>352</v>
      </c>
      <c r="G60" s="99" t="s">
        <v>161</v>
      </c>
    </row>
    <row r="61" spans="2:7" s="17" customFormat="1" x14ac:dyDescent="0.2">
      <c r="B61" s="54" t="s">
        <v>581</v>
      </c>
      <c r="C61" s="10" t="s">
        <v>467</v>
      </c>
      <c r="D61" s="10" t="s">
        <v>80</v>
      </c>
      <c r="E61" s="14">
        <v>1</v>
      </c>
      <c r="F61" s="10" t="s">
        <v>468</v>
      </c>
      <c r="G61" s="36" t="s">
        <v>161</v>
      </c>
    </row>
    <row r="62" spans="2:7" x14ac:dyDescent="0.2">
      <c r="B62" s="54" t="s">
        <v>353</v>
      </c>
      <c r="C62" s="10" t="s">
        <v>354</v>
      </c>
      <c r="D62" s="10" t="s">
        <v>110</v>
      </c>
      <c r="E62" s="14">
        <v>1</v>
      </c>
      <c r="F62" s="10" t="s">
        <v>355</v>
      </c>
      <c r="G62" s="36" t="s">
        <v>161</v>
      </c>
    </row>
    <row r="63" spans="2:7" x14ac:dyDescent="0.2">
      <c r="B63" s="54" t="s">
        <v>374</v>
      </c>
      <c r="C63" s="10" t="s">
        <v>115</v>
      </c>
      <c r="D63" s="10" t="s">
        <v>110</v>
      </c>
      <c r="E63" s="42" t="s">
        <v>375</v>
      </c>
      <c r="F63" s="10" t="s">
        <v>376</v>
      </c>
      <c r="G63" s="36" t="s">
        <v>161</v>
      </c>
    </row>
    <row r="64" spans="2:7" x14ac:dyDescent="0.2">
      <c r="B64" s="54" t="s">
        <v>589</v>
      </c>
      <c r="C64" s="10" t="s">
        <v>415</v>
      </c>
      <c r="D64" s="10" t="s">
        <v>110</v>
      </c>
      <c r="E64" s="42" t="s">
        <v>416</v>
      </c>
      <c r="F64" s="10" t="s">
        <v>588</v>
      </c>
      <c r="G64" s="36" t="s">
        <v>253</v>
      </c>
    </row>
    <row r="65" spans="2:7" x14ac:dyDescent="0.2">
      <c r="B65" s="54"/>
      <c r="C65" s="10" t="s">
        <v>390</v>
      </c>
      <c r="D65" s="10" t="s">
        <v>110</v>
      </c>
      <c r="E65" s="42">
        <v>1</v>
      </c>
      <c r="F65" s="10" t="s">
        <v>392</v>
      </c>
      <c r="G65" s="36" t="s">
        <v>253</v>
      </c>
    </row>
    <row r="66" spans="2:7" x14ac:dyDescent="0.2">
      <c r="B66" s="54"/>
      <c r="C66" s="10" t="s">
        <v>391</v>
      </c>
      <c r="D66" s="10" t="s">
        <v>110</v>
      </c>
      <c r="E66" s="42">
        <v>1</v>
      </c>
      <c r="F66" s="10" t="s">
        <v>393</v>
      </c>
      <c r="G66" s="36" t="s">
        <v>161</v>
      </c>
    </row>
    <row r="67" spans="2:7" x14ac:dyDescent="0.2">
      <c r="B67" s="62" t="s">
        <v>345</v>
      </c>
      <c r="C67" s="63" t="s">
        <v>284</v>
      </c>
      <c r="D67" s="63" t="s">
        <v>80</v>
      </c>
      <c r="E67" s="22">
        <v>1</v>
      </c>
      <c r="F67" s="63" t="s">
        <v>346</v>
      </c>
      <c r="G67" s="64" t="s">
        <v>161</v>
      </c>
    </row>
    <row r="69" spans="2:7" x14ac:dyDescent="0.2">
      <c r="B69" s="3"/>
      <c r="F69" s="18" t="s">
        <v>103</v>
      </c>
    </row>
    <row r="70" spans="2:7" x14ac:dyDescent="0.2">
      <c r="B70" s="3"/>
      <c r="F70" s="18" t="s">
        <v>120</v>
      </c>
    </row>
    <row r="71" spans="2:7" x14ac:dyDescent="0.2">
      <c r="B71" s="3"/>
      <c r="F71" s="18" t="s">
        <v>243</v>
      </c>
    </row>
    <row r="72" spans="2:7" x14ac:dyDescent="0.2">
      <c r="F72" s="18" t="s">
        <v>241</v>
      </c>
    </row>
    <row r="73" spans="2:7" x14ac:dyDescent="0.2">
      <c r="F73" s="18" t="s">
        <v>335</v>
      </c>
    </row>
    <row r="74" spans="2:7" x14ac:dyDescent="0.2">
      <c r="F74" s="18" t="s">
        <v>333</v>
      </c>
    </row>
    <row r="75" spans="2:7" x14ac:dyDescent="0.2">
      <c r="F75" s="18" t="s">
        <v>332</v>
      </c>
    </row>
    <row r="76" spans="2:7" x14ac:dyDescent="0.2">
      <c r="F76" s="18" t="s">
        <v>308</v>
      </c>
    </row>
    <row r="77" spans="2:7" x14ac:dyDescent="0.2">
      <c r="F77" s="18" t="s">
        <v>331</v>
      </c>
    </row>
    <row r="78" spans="2:7" x14ac:dyDescent="0.2">
      <c r="F78" s="18" t="s">
        <v>328</v>
      </c>
    </row>
    <row r="79" spans="2:7" x14ac:dyDescent="0.2">
      <c r="F79" s="18" t="s">
        <v>460</v>
      </c>
    </row>
    <row r="80" spans="2:7" x14ac:dyDescent="0.2">
      <c r="F80" s="18" t="s">
        <v>400</v>
      </c>
    </row>
    <row r="81" spans="6:6" x14ac:dyDescent="0.2">
      <c r="F81" s="18" t="s">
        <v>509</v>
      </c>
    </row>
    <row r="82" spans="6:6" x14ac:dyDescent="0.2">
      <c r="F82" s="18" t="s">
        <v>519</v>
      </c>
    </row>
    <row r="83" spans="6:6" x14ac:dyDescent="0.2">
      <c r="F83" s="18" t="s">
        <v>507</v>
      </c>
    </row>
    <row r="84" spans="6:6" x14ac:dyDescent="0.2">
      <c r="F84" s="18" t="s">
        <v>433</v>
      </c>
    </row>
    <row r="85" spans="6:6" x14ac:dyDescent="0.2">
      <c r="F85" s="18" t="s">
        <v>600</v>
      </c>
    </row>
    <row r="86" spans="6:6" x14ac:dyDescent="0.2">
      <c r="F86" s="18" t="s">
        <v>699</v>
      </c>
    </row>
    <row r="87" spans="6:6" x14ac:dyDescent="0.2">
      <c r="F87" s="18" t="s">
        <v>479</v>
      </c>
    </row>
    <row r="88" spans="6:6" x14ac:dyDescent="0.2">
      <c r="F88" s="18" t="s">
        <v>717</v>
      </c>
    </row>
    <row r="90" spans="6:6" x14ac:dyDescent="0.2">
      <c r="F90" s="119" t="s">
        <v>842</v>
      </c>
    </row>
    <row r="91" spans="6:6" x14ac:dyDescent="0.2">
      <c r="F91" s="119" t="s">
        <v>843</v>
      </c>
    </row>
    <row r="92" spans="6:6" x14ac:dyDescent="0.2">
      <c r="F92" s="119"/>
    </row>
    <row r="93" spans="6:6" x14ac:dyDescent="0.2">
      <c r="F93" s="3" t="s">
        <v>865</v>
      </c>
    </row>
    <row r="94" spans="6:6" x14ac:dyDescent="0.2">
      <c r="F94" s="119" t="s">
        <v>850</v>
      </c>
    </row>
  </sheetData>
  <phoneticPr fontId="17" type="noConversion"/>
  <hyperlinks>
    <hyperlink ref="B23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1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W152"/>
  <sheetViews>
    <sheetView tabSelected="1" zoomScale="145" zoomScaleNormal="145" zoomScaleSheetLayoutView="100" workbookViewId="0">
      <pane xSplit="2" ySplit="2" topLeftCell="CT3" activePane="bottomRight" state="frozen"/>
      <selection activeCell="AT9" sqref="AT9"/>
      <selection pane="topRight" activeCell="AT9" sqref="AT9"/>
      <selection pane="bottomLeft" activeCell="AT9" sqref="AT9"/>
      <selection pane="bottomRight" activeCell="DT9" sqref="DT9"/>
    </sheetView>
  </sheetViews>
  <sheetFormatPr defaultRowHeight="12.75" x14ac:dyDescent="0.2"/>
  <cols>
    <col min="1" max="1" width="5" style="15" bestFit="1" customWidth="1"/>
    <col min="2" max="2" width="28.85546875" style="15" customWidth="1"/>
    <col min="3" max="6" width="7.85546875" style="23" customWidth="1"/>
    <col min="7" max="24" width="7.85546875" style="68" customWidth="1"/>
    <col min="25" max="25" width="7.85546875" style="25" customWidth="1"/>
    <col min="26" max="48" width="7.85546875" style="68" customWidth="1"/>
    <col min="49" max="49" width="9.140625" style="94" customWidth="1"/>
    <col min="50" max="133" width="7.140625" style="94" customWidth="1"/>
    <col min="134" max="134" width="1.7109375" style="5" customWidth="1"/>
    <col min="135" max="135" width="9.140625" style="23" customWidth="1"/>
    <col min="136" max="140" width="8.28515625" style="23" bestFit="1" customWidth="1"/>
    <col min="141" max="154" width="8" style="23" customWidth="1"/>
    <col min="155" max="155" width="7.85546875" style="45" customWidth="1" collapsed="1"/>
    <col min="156" max="156" width="7.85546875" style="15" customWidth="1" collapsed="1"/>
    <col min="157" max="158" width="7.85546875" style="45" customWidth="1" collapsed="1"/>
    <col min="159" max="161" width="9.140625" style="15" collapsed="1"/>
    <col min="162" max="16384" width="9.140625" style="15"/>
  </cols>
  <sheetData>
    <row r="1" spans="1:165" x14ac:dyDescent="0.2">
      <c r="A1" s="35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65" s="26" customFormat="1" x14ac:dyDescent="0.2">
      <c r="B2" s="17" t="s">
        <v>342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336</v>
      </c>
      <c r="R2" s="25" t="s">
        <v>337</v>
      </c>
      <c r="S2" s="25" t="s">
        <v>597</v>
      </c>
      <c r="T2" s="25" t="s">
        <v>598</v>
      </c>
      <c r="U2" s="69" t="s">
        <v>701</v>
      </c>
      <c r="V2" s="69" t="s">
        <v>702</v>
      </c>
      <c r="W2" s="69" t="s">
        <v>720</v>
      </c>
      <c r="X2" s="69" t="s">
        <v>721</v>
      </c>
      <c r="Y2" s="69" t="s">
        <v>762</v>
      </c>
      <c r="Z2" s="69" t="s">
        <v>763</v>
      </c>
      <c r="AA2" s="69" t="s">
        <v>764</v>
      </c>
      <c r="AB2" s="69" t="s">
        <v>765</v>
      </c>
      <c r="AC2" s="69" t="s">
        <v>867</v>
      </c>
      <c r="AD2" s="69" t="s">
        <v>868</v>
      </c>
      <c r="AE2" s="69" t="s">
        <v>869</v>
      </c>
      <c r="AF2" s="69" t="s">
        <v>870</v>
      </c>
      <c r="AG2" s="69" t="s">
        <v>871</v>
      </c>
      <c r="AH2" s="69" t="s">
        <v>872</v>
      </c>
      <c r="AI2" s="69" t="s">
        <v>873</v>
      </c>
      <c r="AJ2" s="69" t="s">
        <v>874</v>
      </c>
      <c r="AK2" s="69" t="s">
        <v>875</v>
      </c>
      <c r="AL2" s="69" t="s">
        <v>876</v>
      </c>
      <c r="AM2" s="69" t="s">
        <v>877</v>
      </c>
      <c r="AN2" s="69" t="s">
        <v>878</v>
      </c>
      <c r="AO2" s="69" t="s">
        <v>879</v>
      </c>
      <c r="AP2" s="69" t="s">
        <v>880</v>
      </c>
      <c r="AQ2" s="69" t="s">
        <v>881</v>
      </c>
      <c r="AR2" s="69" t="s">
        <v>882</v>
      </c>
      <c r="AS2" s="69"/>
      <c r="AT2" s="69"/>
      <c r="AU2" s="69"/>
      <c r="AV2" s="69"/>
      <c r="AW2" s="94"/>
      <c r="AX2" s="94" t="s">
        <v>157</v>
      </c>
      <c r="AY2" s="94" t="s">
        <v>156</v>
      </c>
      <c r="AZ2" s="94" t="s">
        <v>155</v>
      </c>
      <c r="BA2" s="94" t="s">
        <v>154</v>
      </c>
      <c r="BB2" s="94" t="s">
        <v>153</v>
      </c>
      <c r="BC2" s="94" t="s">
        <v>152</v>
      </c>
      <c r="BD2" s="94" t="s">
        <v>151</v>
      </c>
      <c r="BE2" s="94" t="s">
        <v>150</v>
      </c>
      <c r="BF2" s="94" t="s">
        <v>131</v>
      </c>
      <c r="BG2" s="94" t="s">
        <v>160</v>
      </c>
      <c r="BH2" s="94" t="s">
        <v>132</v>
      </c>
      <c r="BI2" s="94" t="s">
        <v>133</v>
      </c>
      <c r="BJ2" s="94" t="s">
        <v>134</v>
      </c>
      <c r="BK2" s="94" t="s">
        <v>135</v>
      </c>
      <c r="BL2" s="94" t="s">
        <v>136</v>
      </c>
      <c r="BM2" s="94" t="s">
        <v>137</v>
      </c>
      <c r="BN2" s="94" t="s">
        <v>195</v>
      </c>
      <c r="BO2" s="94" t="s">
        <v>196</v>
      </c>
      <c r="BP2" s="94" t="s">
        <v>197</v>
      </c>
      <c r="BQ2" s="94" t="s">
        <v>198</v>
      </c>
      <c r="BR2" s="45" t="s">
        <v>303</v>
      </c>
      <c r="BS2" s="45" t="s">
        <v>304</v>
      </c>
      <c r="BT2" s="45" t="s">
        <v>305</v>
      </c>
      <c r="BU2" s="45" t="s">
        <v>306</v>
      </c>
      <c r="BV2" s="53" t="s">
        <v>583</v>
      </c>
      <c r="BW2" s="53" t="s">
        <v>684</v>
      </c>
      <c r="BX2" s="53" t="s">
        <v>690</v>
      </c>
      <c r="BY2" s="53" t="s">
        <v>691</v>
      </c>
      <c r="BZ2" s="53" t="s">
        <v>692</v>
      </c>
      <c r="CA2" s="53" t="s">
        <v>693</v>
      </c>
      <c r="CB2" s="53" t="s">
        <v>694</v>
      </c>
      <c r="CC2" s="53" t="s">
        <v>695</v>
      </c>
      <c r="CD2" s="53" t="s">
        <v>722</v>
      </c>
      <c r="CE2" s="53" t="s">
        <v>723</v>
      </c>
      <c r="CF2" s="53" t="s">
        <v>724</v>
      </c>
      <c r="CG2" s="53" t="s">
        <v>725</v>
      </c>
      <c r="CH2" s="53" t="s">
        <v>731</v>
      </c>
      <c r="CI2" s="53" t="s">
        <v>732</v>
      </c>
      <c r="CJ2" s="53" t="s">
        <v>733</v>
      </c>
      <c r="CK2" s="53" t="s">
        <v>734</v>
      </c>
      <c r="CL2" s="53" t="s">
        <v>755</v>
      </c>
      <c r="CM2" s="53" t="s">
        <v>756</v>
      </c>
      <c r="CN2" s="53" t="s">
        <v>757</v>
      </c>
      <c r="CO2" s="53" t="s">
        <v>758</v>
      </c>
      <c r="CP2" s="53" t="s">
        <v>769</v>
      </c>
      <c r="CQ2" s="53" t="s">
        <v>770</v>
      </c>
      <c r="CR2" s="53" t="s">
        <v>771</v>
      </c>
      <c r="CS2" s="53" t="s">
        <v>772</v>
      </c>
      <c r="CT2" s="53" t="s">
        <v>773</v>
      </c>
      <c r="CU2" s="53" t="s">
        <v>774</v>
      </c>
      <c r="CV2" s="53" t="s">
        <v>775</v>
      </c>
      <c r="CW2" s="53" t="s">
        <v>776</v>
      </c>
      <c r="CX2" s="53" t="s">
        <v>777</v>
      </c>
      <c r="CY2" s="53" t="s">
        <v>778</v>
      </c>
      <c r="CZ2" s="53" t="s">
        <v>779</v>
      </c>
      <c r="DA2" s="53" t="s">
        <v>780</v>
      </c>
      <c r="DB2" s="53" t="s">
        <v>781</v>
      </c>
      <c r="DC2" s="53" t="s">
        <v>782</v>
      </c>
      <c r="DD2" s="53" t="s">
        <v>783</v>
      </c>
      <c r="DE2" s="53" t="s">
        <v>784</v>
      </c>
      <c r="DF2" s="53" t="s">
        <v>785</v>
      </c>
      <c r="DG2" s="53" t="s">
        <v>786</v>
      </c>
      <c r="DH2" s="53" t="s">
        <v>787</v>
      </c>
      <c r="DI2" s="53" t="s">
        <v>788</v>
      </c>
      <c r="DJ2" s="53" t="s">
        <v>789</v>
      </c>
      <c r="DK2" s="53" t="s">
        <v>790</v>
      </c>
      <c r="DL2" s="53" t="s">
        <v>791</v>
      </c>
      <c r="DM2" s="53" t="s">
        <v>792</v>
      </c>
      <c r="DN2" s="53" t="s">
        <v>793</v>
      </c>
      <c r="DO2" s="53" t="s">
        <v>794</v>
      </c>
      <c r="DP2" s="53" t="s">
        <v>795</v>
      </c>
      <c r="DQ2" s="53" t="s">
        <v>796</v>
      </c>
      <c r="DR2" s="53" t="s">
        <v>797</v>
      </c>
      <c r="DS2" s="53" t="s">
        <v>798</v>
      </c>
      <c r="DT2" s="53" t="s">
        <v>799</v>
      </c>
      <c r="DU2" s="53" t="s">
        <v>800</v>
      </c>
      <c r="DV2" s="53" t="s">
        <v>883</v>
      </c>
      <c r="DW2" s="53" t="s">
        <v>884</v>
      </c>
      <c r="DX2" s="53" t="s">
        <v>885</v>
      </c>
      <c r="DY2" s="53" t="s">
        <v>886</v>
      </c>
      <c r="DZ2" s="53"/>
      <c r="EA2" s="53"/>
      <c r="EB2" s="53"/>
      <c r="EC2" s="53"/>
      <c r="ED2" s="5"/>
      <c r="EE2" s="46">
        <v>2001</v>
      </c>
      <c r="EF2" s="46">
        <v>2002</v>
      </c>
      <c r="EG2" s="46">
        <v>2003</v>
      </c>
      <c r="EH2" s="46">
        <v>2004</v>
      </c>
      <c r="EI2" s="46">
        <v>2005</v>
      </c>
      <c r="EJ2" s="46">
        <v>2006</v>
      </c>
      <c r="EK2" s="46">
        <v>2007</v>
      </c>
      <c r="EL2" s="46">
        <f>EK2+1</f>
        <v>2008</v>
      </c>
      <c r="EM2" s="46">
        <f t="shared" ref="EM2:EX2" si="0">EL2+1</f>
        <v>2009</v>
      </c>
      <c r="EN2" s="46">
        <f t="shared" si="0"/>
        <v>2010</v>
      </c>
      <c r="EO2" s="46">
        <f t="shared" si="0"/>
        <v>2011</v>
      </c>
      <c r="EP2" s="46">
        <f t="shared" si="0"/>
        <v>2012</v>
      </c>
      <c r="EQ2" s="46">
        <f t="shared" si="0"/>
        <v>2013</v>
      </c>
      <c r="ER2" s="46">
        <f t="shared" si="0"/>
        <v>2014</v>
      </c>
      <c r="ES2" s="46">
        <f t="shared" si="0"/>
        <v>2015</v>
      </c>
      <c r="ET2" s="46">
        <f t="shared" si="0"/>
        <v>2016</v>
      </c>
      <c r="EU2" s="46">
        <f t="shared" si="0"/>
        <v>2017</v>
      </c>
      <c r="EV2" s="46">
        <f t="shared" si="0"/>
        <v>2018</v>
      </c>
      <c r="EW2" s="46">
        <f t="shared" si="0"/>
        <v>2019</v>
      </c>
      <c r="EX2" s="46">
        <f t="shared" si="0"/>
        <v>2020</v>
      </c>
      <c r="EY2" s="46">
        <f t="shared" ref="EY2" si="1">EX2+1</f>
        <v>2021</v>
      </c>
      <c r="EZ2" s="46">
        <f t="shared" ref="EZ2" si="2">EY2+1</f>
        <v>2022</v>
      </c>
      <c r="FA2" s="46">
        <f t="shared" ref="FA2" si="3">EZ2+1</f>
        <v>2023</v>
      </c>
      <c r="FB2" s="46">
        <f t="shared" ref="FB2" si="4">FA2+1</f>
        <v>2024</v>
      </c>
      <c r="FC2" s="46">
        <f t="shared" ref="FC2" si="5">FB2+1</f>
        <v>2025</v>
      </c>
      <c r="FD2" s="46">
        <f t="shared" ref="FD2" si="6">FC2+1</f>
        <v>2026</v>
      </c>
      <c r="FE2" s="46">
        <f t="shared" ref="FE2" si="7">FD2+1</f>
        <v>2027</v>
      </c>
      <c r="FF2" s="46">
        <f t="shared" ref="FF2" si="8">FE2+1</f>
        <v>2028</v>
      </c>
      <c r="FG2" s="46">
        <f t="shared" ref="FG2" si="9">FF2+1</f>
        <v>2029</v>
      </c>
      <c r="FH2" s="46">
        <f t="shared" ref="FH2" si="10">FG2+1</f>
        <v>2030</v>
      </c>
      <c r="FI2" s="46">
        <f t="shared" ref="FI2" si="11">FH2+1</f>
        <v>2031</v>
      </c>
    </row>
    <row r="3" spans="1:165" s="26" customFormat="1" x14ac:dyDescent="0.2">
      <c r="B3" s="17" t="s">
        <v>488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7">
        <f>SUM(Q14:Q60)</f>
        <v>19477</v>
      </c>
      <c r="R3" s="25">
        <f>BT3+BU3</f>
        <v>20063</v>
      </c>
      <c r="S3" s="25">
        <f>BU3+BV3</f>
        <v>18474</v>
      </c>
      <c r="T3" s="25">
        <f>37058-S3</f>
        <v>18584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4"/>
      <c r="AX3" s="67">
        <f t="shared" ref="AX3:BK3" si="12">SUM(AX14:AX60)</f>
        <v>5217.9046424090338</v>
      </c>
      <c r="AY3" s="67">
        <f t="shared" si="12"/>
        <v>5426.6097867001254</v>
      </c>
      <c r="AZ3" s="67">
        <f t="shared" si="12"/>
        <v>5487.2823086574654</v>
      </c>
      <c r="BA3" s="67">
        <f t="shared" si="12"/>
        <v>5562.7076596246898</v>
      </c>
      <c r="BB3" s="67">
        <f t="shared" si="12"/>
        <v>6156</v>
      </c>
      <c r="BC3" s="67">
        <f t="shared" si="12"/>
        <v>6507.7282626022334</v>
      </c>
      <c r="BD3" s="67">
        <f t="shared" si="12"/>
        <v>6761.2717373977657</v>
      </c>
      <c r="BE3" s="67">
        <f t="shared" si="12"/>
        <v>7867</v>
      </c>
      <c r="BF3" s="67">
        <f t="shared" si="12"/>
        <v>7733</v>
      </c>
      <c r="BG3" s="67">
        <f t="shared" si="12"/>
        <v>7837</v>
      </c>
      <c r="BH3" s="67">
        <f t="shared" si="12"/>
        <v>8359.2578675886834</v>
      </c>
      <c r="BI3" s="67">
        <f t="shared" si="12"/>
        <v>9025.1465217449659</v>
      </c>
      <c r="BJ3" s="67">
        <f t="shared" si="12"/>
        <v>7729</v>
      </c>
      <c r="BK3" s="67">
        <f t="shared" si="12"/>
        <v>7696</v>
      </c>
      <c r="BL3" s="67">
        <f t="shared" ref="BL3:BU3" si="13">SUM(BL14:BL61)</f>
        <v>9212</v>
      </c>
      <c r="BM3" s="67">
        <f t="shared" si="13"/>
        <v>10011</v>
      </c>
      <c r="BN3" s="67">
        <f t="shared" si="13"/>
        <v>8795</v>
      </c>
      <c r="BO3" s="67">
        <f t="shared" si="13"/>
        <v>8902</v>
      </c>
      <c r="BP3" s="67">
        <f t="shared" si="13"/>
        <v>9138</v>
      </c>
      <c r="BQ3" s="67">
        <f t="shared" si="13"/>
        <v>9972</v>
      </c>
      <c r="BR3" s="67">
        <f t="shared" si="13"/>
        <v>9396</v>
      </c>
      <c r="BS3" s="67">
        <f t="shared" si="13"/>
        <v>10081</v>
      </c>
      <c r="BT3" s="67">
        <f t="shared" si="13"/>
        <v>10101</v>
      </c>
      <c r="BU3" s="67">
        <f t="shared" si="13"/>
        <v>9962</v>
      </c>
      <c r="BV3" s="67">
        <f>SUM(BV14:BV60)</f>
        <v>8512</v>
      </c>
      <c r="BW3" s="67">
        <f t="shared" ref="BW3:CC3" si="14">SUM(BW14:BW61)</f>
        <v>9659</v>
      </c>
      <c r="BX3" s="67">
        <f t="shared" si="14"/>
        <v>9009</v>
      </c>
      <c r="BY3" s="67">
        <f t="shared" si="14"/>
        <v>8663</v>
      </c>
      <c r="BZ3" s="67">
        <f t="shared" si="14"/>
        <v>8712</v>
      </c>
      <c r="CA3" s="67">
        <f t="shared" si="14"/>
        <v>8103</v>
      </c>
      <c r="CB3" s="67">
        <f t="shared" si="14"/>
        <v>7582</v>
      </c>
      <c r="CC3" s="67">
        <f t="shared" si="14"/>
        <v>8397</v>
      </c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>
        <f t="shared" ref="DN3:DQ3" si="15">SUM(DN9:DN60)</f>
        <v>9557</v>
      </c>
      <c r="DO3" s="67">
        <f t="shared" si="15"/>
        <v>10001</v>
      </c>
      <c r="DP3" s="67">
        <f t="shared" si="15"/>
        <v>10547</v>
      </c>
      <c r="DQ3" s="67">
        <f t="shared" si="15"/>
        <v>10511</v>
      </c>
      <c r="DR3" s="67">
        <f>SUM(DR9:DR60)</f>
        <v>11159</v>
      </c>
      <c r="DS3" s="67">
        <f t="shared" ref="DS3:DY3" si="16">SUM(DS9:DS60)</f>
        <v>10082</v>
      </c>
      <c r="DT3" s="67">
        <f t="shared" si="16"/>
        <v>9636</v>
      </c>
      <c r="DU3" s="67">
        <f t="shared" si="16"/>
        <v>11562.100000000002</v>
      </c>
      <c r="DV3" s="67">
        <f t="shared" si="16"/>
        <v>0</v>
      </c>
      <c r="DW3" s="67">
        <f t="shared" si="16"/>
        <v>0</v>
      </c>
      <c r="DX3" s="67">
        <f t="shared" si="16"/>
        <v>0</v>
      </c>
      <c r="DY3" s="67">
        <f t="shared" si="16"/>
        <v>0</v>
      </c>
      <c r="DZ3" s="67"/>
      <c r="EA3" s="67"/>
      <c r="EB3" s="67"/>
      <c r="EC3" s="67"/>
      <c r="ED3" s="5"/>
      <c r="EE3" s="67">
        <f t="shared" ref="EE3:EL3" si="17">SUM(EE14:EE60)</f>
        <v>17200</v>
      </c>
      <c r="EF3" s="67">
        <f t="shared" si="17"/>
        <v>17703</v>
      </c>
      <c r="EG3" s="67">
        <f t="shared" si="17"/>
        <v>19781</v>
      </c>
      <c r="EH3" s="67">
        <f t="shared" si="17"/>
        <v>21694.504397391313</v>
      </c>
      <c r="EI3" s="67">
        <f t="shared" si="17"/>
        <v>27292</v>
      </c>
      <c r="EJ3" s="67">
        <f t="shared" si="17"/>
        <v>32088.404389333649</v>
      </c>
      <c r="EK3" s="67">
        <f t="shared" si="17"/>
        <v>31009</v>
      </c>
      <c r="EL3" s="67">
        <f t="shared" si="17"/>
        <v>30761</v>
      </c>
      <c r="EM3" s="67">
        <f>SUM(EM14:EM61)</f>
        <v>39540</v>
      </c>
      <c r="EN3" s="67">
        <f>SUM(EN14:EN61)</f>
        <v>36911</v>
      </c>
      <c r="EO3" s="69">
        <f t="shared" ref="EO3:EO8" si="18">SUM(BZ3:CC3)</f>
        <v>32794</v>
      </c>
      <c r="EP3" s="67">
        <f t="shared" ref="EP3:EW3" si="19">SUM(EP14:EP61)</f>
        <v>30432</v>
      </c>
      <c r="EQ3" s="67">
        <f t="shared" si="19"/>
        <v>31404</v>
      </c>
      <c r="ER3" s="67">
        <f t="shared" si="19"/>
        <v>30229.620000000003</v>
      </c>
      <c r="ES3" s="67">
        <f t="shared" si="19"/>
        <v>29747.181199999999</v>
      </c>
      <c r="ET3" s="67">
        <f t="shared" si="19"/>
        <v>29677.626001999997</v>
      </c>
      <c r="EU3" s="67">
        <f t="shared" si="19"/>
        <v>28642.10138276</v>
      </c>
      <c r="EV3" s="67">
        <f t="shared" si="19"/>
        <v>27880.457600417809</v>
      </c>
      <c r="EW3" s="67">
        <f t="shared" si="19"/>
        <v>23580.29338870334</v>
      </c>
      <c r="EX3" s="67">
        <f>SUM(EX9:EX61)</f>
        <v>44532</v>
      </c>
      <c r="EY3" s="67">
        <f>SUM(EY9:EY61)</f>
        <v>45041</v>
      </c>
      <c r="EZ3" s="16"/>
      <c r="FA3" s="47"/>
      <c r="FB3" s="47"/>
    </row>
    <row r="4" spans="1:165" s="26" customFormat="1" x14ac:dyDescent="0.2">
      <c r="B4" s="17" t="s">
        <v>584</v>
      </c>
      <c r="C4" s="47"/>
      <c r="D4" s="47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9"/>
      <c r="AX4" s="47"/>
      <c r="AY4" s="47"/>
      <c r="AZ4" s="47"/>
      <c r="BA4" s="47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17"/>
      <c r="EE4" s="27">
        <v>2866</v>
      </c>
      <c r="EF4" s="27">
        <v>3250</v>
      </c>
      <c r="EG4" s="27">
        <v>3382</v>
      </c>
      <c r="EH4" s="27">
        <v>4521</v>
      </c>
      <c r="EI4" s="27">
        <v>6614</v>
      </c>
      <c r="EJ4" s="27">
        <f>SUM(K4:L4)</f>
        <v>9125</v>
      </c>
      <c r="EK4" s="27">
        <f>SUM(M4:N4)</f>
        <v>10414</v>
      </c>
      <c r="EL4" s="27">
        <f>SUM(O4:P4)</f>
        <v>10461</v>
      </c>
      <c r="EM4" s="27">
        <f t="shared" ref="EM4:EM14" si="20">SUM(BR4:BU4)</f>
        <v>14805</v>
      </c>
      <c r="EN4" s="27">
        <f t="shared" ref="EN4:EN46" si="21">SUM(BV4:BY4)</f>
        <v>14071</v>
      </c>
      <c r="EO4" s="27">
        <f t="shared" si="18"/>
        <v>12223</v>
      </c>
      <c r="EP4" s="27"/>
      <c r="EQ4" s="27"/>
      <c r="ER4" s="27"/>
      <c r="ES4" s="27"/>
      <c r="ET4" s="27"/>
      <c r="EU4" s="27"/>
      <c r="EV4" s="27"/>
      <c r="EW4" s="27"/>
      <c r="EX4" s="27"/>
      <c r="EY4" s="47"/>
      <c r="EZ4" s="16"/>
      <c r="FA4" s="47"/>
      <c r="FB4" s="47"/>
    </row>
    <row r="5" spans="1:165" s="26" customFormat="1" x14ac:dyDescent="0.2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22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9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17"/>
      <c r="EE5" s="27">
        <v>1000</v>
      </c>
      <c r="EF5" s="27">
        <v>1585</v>
      </c>
      <c r="EG5" s="27">
        <v>3156</v>
      </c>
      <c r="EH5" s="27">
        <f>SUM(AX5:BA5)</f>
        <v>3203</v>
      </c>
      <c r="EI5" s="27">
        <f>SUM(BB5:BE5)</f>
        <v>3699</v>
      </c>
      <c r="EJ5" s="27">
        <f>SUM(K5:L5)</f>
        <v>3503</v>
      </c>
      <c r="EK5" s="27">
        <f t="shared" ref="EK5:EK45" si="23">SUM(M5:N5)</f>
        <v>3399</v>
      </c>
      <c r="EL5" s="27">
        <f>SUM(O5:P5)</f>
        <v>3336</v>
      </c>
      <c r="EM5" s="27">
        <f t="shared" si="20"/>
        <v>4765</v>
      </c>
      <c r="EN5" s="27">
        <f t="shared" si="21"/>
        <v>4319</v>
      </c>
      <c r="EO5" s="27">
        <f t="shared" si="18"/>
        <v>3817</v>
      </c>
      <c r="EP5" s="27"/>
      <c r="EQ5" s="27"/>
      <c r="ER5" s="27"/>
      <c r="ES5" s="27"/>
      <c r="ET5" s="27"/>
      <c r="EU5" s="27"/>
      <c r="EV5" s="27"/>
      <c r="EW5" s="27"/>
      <c r="EX5" s="27"/>
      <c r="EY5" s="47"/>
      <c r="EZ5" s="16"/>
      <c r="FA5" s="47"/>
      <c r="FB5" s="47"/>
    </row>
    <row r="6" spans="1:165" s="26" customFormat="1" x14ac:dyDescent="0.2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22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9"/>
      <c r="AX6" s="49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f>+DQ6*0.99</f>
        <v>4410.45</v>
      </c>
      <c r="DV6" s="24"/>
      <c r="DW6" s="24"/>
      <c r="DX6" s="24"/>
      <c r="DY6" s="24"/>
      <c r="DZ6" s="24"/>
      <c r="EA6" s="24"/>
      <c r="EB6" s="24"/>
      <c r="EC6" s="24"/>
      <c r="ED6" s="17"/>
      <c r="EE6" s="27">
        <f>17200-EE8-EE5</f>
        <v>2866</v>
      </c>
      <c r="EF6" s="27">
        <f>17703-EF8-EF5</f>
        <v>3250</v>
      </c>
      <c r="EG6" s="27">
        <f>19781-EG5-EG8</f>
        <v>3382</v>
      </c>
      <c r="EH6" s="27">
        <f>21695-EH8-EH5</f>
        <v>4522</v>
      </c>
      <c r="EI6" s="27">
        <f>27268-EI8-EI5</f>
        <v>6614</v>
      </c>
      <c r="EJ6" s="27">
        <f>SUM(K6:L6)</f>
        <v>8747</v>
      </c>
      <c r="EK6" s="27">
        <f>SUM(M6:N6)</f>
        <v>9350</v>
      </c>
      <c r="EL6" s="27">
        <f>SUM(O6:P6)</f>
        <v>9656</v>
      </c>
      <c r="EM6" s="27">
        <f t="shared" si="20"/>
        <v>10055</v>
      </c>
      <c r="EN6" s="27">
        <f t="shared" si="21"/>
        <v>10415</v>
      </c>
      <c r="EO6" s="27">
        <f t="shared" si="18"/>
        <v>9737</v>
      </c>
      <c r="EP6" s="27"/>
      <c r="EQ6" s="27"/>
      <c r="ER6" s="27"/>
      <c r="ES6" s="27"/>
      <c r="ET6" s="27"/>
      <c r="EU6" s="27">
        <v>12079</v>
      </c>
      <c r="EV6" s="27">
        <v>12879</v>
      </c>
      <c r="EW6" s="27">
        <v>12950</v>
      </c>
      <c r="EX6" s="27">
        <v>13791</v>
      </c>
      <c r="EY6" s="27">
        <v>17760</v>
      </c>
      <c r="EZ6" s="20">
        <f>SUM(DR6:DU6)</f>
        <v>18258.45</v>
      </c>
      <c r="FA6" s="47"/>
      <c r="FB6" s="47"/>
    </row>
    <row r="7" spans="1:165" s="26" customFormat="1" x14ac:dyDescent="0.2">
      <c r="B7" s="17" t="s">
        <v>700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9"/>
      <c r="AX7" s="49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17"/>
      <c r="EE7" s="27"/>
      <c r="EF7" s="27"/>
      <c r="EG7" s="27"/>
      <c r="EH7" s="27"/>
      <c r="EI7" s="27"/>
      <c r="EJ7" s="27"/>
      <c r="EK7" s="27"/>
      <c r="EL7" s="27"/>
      <c r="EM7" s="27">
        <f t="shared" si="20"/>
        <v>2238</v>
      </c>
      <c r="EN7" s="27">
        <f t="shared" si="21"/>
        <v>9201</v>
      </c>
      <c r="EO7" s="27">
        <f t="shared" si="18"/>
        <v>8533</v>
      </c>
      <c r="EP7" s="27"/>
      <c r="EQ7" s="27"/>
      <c r="ER7" s="27"/>
      <c r="ES7" s="27"/>
      <c r="ET7" s="27"/>
      <c r="EU7" s="27"/>
      <c r="EV7" s="27"/>
      <c r="EW7" s="27"/>
      <c r="EX7" s="27"/>
      <c r="EY7" s="47"/>
      <c r="EZ7" s="16"/>
      <c r="FA7" s="47"/>
      <c r="FB7" s="47"/>
    </row>
    <row r="8" spans="1:165" s="26" customFormat="1" x14ac:dyDescent="0.2">
      <c r="B8" s="17" t="s">
        <v>703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9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17"/>
      <c r="EE8" s="27">
        <v>13334</v>
      </c>
      <c r="EF8" s="27">
        <v>12868</v>
      </c>
      <c r="EG8" s="27">
        <v>13243</v>
      </c>
      <c r="EH8" s="27">
        <f>SUM(AX8:BA8)</f>
        <v>13970</v>
      </c>
      <c r="EI8" s="27">
        <f>SUM(BB8:BE8)</f>
        <v>16955</v>
      </c>
      <c r="EJ8" s="27">
        <f t="shared" ref="EJ8:EJ41" si="24">SUM(K8:L8)</f>
        <v>20666</v>
      </c>
      <c r="EK8" s="27">
        <f t="shared" si="23"/>
        <v>22970</v>
      </c>
      <c r="EL8" s="27">
        <f>SUM(O8:P8)</f>
        <v>22164</v>
      </c>
      <c r="EM8" s="27">
        <f t="shared" si="20"/>
        <v>17188</v>
      </c>
      <c r="EN8" s="27">
        <f t="shared" si="21"/>
        <v>9467</v>
      </c>
      <c r="EO8" s="27">
        <f t="shared" si="18"/>
        <v>8221</v>
      </c>
      <c r="EP8" s="27"/>
      <c r="EQ8" s="27"/>
      <c r="ER8" s="27"/>
      <c r="ES8" s="27"/>
      <c r="ET8" s="27"/>
      <c r="EU8" s="27"/>
      <c r="EV8" s="27"/>
      <c r="EW8" s="27"/>
      <c r="EX8" s="27"/>
      <c r="EY8" s="47"/>
      <c r="EZ8" s="16"/>
      <c r="FA8" s="47"/>
      <c r="FB8" s="47"/>
    </row>
    <row r="9" spans="1:165" s="117" customFormat="1" x14ac:dyDescent="0.2">
      <c r="B9" s="3" t="s">
        <v>801</v>
      </c>
      <c r="C9" s="55"/>
      <c r="D9" s="55"/>
      <c r="E9" s="55"/>
      <c r="F9" s="55"/>
      <c r="G9" s="55"/>
      <c r="H9" s="55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53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>
        <v>1226</v>
      </c>
      <c r="DO9" s="55">
        <v>1212</v>
      </c>
      <c r="DP9" s="55">
        <v>1283</v>
      </c>
      <c r="DQ9" s="55">
        <v>1334</v>
      </c>
      <c r="DR9" s="55">
        <v>1449</v>
      </c>
      <c r="DS9" s="55">
        <v>1461</v>
      </c>
      <c r="DT9" s="55">
        <v>1517</v>
      </c>
      <c r="DU9" s="55">
        <f>+DQ9*1.1</f>
        <v>1467.4</v>
      </c>
      <c r="DV9" s="55"/>
      <c r="DW9" s="55"/>
      <c r="DX9" s="55"/>
      <c r="DY9" s="55"/>
      <c r="DZ9" s="55"/>
      <c r="EA9" s="55"/>
      <c r="EB9" s="55"/>
      <c r="EC9" s="55"/>
      <c r="ED9" s="3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>
        <v>4326</v>
      </c>
      <c r="EY9" s="55">
        <v>5055</v>
      </c>
      <c r="EZ9" s="20">
        <f>SUM(DR9:DU9)</f>
        <v>5894.4</v>
      </c>
      <c r="FA9" s="118"/>
      <c r="FB9" s="118"/>
    </row>
    <row r="10" spans="1:165" s="26" customFormat="1" x14ac:dyDescent="0.2">
      <c r="B10" s="3" t="s">
        <v>730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>
        <v>388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4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>
        <v>30</v>
      </c>
      <c r="CH10" s="67">
        <v>50</v>
      </c>
      <c r="CI10" s="67">
        <v>58</v>
      </c>
      <c r="CJ10" s="67">
        <v>78</v>
      </c>
      <c r="CK10" s="67">
        <v>140</v>
      </c>
      <c r="CL10" s="67">
        <v>178</v>
      </c>
      <c r="CM10" s="67">
        <v>210</v>
      </c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>
        <v>988</v>
      </c>
      <c r="DO10" s="67">
        <v>980</v>
      </c>
      <c r="DP10" s="67">
        <v>1006</v>
      </c>
      <c r="DQ10" s="67">
        <v>981</v>
      </c>
      <c r="DR10" s="67">
        <v>993</v>
      </c>
      <c r="DS10" s="67">
        <v>1068</v>
      </c>
      <c r="DT10" s="67">
        <v>1029</v>
      </c>
      <c r="DU10" s="55">
        <f t="shared" ref="DU10:DU28" si="25">+DQ10*1.1</f>
        <v>1079.1000000000001</v>
      </c>
      <c r="DV10" s="67"/>
      <c r="DW10" s="67"/>
      <c r="DX10" s="67"/>
      <c r="DY10" s="67"/>
      <c r="DZ10" s="67"/>
      <c r="EA10" s="67"/>
      <c r="EB10" s="67"/>
      <c r="EC10" s="67"/>
      <c r="ED10" s="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>
        <f>SUM(CD10:CG10)</f>
        <v>30</v>
      </c>
      <c r="EQ10" s="25">
        <f>SUM(CH10:CK10)</f>
        <v>326</v>
      </c>
      <c r="ER10" s="25">
        <f>+EQ10*1.5</f>
        <v>489</v>
      </c>
      <c r="ES10" s="25">
        <f>+ER10*1.2</f>
        <v>586.79999999999995</v>
      </c>
      <c r="ET10" s="25">
        <f>+ES10*1.1</f>
        <v>645.48</v>
      </c>
      <c r="EU10" s="25">
        <f t="shared" ref="EU10:EV10" si="26">+ET10*1.1</f>
        <v>710.02800000000013</v>
      </c>
      <c r="EV10" s="25">
        <f t="shared" si="26"/>
        <v>781.03080000000023</v>
      </c>
      <c r="EW10" s="25"/>
      <c r="EX10" s="25">
        <v>3883</v>
      </c>
      <c r="EY10" s="55">
        <v>3955</v>
      </c>
      <c r="EZ10" s="20">
        <f t="shared" ref="EZ10:EZ30" si="27">SUM(DR10:DU10)</f>
        <v>4169.1000000000004</v>
      </c>
      <c r="FA10" s="47"/>
      <c r="FB10" s="47"/>
    </row>
    <row r="11" spans="1:165" s="26" customFormat="1" x14ac:dyDescent="0.2">
      <c r="B11" s="3" t="s">
        <v>802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4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>
        <v>661</v>
      </c>
      <c r="DO11" s="67">
        <v>732</v>
      </c>
      <c r="DP11" s="67">
        <v>779</v>
      </c>
      <c r="DQ11" s="67">
        <v>850</v>
      </c>
      <c r="DR11" s="67">
        <v>853</v>
      </c>
      <c r="DS11" s="67">
        <v>973</v>
      </c>
      <c r="DT11" s="67">
        <v>952</v>
      </c>
      <c r="DU11" s="55">
        <f t="shared" si="25"/>
        <v>935.00000000000011</v>
      </c>
      <c r="DV11" s="67"/>
      <c r="DW11" s="67"/>
      <c r="DX11" s="67"/>
      <c r="DY11" s="67"/>
      <c r="DZ11" s="67"/>
      <c r="EA11" s="67"/>
      <c r="EB11" s="67"/>
      <c r="EC11" s="67"/>
      <c r="ED11" s="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>
        <v>2190</v>
      </c>
      <c r="EY11" s="55">
        <v>3022</v>
      </c>
      <c r="EZ11" s="20">
        <f t="shared" si="27"/>
        <v>3713</v>
      </c>
      <c r="FA11" s="47"/>
      <c r="FB11" s="47"/>
    </row>
    <row r="12" spans="1:165" s="26" customFormat="1" x14ac:dyDescent="0.2">
      <c r="B12" s="3" t="s">
        <v>803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4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>
        <v>775</v>
      </c>
      <c r="DO12" s="67">
        <v>824</v>
      </c>
      <c r="DP12" s="67">
        <v>878</v>
      </c>
      <c r="DQ12" s="67">
        <v>838</v>
      </c>
      <c r="DR12" s="67">
        <v>825</v>
      </c>
      <c r="DS12" s="67">
        <v>933</v>
      </c>
      <c r="DT12" s="67">
        <v>934</v>
      </c>
      <c r="DU12" s="55">
        <f t="shared" si="25"/>
        <v>921.80000000000007</v>
      </c>
      <c r="DV12" s="67"/>
      <c r="DW12" s="67"/>
      <c r="DX12" s="67"/>
      <c r="DY12" s="67"/>
      <c r="DZ12" s="67"/>
      <c r="EA12" s="67"/>
      <c r="EB12" s="67"/>
      <c r="EC12" s="67"/>
      <c r="ED12" s="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>
        <v>2738</v>
      </c>
      <c r="EY12" s="55">
        <v>3315</v>
      </c>
      <c r="EZ12" s="20">
        <f t="shared" si="27"/>
        <v>3613.8</v>
      </c>
      <c r="FA12" s="47"/>
      <c r="FB12" s="47"/>
    </row>
    <row r="13" spans="1:165" s="26" customFormat="1" x14ac:dyDescent="0.2">
      <c r="B13" s="15" t="s">
        <v>302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>
        <v>155</v>
      </c>
      <c r="T13" s="25">
        <f t="shared" ref="T13" si="28">+BY13+BX13</f>
        <v>242</v>
      </c>
      <c r="U13" s="25">
        <f>SUM(BZ13:CA13)</f>
        <v>277</v>
      </c>
      <c r="V13" s="25">
        <f>CC13+CB13</f>
        <v>341</v>
      </c>
      <c r="W13" s="25"/>
      <c r="X13" s="25"/>
      <c r="Y13" s="25"/>
      <c r="Z13" s="25"/>
      <c r="AA13" s="25">
        <v>568</v>
      </c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4"/>
      <c r="AX13" s="94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>
        <v>66</v>
      </c>
      <c r="BW13" s="67">
        <f t="shared" ref="BW13" si="29">+S13-BV13</f>
        <v>89</v>
      </c>
      <c r="BX13" s="67">
        <v>107</v>
      </c>
      <c r="BY13" s="67">
        <v>135</v>
      </c>
      <c r="BZ13" s="67">
        <v>129</v>
      </c>
      <c r="CA13" s="67">
        <f>277-BZ13</f>
        <v>148</v>
      </c>
      <c r="CB13" s="67">
        <v>156</v>
      </c>
      <c r="CC13" s="67">
        <v>185</v>
      </c>
      <c r="CD13" s="67">
        <v>184</v>
      </c>
      <c r="CE13" s="67">
        <v>201</v>
      </c>
      <c r="CF13" s="67">
        <v>216</v>
      </c>
      <c r="CG13" s="67">
        <v>241</v>
      </c>
      <c r="CH13" s="67">
        <v>238</v>
      </c>
      <c r="CI13" s="67">
        <v>258</v>
      </c>
      <c r="CJ13" s="67">
        <v>267</v>
      </c>
      <c r="CK13" s="67">
        <v>274</v>
      </c>
      <c r="CL13" s="67">
        <v>273</v>
      </c>
      <c r="CM13" s="67">
        <v>295</v>
      </c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>
        <v>779</v>
      </c>
      <c r="DO13" s="67">
        <v>863</v>
      </c>
      <c r="DP13" s="67">
        <v>1048</v>
      </c>
      <c r="DQ13" s="67">
        <v>872</v>
      </c>
      <c r="DR13" s="67">
        <v>792</v>
      </c>
      <c r="DS13" s="67">
        <v>663</v>
      </c>
      <c r="DT13" s="67">
        <v>584</v>
      </c>
      <c r="DU13" s="55">
        <f t="shared" si="25"/>
        <v>959.2</v>
      </c>
      <c r="DV13" s="67"/>
      <c r="DW13" s="67"/>
      <c r="DX13" s="67"/>
      <c r="DY13" s="67"/>
      <c r="DZ13" s="67"/>
      <c r="EA13" s="67"/>
      <c r="EB13" s="67"/>
      <c r="EC13" s="67"/>
      <c r="ED13" s="5"/>
      <c r="EE13" s="25"/>
      <c r="EF13" s="25"/>
      <c r="EG13" s="25"/>
      <c r="EH13" s="25"/>
      <c r="EI13" s="25"/>
      <c r="EJ13" s="25"/>
      <c r="EK13" s="25"/>
      <c r="EL13" s="25"/>
      <c r="EM13" s="25"/>
      <c r="EN13" s="25">
        <f>SUM(BV13:BY13)</f>
        <v>397</v>
      </c>
      <c r="EO13" s="25">
        <f>SUM(BZ13:CC13)</f>
        <v>618</v>
      </c>
      <c r="EP13" s="25">
        <f>SUM(CD13:CG13)</f>
        <v>842</v>
      </c>
      <c r="EQ13" s="25">
        <f>SUM(CH13:CK13)</f>
        <v>1037</v>
      </c>
      <c r="ER13" s="25">
        <f t="shared" ref="ER13:EW13" si="30">EQ13*1.1</f>
        <v>1140.7</v>
      </c>
      <c r="ES13" s="25">
        <f t="shared" si="30"/>
        <v>1254.7700000000002</v>
      </c>
      <c r="ET13" s="25">
        <f t="shared" si="30"/>
        <v>1380.2470000000003</v>
      </c>
      <c r="EU13" s="25">
        <f t="shared" si="30"/>
        <v>1518.2717000000005</v>
      </c>
      <c r="EV13" s="25">
        <f t="shared" si="30"/>
        <v>1670.0988700000007</v>
      </c>
      <c r="EW13" s="25">
        <f t="shared" si="30"/>
        <v>1837.1087570000009</v>
      </c>
      <c r="EX13" s="69">
        <v>2858</v>
      </c>
      <c r="EY13" s="55">
        <v>3562</v>
      </c>
      <c r="EZ13" s="20">
        <f t="shared" si="27"/>
        <v>2998.2</v>
      </c>
      <c r="FA13" s="47"/>
      <c r="FB13" s="47"/>
    </row>
    <row r="14" spans="1:165" s="26" customFormat="1" x14ac:dyDescent="0.2">
      <c r="B14" s="15" t="s">
        <v>23</v>
      </c>
      <c r="C14" s="23"/>
      <c r="D14" s="23"/>
      <c r="E14" s="23"/>
      <c r="F14" s="23"/>
      <c r="G14" s="23"/>
      <c r="H14" s="23"/>
      <c r="I14" s="25">
        <v>607</v>
      </c>
      <c r="J14" s="25">
        <f>1665-I14</f>
        <v>1058</v>
      </c>
      <c r="K14" s="25">
        <v>1389</v>
      </c>
      <c r="L14" s="25">
        <f>2962-K14</f>
        <v>1573</v>
      </c>
      <c r="M14" s="25">
        <v>1909</v>
      </c>
      <c r="N14" s="25">
        <f>4106-M14</f>
        <v>2197</v>
      </c>
      <c r="O14" s="25">
        <v>2351</v>
      </c>
      <c r="P14" s="25">
        <f>SUM(BP14:BQ14)</f>
        <v>2856</v>
      </c>
      <c r="Q14" s="25">
        <f>SUM(BR14:BS14)</f>
        <v>3090</v>
      </c>
      <c r="R14" s="25">
        <f>BT14+BU14</f>
        <v>3132</v>
      </c>
      <c r="S14" s="25">
        <v>3393</v>
      </c>
      <c r="T14" s="25">
        <f>+BY14+BX14</f>
        <v>3068</v>
      </c>
      <c r="U14" s="25">
        <f>SUM(BZ14:CA14)</f>
        <v>2726</v>
      </c>
      <c r="V14" s="25">
        <f>CC14+CB14</f>
        <v>2566</v>
      </c>
      <c r="W14" s="25">
        <f>U14*1</f>
        <v>2726</v>
      </c>
      <c r="X14" s="25">
        <f>V14*1.05</f>
        <v>2694.3</v>
      </c>
      <c r="Y14" s="25"/>
      <c r="Z14" s="25"/>
      <c r="AA14" s="25">
        <v>3097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4"/>
      <c r="AX14" s="67">
        <v>48</v>
      </c>
      <c r="AY14" s="67">
        <v>169</v>
      </c>
      <c r="AZ14" s="67">
        <v>235</v>
      </c>
      <c r="BA14" s="67">
        <v>238</v>
      </c>
      <c r="BB14" s="67">
        <v>260</v>
      </c>
      <c r="BC14" s="67">
        <v>347</v>
      </c>
      <c r="BD14" s="67">
        <v>486</v>
      </c>
      <c r="BE14" s="67">
        <v>572</v>
      </c>
      <c r="BF14" s="67">
        <v>676</v>
      </c>
      <c r="BG14" s="67">
        <v>713</v>
      </c>
      <c r="BH14" s="67">
        <v>741</v>
      </c>
      <c r="BI14" s="67">
        <v>832</v>
      </c>
      <c r="BJ14" s="67">
        <v>923</v>
      </c>
      <c r="BK14" s="67">
        <v>986</v>
      </c>
      <c r="BL14" s="67">
        <v>1062</v>
      </c>
      <c r="BM14" s="67">
        <v>1135</v>
      </c>
      <c r="BN14" s="67">
        <v>1131</v>
      </c>
      <c r="BO14" s="67">
        <v>1220</v>
      </c>
      <c r="BP14" s="67">
        <v>1351</v>
      </c>
      <c r="BQ14" s="67">
        <v>1505</v>
      </c>
      <c r="BR14" s="67">
        <v>1485</v>
      </c>
      <c r="BS14" s="67">
        <v>1605</v>
      </c>
      <c r="BT14" s="67">
        <v>1594</v>
      </c>
      <c r="BU14" s="67">
        <v>1538</v>
      </c>
      <c r="BV14" s="67">
        <v>1666</v>
      </c>
      <c r="BW14" s="67">
        <f>+S14-BV14</f>
        <v>1727</v>
      </c>
      <c r="BX14" s="67">
        <f>5001-BW14-BV14</f>
        <v>1608</v>
      </c>
      <c r="BY14" s="67">
        <v>1460</v>
      </c>
      <c r="BZ14" s="67">
        <v>1417</v>
      </c>
      <c r="CA14" s="67">
        <f>2726-BZ14</f>
        <v>1309</v>
      </c>
      <c r="CB14" s="67">
        <v>1216</v>
      </c>
      <c r="CC14" s="67">
        <v>1350</v>
      </c>
      <c r="CD14" s="67">
        <v>1385</v>
      </c>
      <c r="CE14" s="67">
        <v>1420</v>
      </c>
      <c r="CF14" s="67">
        <v>1504</v>
      </c>
      <c r="CG14" s="67">
        <v>1455</v>
      </c>
      <c r="CH14" s="67">
        <v>1527</v>
      </c>
      <c r="CI14" s="67">
        <v>1566</v>
      </c>
      <c r="CJ14" s="67">
        <v>1617</v>
      </c>
      <c r="CK14" s="67">
        <v>1544</v>
      </c>
      <c r="CL14" s="67">
        <v>1565</v>
      </c>
      <c r="CM14" s="67">
        <v>1532</v>
      </c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>
        <v>863</v>
      </c>
      <c r="DO14" s="67">
        <v>782</v>
      </c>
      <c r="DP14" s="67">
        <v>745</v>
      </c>
      <c r="DQ14" s="67">
        <v>666</v>
      </c>
      <c r="DR14" s="67">
        <v>581</v>
      </c>
      <c r="DS14" s="67">
        <v>561</v>
      </c>
      <c r="DT14" s="67">
        <v>510</v>
      </c>
      <c r="DU14" s="55">
        <f t="shared" si="25"/>
        <v>732.6</v>
      </c>
      <c r="DV14" s="67"/>
      <c r="DW14" s="67"/>
      <c r="DX14" s="67"/>
      <c r="DY14" s="67"/>
      <c r="DZ14" s="67"/>
      <c r="EA14" s="67"/>
      <c r="EB14" s="67"/>
      <c r="EC14" s="67"/>
      <c r="ED14" s="5"/>
      <c r="EE14" s="25">
        <v>0</v>
      </c>
      <c r="EF14" s="25">
        <v>0</v>
      </c>
      <c r="EG14" s="25">
        <v>0</v>
      </c>
      <c r="EH14" s="25">
        <f>SUM(AX14:BA14)</f>
        <v>690</v>
      </c>
      <c r="EI14" s="25">
        <f>SUM(BB14:BE14)</f>
        <v>1665</v>
      </c>
      <c r="EJ14" s="25">
        <f t="shared" si="24"/>
        <v>2962</v>
      </c>
      <c r="EK14" s="25">
        <f>SUM(M14:N14)</f>
        <v>4106</v>
      </c>
      <c r="EL14" s="25">
        <f t="shared" ref="EL14:EL41" si="31">SUM(BN14:BQ14)</f>
        <v>5207</v>
      </c>
      <c r="EM14" s="25">
        <f t="shared" si="20"/>
        <v>6222</v>
      </c>
      <c r="EN14" s="25">
        <f>SUM(BV14:BY14)</f>
        <v>6461</v>
      </c>
      <c r="EO14" s="25">
        <f>SUM(BZ14:CC14)</f>
        <v>5292</v>
      </c>
      <c r="EP14" s="25">
        <f>SUM(CD14:CG14)</f>
        <v>5764</v>
      </c>
      <c r="EQ14" s="25">
        <f>SUM(CH14:CK14)</f>
        <v>6254</v>
      </c>
      <c r="ER14" s="25">
        <f t="shared" ref="ER14:EV14" si="32">EQ14*1.01</f>
        <v>6316.54</v>
      </c>
      <c r="ES14" s="25">
        <f t="shared" si="32"/>
        <v>6379.7053999999998</v>
      </c>
      <c r="ET14" s="25">
        <f t="shared" si="32"/>
        <v>6443.5024539999995</v>
      </c>
      <c r="EU14" s="25">
        <f t="shared" si="32"/>
        <v>6507.9374785399996</v>
      </c>
      <c r="EV14" s="25">
        <f t="shared" si="32"/>
        <v>6573.0168533254</v>
      </c>
      <c r="EW14" s="25">
        <f>+EV14*0.99</f>
        <v>6507.2866847921459</v>
      </c>
      <c r="EX14" s="25">
        <v>4992</v>
      </c>
      <c r="EY14" s="25">
        <v>3056</v>
      </c>
      <c r="EZ14" s="20">
        <f t="shared" si="27"/>
        <v>2384.6</v>
      </c>
      <c r="FA14" s="47"/>
      <c r="FB14" s="47"/>
    </row>
    <row r="15" spans="1:165" s="26" customFormat="1" x14ac:dyDescent="0.2">
      <c r="B15" s="3" t="s">
        <v>343</v>
      </c>
      <c r="C15" s="23"/>
      <c r="D15" s="23"/>
      <c r="E15" s="23"/>
      <c r="F15" s="23"/>
      <c r="G15" s="23"/>
      <c r="H15" s="23"/>
      <c r="I15" s="25">
        <v>1944</v>
      </c>
      <c r="J15" s="25">
        <f>4154-I15</f>
        <v>2210</v>
      </c>
      <c r="K15" s="25">
        <v>2348</v>
      </c>
      <c r="L15" s="25">
        <f>4839-K15</f>
        <v>2491</v>
      </c>
      <c r="M15" s="25">
        <v>2704</v>
      </c>
      <c r="N15" s="25">
        <f>5516-M15</f>
        <v>2812</v>
      </c>
      <c r="O15" s="25">
        <v>2867</v>
      </c>
      <c r="P15" s="25">
        <f t="shared" ref="P15:P45" si="33">SUM(BP15:BQ15)</f>
        <v>3056</v>
      </c>
      <c r="Q15" s="25">
        <f t="shared" ref="Q15:Q47" si="34">SUM(BR15:BS15)</f>
        <v>3098</v>
      </c>
      <c r="R15" s="25">
        <f t="shared" ref="R15:R47" si="35">BT15+BU15</f>
        <v>2989</v>
      </c>
      <c r="S15" s="25">
        <v>3301</v>
      </c>
      <c r="T15" s="25">
        <f t="shared" ref="T15:T47" si="36">+BY15+BX15</f>
        <v>3055</v>
      </c>
      <c r="U15" s="25">
        <f t="shared" ref="U15:U48" si="37">SUM(BZ15:CA15)</f>
        <v>3056</v>
      </c>
      <c r="V15" s="25">
        <f t="shared" ref="V15:V47" si="38">CC15+CB15</f>
        <v>2949</v>
      </c>
      <c r="W15" s="25">
        <f>U15*1.04</f>
        <v>3178.2400000000002</v>
      </c>
      <c r="X15" s="25">
        <f>V15*1.04</f>
        <v>3066.96</v>
      </c>
      <c r="Y15" s="25"/>
      <c r="Z15" s="25"/>
      <c r="AA15" s="25">
        <v>3360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4"/>
      <c r="AX15" s="94">
        <v>782</v>
      </c>
      <c r="AY15" s="67">
        <v>842</v>
      </c>
      <c r="AZ15" s="67">
        <v>880</v>
      </c>
      <c r="BA15" s="67">
        <v>874</v>
      </c>
      <c r="BB15" s="67">
        <v>929</v>
      </c>
      <c r="BC15" s="67">
        <v>1015</v>
      </c>
      <c r="BD15" s="67">
        <v>1057</v>
      </c>
      <c r="BE15" s="67">
        <v>1153</v>
      </c>
      <c r="BF15" s="67">
        <v>1146</v>
      </c>
      <c r="BG15" s="67">
        <v>1202</v>
      </c>
      <c r="BH15" s="67">
        <v>1177</v>
      </c>
      <c r="BI15" s="67">
        <v>1314</v>
      </c>
      <c r="BJ15" s="67">
        <v>1309</v>
      </c>
      <c r="BK15" s="67">
        <v>1395</v>
      </c>
      <c r="BL15" s="67">
        <v>1380</v>
      </c>
      <c r="BM15" s="67">
        <v>1432</v>
      </c>
      <c r="BN15" s="67">
        <v>1407</v>
      </c>
      <c r="BO15" s="67">
        <v>1460</v>
      </c>
      <c r="BP15" s="67">
        <v>1472</v>
      </c>
      <c r="BQ15" s="67">
        <v>1584</v>
      </c>
      <c r="BR15" s="67">
        <v>1481</v>
      </c>
      <c r="BS15" s="67">
        <v>1617</v>
      </c>
      <c r="BT15" s="67">
        <v>1508</v>
      </c>
      <c r="BU15" s="67">
        <v>1481</v>
      </c>
      <c r="BV15" s="67">
        <v>1606</v>
      </c>
      <c r="BW15" s="67">
        <f t="shared" ref="BW15:BW46" si="39">+S15-BV15</f>
        <v>1695</v>
      </c>
      <c r="BX15" s="67">
        <f>4821-BW15-BV15</f>
        <v>1520</v>
      </c>
      <c r="BY15" s="67">
        <v>1535</v>
      </c>
      <c r="BZ15" s="67">
        <v>1556</v>
      </c>
      <c r="CA15" s="67">
        <f>3056-BZ15</f>
        <v>1500</v>
      </c>
      <c r="CB15" s="67">
        <v>1361</v>
      </c>
      <c r="CC15" s="67">
        <v>1588</v>
      </c>
      <c r="CD15" s="67">
        <v>1605</v>
      </c>
      <c r="CE15" s="67">
        <v>1710</v>
      </c>
      <c r="CF15" s="67">
        <v>1683</v>
      </c>
      <c r="CG15" s="67">
        <v>1709</v>
      </c>
      <c r="CH15" s="67">
        <v>1696</v>
      </c>
      <c r="CI15" s="67">
        <v>1705</v>
      </c>
      <c r="CJ15" s="67">
        <v>1805</v>
      </c>
      <c r="CK15" s="67">
        <v>1745</v>
      </c>
      <c r="CL15" s="67">
        <v>1667</v>
      </c>
      <c r="CM15" s="67">
        <v>1693</v>
      </c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>
        <v>705</v>
      </c>
      <c r="DO15" s="67">
        <v>674</v>
      </c>
      <c r="DP15" s="67">
        <v>589</v>
      </c>
      <c r="DQ15" s="67">
        <v>597</v>
      </c>
      <c r="DR15" s="67">
        <v>564</v>
      </c>
      <c r="DS15" s="67">
        <v>553</v>
      </c>
      <c r="DT15" s="67">
        <v>479</v>
      </c>
      <c r="DU15" s="55">
        <f t="shared" si="25"/>
        <v>656.7</v>
      </c>
      <c r="DV15" s="67"/>
      <c r="DW15" s="67"/>
      <c r="DX15" s="67"/>
      <c r="DY15" s="67"/>
      <c r="DZ15" s="67"/>
      <c r="EA15" s="67"/>
      <c r="EB15" s="67"/>
      <c r="EC15" s="67"/>
      <c r="ED15" s="5"/>
      <c r="EE15" s="25">
        <v>1721</v>
      </c>
      <c r="EF15" s="25">
        <v>2402</v>
      </c>
      <c r="EG15" s="25">
        <v>2775</v>
      </c>
      <c r="EH15" s="25">
        <v>3378</v>
      </c>
      <c r="EI15" s="25">
        <v>4154</v>
      </c>
      <c r="EJ15" s="25">
        <f t="shared" si="24"/>
        <v>4839</v>
      </c>
      <c r="EK15" s="25">
        <f t="shared" si="23"/>
        <v>5516</v>
      </c>
      <c r="EL15" s="25">
        <f>SUM(BN15:BQ15)</f>
        <v>5923</v>
      </c>
      <c r="EM15" s="25">
        <f>SUM(BR15:BU15)</f>
        <v>6087</v>
      </c>
      <c r="EN15" s="25">
        <f>SUM(BV15:BY15)</f>
        <v>6356</v>
      </c>
      <c r="EO15" s="25">
        <f>SUM(BZ15:CC15)</f>
        <v>6005</v>
      </c>
      <c r="EP15" s="25">
        <f>SUM(CD15:CG15)</f>
        <v>6707</v>
      </c>
      <c r="EQ15" s="25">
        <f>SUM(CH15:CK15)</f>
        <v>6951</v>
      </c>
      <c r="ER15" s="25">
        <f t="shared" ref="ER15:ET16" si="40">EQ15*1.01</f>
        <v>7020.51</v>
      </c>
      <c r="ES15" s="25">
        <f t="shared" si="40"/>
        <v>7090.7151000000003</v>
      </c>
      <c r="ET15" s="25">
        <f t="shared" si="40"/>
        <v>7161.6222510000007</v>
      </c>
      <c r="EU15" s="25">
        <f>ET15*0.99</f>
        <v>7090.006028490001</v>
      </c>
      <c r="EV15" s="25">
        <f>EU15*0.99</f>
        <v>7019.1059682051009</v>
      </c>
      <c r="EW15" s="25">
        <f>+EV15*0.99</f>
        <v>6948.9149085230501</v>
      </c>
      <c r="EX15" s="25">
        <f>3206+1017</f>
        <v>4223</v>
      </c>
      <c r="EY15" s="25">
        <f>1999+566</f>
        <v>2565</v>
      </c>
      <c r="EZ15" s="20">
        <f t="shared" si="27"/>
        <v>2252.6999999999998</v>
      </c>
      <c r="FA15" s="47"/>
      <c r="FB15" s="47"/>
    </row>
    <row r="16" spans="1:165" s="26" customFormat="1" x14ac:dyDescent="0.2">
      <c r="B16" s="15" t="s">
        <v>24</v>
      </c>
      <c r="C16" s="23"/>
      <c r="D16" s="23"/>
      <c r="E16" s="23"/>
      <c r="F16" s="23"/>
      <c r="G16" s="23"/>
      <c r="H16" s="23"/>
      <c r="I16" s="25">
        <v>851</v>
      </c>
      <c r="J16" s="25">
        <f>2146-I16</f>
        <v>1295</v>
      </c>
      <c r="K16" s="25">
        <v>1813</v>
      </c>
      <c r="L16" s="25">
        <f>3927-K16</f>
        <v>2114</v>
      </c>
      <c r="M16" s="25">
        <v>2382</v>
      </c>
      <c r="N16" s="25">
        <f>4852-M16</f>
        <v>2470</v>
      </c>
      <c r="O16" s="25">
        <v>2474</v>
      </c>
      <c r="P16" s="25">
        <f t="shared" si="33"/>
        <v>2618</v>
      </c>
      <c r="Q16" s="25">
        <f t="shared" si="34"/>
        <v>2645</v>
      </c>
      <c r="R16" s="25">
        <f t="shared" si="35"/>
        <v>2621</v>
      </c>
      <c r="S16" s="25">
        <v>2806</v>
      </c>
      <c r="T16" s="25">
        <f t="shared" si="36"/>
        <v>2623</v>
      </c>
      <c r="U16" s="25">
        <f t="shared" si="37"/>
        <v>2716</v>
      </c>
      <c r="V16" s="25">
        <f t="shared" si="38"/>
        <v>2537</v>
      </c>
      <c r="W16" s="25">
        <f>U16*1.04</f>
        <v>2824.64</v>
      </c>
      <c r="X16" s="25">
        <f>V16*1.04</f>
        <v>2638.48</v>
      </c>
      <c r="Y16" s="25"/>
      <c r="Z16" s="25"/>
      <c r="AA16" s="25">
        <v>3082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4"/>
      <c r="AX16" s="67">
        <v>328</v>
      </c>
      <c r="AY16" s="67">
        <v>356</v>
      </c>
      <c r="AZ16" s="67">
        <v>373</v>
      </c>
      <c r="BA16" s="67">
        <v>377.70765962469017</v>
      </c>
      <c r="BB16" s="67">
        <v>391</v>
      </c>
      <c r="BC16" s="67">
        <v>460</v>
      </c>
      <c r="BD16" s="67">
        <v>591</v>
      </c>
      <c r="BE16" s="67">
        <v>704</v>
      </c>
      <c r="BF16" s="67">
        <v>861</v>
      </c>
      <c r="BG16" s="67">
        <v>952</v>
      </c>
      <c r="BH16" s="67">
        <v>1009</v>
      </c>
      <c r="BI16" s="67">
        <v>1105</v>
      </c>
      <c r="BJ16" s="67">
        <v>1168</v>
      </c>
      <c r="BK16" s="67">
        <v>1214</v>
      </c>
      <c r="BL16" s="67">
        <v>1209</v>
      </c>
      <c r="BM16" s="67">
        <v>1261</v>
      </c>
      <c r="BN16" s="67">
        <v>1225</v>
      </c>
      <c r="BO16" s="67">
        <v>1249</v>
      </c>
      <c r="BP16" s="67">
        <v>1295</v>
      </c>
      <c r="BQ16" s="67">
        <v>1323</v>
      </c>
      <c r="BR16" s="67">
        <v>1307</v>
      </c>
      <c r="BS16" s="67">
        <v>1338</v>
      </c>
      <c r="BT16" s="67">
        <v>1327</v>
      </c>
      <c r="BU16" s="67">
        <v>1294</v>
      </c>
      <c r="BV16" s="67">
        <v>1417</v>
      </c>
      <c r="BW16" s="67">
        <f t="shared" si="39"/>
        <v>1389</v>
      </c>
      <c r="BX16" s="67">
        <f>4163-BW16-BV16</f>
        <v>1357</v>
      </c>
      <c r="BY16" s="67">
        <v>1266</v>
      </c>
      <c r="BZ16" s="67">
        <v>1386</v>
      </c>
      <c r="CA16" s="67">
        <f>2716-BZ16</f>
        <v>1330</v>
      </c>
      <c r="CB16" s="67">
        <v>1189</v>
      </c>
      <c r="CC16" s="67">
        <v>1348</v>
      </c>
      <c r="CD16" s="67">
        <v>1428</v>
      </c>
      <c r="CE16" s="67">
        <v>1523</v>
      </c>
      <c r="CF16" s="67">
        <v>1481</v>
      </c>
      <c r="CG16" s="67">
        <v>1457</v>
      </c>
      <c r="CH16" s="67">
        <v>1572</v>
      </c>
      <c r="CI16" s="67">
        <v>1510</v>
      </c>
      <c r="CJ16" s="67">
        <v>1512</v>
      </c>
      <c r="CK16" s="67">
        <v>1485</v>
      </c>
      <c r="CL16" s="67">
        <v>1526</v>
      </c>
      <c r="CM16" s="67">
        <v>1556</v>
      </c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>
        <v>755</v>
      </c>
      <c r="DO16" s="67">
        <v>641</v>
      </c>
      <c r="DP16" s="67">
        <v>665</v>
      </c>
      <c r="DQ16" s="67">
        <v>633</v>
      </c>
      <c r="DR16" s="67">
        <v>607</v>
      </c>
      <c r="DS16" s="67">
        <v>572</v>
      </c>
      <c r="DT16" s="67">
        <v>493</v>
      </c>
      <c r="DU16" s="55">
        <f t="shared" si="25"/>
        <v>696.30000000000007</v>
      </c>
      <c r="DV16" s="67"/>
      <c r="DW16" s="67"/>
      <c r="DX16" s="67"/>
      <c r="DY16" s="67"/>
      <c r="DZ16" s="67"/>
      <c r="EA16" s="67"/>
      <c r="EB16" s="67"/>
      <c r="EC16" s="67"/>
      <c r="ED16" s="5"/>
      <c r="EE16" s="25">
        <v>806</v>
      </c>
      <c r="EF16" s="25">
        <v>1007</v>
      </c>
      <c r="EG16" s="25">
        <v>1177</v>
      </c>
      <c r="EH16" s="25">
        <f t="shared" ref="EH16:EH46" si="41">SUM(AX16:BA16)</f>
        <v>1434.7076596246902</v>
      </c>
      <c r="EI16" s="25">
        <f t="shared" ref="EI16:EI46" si="42">SUM(BB16:BE16)</f>
        <v>2146</v>
      </c>
      <c r="EJ16" s="25">
        <f t="shared" si="24"/>
        <v>3927</v>
      </c>
      <c r="EK16" s="25">
        <f t="shared" si="23"/>
        <v>4852</v>
      </c>
      <c r="EL16" s="25">
        <f t="shared" si="31"/>
        <v>5092</v>
      </c>
      <c r="EM16" s="25">
        <f t="shared" ref="EM16:EM47" si="43">SUM(BR16:BU16)</f>
        <v>5266</v>
      </c>
      <c r="EN16" s="25">
        <f t="shared" si="21"/>
        <v>5429</v>
      </c>
      <c r="EO16" s="25">
        <f t="shared" ref="EO16:EO48" si="44">SUM(BZ16:CC16)</f>
        <v>5253</v>
      </c>
      <c r="EP16" s="25">
        <f t="shared" ref="EP16:EP58" si="45">SUM(CD16:CG16)</f>
        <v>5889</v>
      </c>
      <c r="EQ16" s="25">
        <f t="shared" ref="EQ16:EQ58" si="46">SUM(CH16:CK16)</f>
        <v>6079</v>
      </c>
      <c r="ER16" s="25">
        <f t="shared" si="40"/>
        <v>6139.79</v>
      </c>
      <c r="ES16" s="25">
        <f t="shared" si="40"/>
        <v>6201.1878999999999</v>
      </c>
      <c r="ET16" s="25">
        <f t="shared" si="40"/>
        <v>6263.1997789999996</v>
      </c>
      <c r="EU16" s="25">
        <f>ET16*0.9</f>
        <v>5636.8798010999999</v>
      </c>
      <c r="EV16" s="25">
        <f>EU16*0.9</f>
        <v>5073.1918209900005</v>
      </c>
      <c r="EW16" s="25">
        <f>+EV16*0.9</f>
        <v>4565.8726388910009</v>
      </c>
      <c r="EX16" s="25">
        <v>3732</v>
      </c>
      <c r="EY16" s="25">
        <v>2694</v>
      </c>
      <c r="EZ16" s="20">
        <f t="shared" si="27"/>
        <v>2368.3000000000002</v>
      </c>
      <c r="FA16" s="47"/>
      <c r="FB16" s="47"/>
    </row>
    <row r="17" spans="2:158" s="26" customFormat="1" x14ac:dyDescent="0.2">
      <c r="B17" s="3" t="s">
        <v>766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>
        <v>227</v>
      </c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4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>
        <v>65</v>
      </c>
      <c r="CJ17" s="67">
        <v>73</v>
      </c>
      <c r="CK17" s="67">
        <v>78</v>
      </c>
      <c r="CL17" s="67">
        <v>102</v>
      </c>
      <c r="CM17" s="67">
        <v>125</v>
      </c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>
        <v>478</v>
      </c>
      <c r="DO17" s="67">
        <v>481</v>
      </c>
      <c r="DP17" s="67">
        <v>501</v>
      </c>
      <c r="DQ17" s="67">
        <v>522</v>
      </c>
      <c r="DR17" s="67">
        <v>511</v>
      </c>
      <c r="DS17" s="67">
        <v>563</v>
      </c>
      <c r="DT17" s="67">
        <v>516</v>
      </c>
      <c r="DU17" s="55">
        <f t="shared" si="25"/>
        <v>574.20000000000005</v>
      </c>
      <c r="DV17" s="67"/>
      <c r="DW17" s="67"/>
      <c r="DX17" s="67"/>
      <c r="DY17" s="67"/>
      <c r="DZ17" s="67"/>
      <c r="EA17" s="67"/>
      <c r="EB17" s="67"/>
      <c r="EC17" s="67"/>
      <c r="ED17" s="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>
        <v>1745</v>
      </c>
      <c r="EY17" s="25">
        <v>1982</v>
      </c>
      <c r="EZ17" s="20">
        <f t="shared" si="27"/>
        <v>2164.1999999999998</v>
      </c>
      <c r="FA17" s="47"/>
      <c r="FB17" s="47"/>
    </row>
    <row r="18" spans="2:158" s="26" customFormat="1" x14ac:dyDescent="0.2">
      <c r="B18" s="3" t="s">
        <v>804</v>
      </c>
      <c r="C18" s="23"/>
      <c r="D18" s="23"/>
      <c r="E18" s="23"/>
      <c r="F18" s="23"/>
      <c r="G18" s="23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4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>
        <v>166</v>
      </c>
      <c r="DO18" s="67">
        <v>429</v>
      </c>
      <c r="DP18" s="67">
        <v>489</v>
      </c>
      <c r="DQ18" s="67">
        <v>546</v>
      </c>
      <c r="DR18" s="67">
        <v>587</v>
      </c>
      <c r="DS18" s="67">
        <v>22</v>
      </c>
      <c r="DT18" s="67">
        <v>22</v>
      </c>
      <c r="DU18" s="55">
        <f t="shared" si="25"/>
        <v>600.6</v>
      </c>
      <c r="DV18" s="67"/>
      <c r="DW18" s="67"/>
      <c r="DX18" s="67"/>
      <c r="DY18" s="67"/>
      <c r="DZ18" s="67"/>
      <c r="EA18" s="67"/>
      <c r="EB18" s="67"/>
      <c r="EC18" s="67"/>
      <c r="ED18" s="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>
        <v>0</v>
      </c>
      <c r="EY18" s="25">
        <v>1630</v>
      </c>
      <c r="EZ18" s="20">
        <f t="shared" si="27"/>
        <v>1231.5999999999999</v>
      </c>
      <c r="FA18" s="47"/>
      <c r="FB18" s="47"/>
    </row>
    <row r="19" spans="2:158" s="26" customFormat="1" x14ac:dyDescent="0.2">
      <c r="B19" s="15" t="s">
        <v>28</v>
      </c>
      <c r="C19" s="23"/>
      <c r="D19" s="23"/>
      <c r="E19" s="23"/>
      <c r="F19" s="23"/>
      <c r="G19" s="23"/>
      <c r="H19" s="23"/>
      <c r="I19" s="25">
        <v>181</v>
      </c>
      <c r="J19" s="25">
        <f>408-I19</f>
        <v>227</v>
      </c>
      <c r="K19" s="25">
        <v>257</v>
      </c>
      <c r="L19" s="25">
        <f>537-K19</f>
        <v>280</v>
      </c>
      <c r="M19" s="25">
        <v>284</v>
      </c>
      <c r="N19" s="25">
        <f>567-M19</f>
        <v>283</v>
      </c>
      <c r="O19" s="25">
        <v>259</v>
      </c>
      <c r="P19" s="25">
        <f>SUM(BP19:BQ19)</f>
        <v>301</v>
      </c>
      <c r="Q19" s="25">
        <f>SUM(BR19:BS19)</f>
        <v>313</v>
      </c>
      <c r="R19" s="25">
        <f>BT19+BU19</f>
        <v>307</v>
      </c>
      <c r="S19" s="25">
        <v>324</v>
      </c>
      <c r="T19" s="25">
        <f>+BY19+BX19</f>
        <v>317</v>
      </c>
      <c r="U19" s="25">
        <f>SUM(BZ19:CA19)</f>
        <v>300</v>
      </c>
      <c r="V19" s="25">
        <f>CC19+CB19</f>
        <v>303</v>
      </c>
      <c r="W19" s="25"/>
      <c r="X19" s="25"/>
      <c r="Y19" s="25"/>
      <c r="Z19" s="25"/>
      <c r="AA19" s="25">
        <v>437</v>
      </c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4"/>
      <c r="AX19" s="67">
        <v>38</v>
      </c>
      <c r="AY19" s="67">
        <v>55</v>
      </c>
      <c r="AZ19" s="67">
        <v>68</v>
      </c>
      <c r="BA19" s="67">
        <v>73</v>
      </c>
      <c r="BB19" s="67">
        <v>81</v>
      </c>
      <c r="BC19" s="67">
        <v>100</v>
      </c>
      <c r="BD19" s="67">
        <v>104</v>
      </c>
      <c r="BE19" s="67">
        <v>123</v>
      </c>
      <c r="BF19" s="67">
        <v>124</v>
      </c>
      <c r="BG19" s="67">
        <v>133</v>
      </c>
      <c r="BH19" s="67">
        <v>135</v>
      </c>
      <c r="BI19" s="67">
        <v>145</v>
      </c>
      <c r="BJ19" s="67">
        <v>136</v>
      </c>
      <c r="BK19" s="67">
        <v>148</v>
      </c>
      <c r="BL19" s="67">
        <v>145</v>
      </c>
      <c r="BM19" s="67">
        <v>138</v>
      </c>
      <c r="BN19" s="67">
        <v>125</v>
      </c>
      <c r="BO19" s="67">
        <v>134</v>
      </c>
      <c r="BP19" s="67">
        <v>145</v>
      </c>
      <c r="BQ19" s="67">
        <v>156</v>
      </c>
      <c r="BR19" s="67">
        <v>152</v>
      </c>
      <c r="BS19" s="67">
        <v>161</v>
      </c>
      <c r="BT19" s="67">
        <v>157</v>
      </c>
      <c r="BU19" s="67">
        <v>150</v>
      </c>
      <c r="BV19" s="67">
        <v>148</v>
      </c>
      <c r="BW19" s="67">
        <f>+S19-BV19</f>
        <v>176</v>
      </c>
      <c r="BX19" s="67">
        <f>491-BW19-BV19</f>
        <v>167</v>
      </c>
      <c r="BY19" s="67">
        <v>150</v>
      </c>
      <c r="BZ19" s="67">
        <v>149</v>
      </c>
      <c r="CA19" s="67">
        <f>300-BZ19</f>
        <v>151</v>
      </c>
      <c r="CB19" s="67">
        <v>146</v>
      </c>
      <c r="CC19" s="67">
        <v>157</v>
      </c>
      <c r="CD19" s="67">
        <v>164</v>
      </c>
      <c r="CE19" s="67">
        <v>181</v>
      </c>
      <c r="CF19" s="67">
        <v>185</v>
      </c>
      <c r="CG19" s="67">
        <v>175</v>
      </c>
      <c r="CH19" s="67">
        <v>185</v>
      </c>
      <c r="CI19" s="67">
        <v>201</v>
      </c>
      <c r="CJ19" s="67">
        <v>204</v>
      </c>
      <c r="CK19" s="67">
        <v>200</v>
      </c>
      <c r="CL19" s="67">
        <v>205</v>
      </c>
      <c r="CM19" s="67">
        <v>232</v>
      </c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>
        <v>409</v>
      </c>
      <c r="DO19" s="67">
        <v>478</v>
      </c>
      <c r="DP19" s="67">
        <v>529</v>
      </c>
      <c r="DQ19" s="67">
        <v>526</v>
      </c>
      <c r="DR19" s="67">
        <v>456</v>
      </c>
      <c r="DS19" s="67">
        <v>569</v>
      </c>
      <c r="DT19" s="67">
        <v>600</v>
      </c>
      <c r="DU19" s="55">
        <f t="shared" si="25"/>
        <v>578.6</v>
      </c>
      <c r="DV19" s="67"/>
      <c r="DW19" s="67"/>
      <c r="DX19" s="67"/>
      <c r="DY19" s="67"/>
      <c r="DZ19" s="67"/>
      <c r="EA19" s="67"/>
      <c r="EB19" s="67"/>
      <c r="EC19" s="67"/>
      <c r="ED19" s="5"/>
      <c r="EE19" s="25">
        <v>0</v>
      </c>
      <c r="EF19" s="25">
        <v>0</v>
      </c>
      <c r="EG19" s="25">
        <v>33</v>
      </c>
      <c r="EH19" s="25">
        <f>SUM(AX19:BA19)</f>
        <v>234</v>
      </c>
      <c r="EI19" s="25">
        <f>SUM(BB19:BE19)</f>
        <v>408</v>
      </c>
      <c r="EJ19" s="25">
        <f>SUM(K19:L19)</f>
        <v>537</v>
      </c>
      <c r="EK19" s="25">
        <f>SUM(M19:N19)</f>
        <v>567</v>
      </c>
      <c r="EL19" s="25">
        <f>SUM(BN19:BQ19)</f>
        <v>560</v>
      </c>
      <c r="EM19" s="25">
        <f>SUM(BR19:BU19)</f>
        <v>620</v>
      </c>
      <c r="EN19" s="25">
        <f>SUM(BV19:BY19)</f>
        <v>641</v>
      </c>
      <c r="EO19" s="25">
        <f>SUM(BZ19:CC19)</f>
        <v>603</v>
      </c>
      <c r="EP19" s="25">
        <f>SUM(CD19:CG19)</f>
        <v>705</v>
      </c>
      <c r="EQ19" s="25">
        <f>SUM(CH19:CK19)</f>
        <v>790</v>
      </c>
      <c r="ER19" s="25">
        <f t="shared" ref="ER19:EW19" si="47">EQ19*1.01</f>
        <v>797.9</v>
      </c>
      <c r="ES19" s="25">
        <f t="shared" si="47"/>
        <v>805.87900000000002</v>
      </c>
      <c r="ET19" s="25">
        <f t="shared" si="47"/>
        <v>813.93779000000006</v>
      </c>
      <c r="EU19" s="25">
        <f t="shared" si="47"/>
        <v>822.07716790000006</v>
      </c>
      <c r="EV19" s="25">
        <f t="shared" si="47"/>
        <v>830.29793957900006</v>
      </c>
      <c r="EW19" s="25">
        <f t="shared" si="47"/>
        <v>838.60091897479003</v>
      </c>
      <c r="EX19" s="25">
        <v>1904</v>
      </c>
      <c r="EY19" s="25">
        <v>1942</v>
      </c>
      <c r="EZ19" s="20">
        <f t="shared" si="27"/>
        <v>2203.6</v>
      </c>
      <c r="FA19" s="47"/>
      <c r="FB19" s="47"/>
    </row>
    <row r="20" spans="2:158" s="26" customFormat="1" x14ac:dyDescent="0.2">
      <c r="B20" s="3" t="s">
        <v>805</v>
      </c>
      <c r="C20" s="23"/>
      <c r="D20" s="23"/>
      <c r="E20" s="23"/>
      <c r="F20" s="23"/>
      <c r="G20" s="23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4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>
        <v>298</v>
      </c>
      <c r="DO20" s="67">
        <v>333</v>
      </c>
      <c r="DP20" s="67">
        <v>357</v>
      </c>
      <c r="DQ20" s="67">
        <v>368</v>
      </c>
      <c r="DR20" s="67">
        <v>361</v>
      </c>
      <c r="DS20" s="67">
        <v>384</v>
      </c>
      <c r="DT20" s="67">
        <v>382</v>
      </c>
      <c r="DU20" s="55">
        <f t="shared" si="25"/>
        <v>404.8</v>
      </c>
      <c r="DV20" s="67"/>
      <c r="DW20" s="67"/>
      <c r="DX20" s="67"/>
      <c r="DY20" s="67"/>
      <c r="DZ20" s="67"/>
      <c r="EA20" s="67"/>
      <c r="EB20" s="67"/>
      <c r="EC20" s="67"/>
      <c r="ED20" s="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>
        <v>1160</v>
      </c>
      <c r="EY20" s="25">
        <v>1356</v>
      </c>
      <c r="EZ20" s="20">
        <f t="shared" si="27"/>
        <v>1531.8</v>
      </c>
      <c r="FA20" s="47"/>
      <c r="FB20" s="47"/>
    </row>
    <row r="21" spans="2:158" s="26" customFormat="1" x14ac:dyDescent="0.2">
      <c r="B21" s="15" t="s">
        <v>29</v>
      </c>
      <c r="C21" s="23"/>
      <c r="D21" s="23"/>
      <c r="E21" s="23"/>
      <c r="F21" s="23"/>
      <c r="G21" s="23"/>
      <c r="H21" s="23"/>
      <c r="I21" s="25"/>
      <c r="J21" s="25"/>
      <c r="K21" s="25">
        <v>13</v>
      </c>
      <c r="L21" s="25">
        <f>478-K21</f>
        <v>465</v>
      </c>
      <c r="M21" s="25">
        <v>524</v>
      </c>
      <c r="N21" s="25">
        <f>991-M21</f>
        <v>467</v>
      </c>
      <c r="O21" s="25">
        <v>440</v>
      </c>
      <c r="P21" s="25">
        <f>SUM(BP21:BQ21)</f>
        <v>520</v>
      </c>
      <c r="Q21" s="25">
        <f>SUM(BR21:BS21)</f>
        <v>573</v>
      </c>
      <c r="R21" s="25">
        <f>BT21+BU21</f>
        <v>625</v>
      </c>
      <c r="S21" s="25">
        <v>697</v>
      </c>
      <c r="T21" s="25">
        <f t="shared" si="36"/>
        <v>761</v>
      </c>
      <c r="U21" s="25">
        <f t="shared" si="37"/>
        <v>769</v>
      </c>
      <c r="V21" s="25">
        <f t="shared" si="38"/>
        <v>754</v>
      </c>
      <c r="W21" s="25"/>
      <c r="X21" s="25"/>
      <c r="Y21" s="25"/>
      <c r="Z21" s="25"/>
      <c r="AA21" s="25">
        <v>828</v>
      </c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4"/>
      <c r="AX21" s="94">
        <v>0</v>
      </c>
      <c r="AY21" s="67">
        <v>0</v>
      </c>
      <c r="AZ21" s="67">
        <v>0</v>
      </c>
      <c r="BA21" s="67">
        <v>0</v>
      </c>
      <c r="BB21" s="67">
        <v>0</v>
      </c>
      <c r="BC21" s="67">
        <v>0</v>
      </c>
      <c r="BD21" s="67">
        <v>0</v>
      </c>
      <c r="BE21" s="67">
        <v>0</v>
      </c>
      <c r="BF21" s="67">
        <v>0</v>
      </c>
      <c r="BG21" s="67">
        <v>13</v>
      </c>
      <c r="BH21" s="67">
        <v>192</v>
      </c>
      <c r="BI21" s="67">
        <v>273</v>
      </c>
      <c r="BJ21" s="67">
        <v>263</v>
      </c>
      <c r="BK21" s="67">
        <v>261</v>
      </c>
      <c r="BL21" s="67">
        <v>239</v>
      </c>
      <c r="BM21" s="67">
        <v>228</v>
      </c>
      <c r="BN21" s="67">
        <v>215</v>
      </c>
      <c r="BO21" s="67">
        <v>225</v>
      </c>
      <c r="BP21" s="67">
        <v>246</v>
      </c>
      <c r="BQ21" s="67">
        <v>274</v>
      </c>
      <c r="BR21" s="67">
        <v>279</v>
      </c>
      <c r="BS21" s="67">
        <v>294</v>
      </c>
      <c r="BT21" s="67">
        <v>296</v>
      </c>
      <c r="BU21" s="67">
        <v>329</v>
      </c>
      <c r="BV21" s="67">
        <v>327</v>
      </c>
      <c r="BW21" s="67">
        <f>+S21-BV21</f>
        <v>370</v>
      </c>
      <c r="BX21" s="67">
        <f>1081-BW21-BV21</f>
        <v>384</v>
      </c>
      <c r="BY21" s="67">
        <v>377</v>
      </c>
      <c r="BZ21" s="67">
        <v>392</v>
      </c>
      <c r="CA21" s="67">
        <f>769-BZ21</f>
        <v>377</v>
      </c>
      <c r="CB21" s="67">
        <v>359</v>
      </c>
      <c r="CC21" s="67">
        <v>395</v>
      </c>
      <c r="CD21" s="67">
        <v>385</v>
      </c>
      <c r="CE21" s="67">
        <v>360</v>
      </c>
      <c r="CF21" s="67">
        <v>368</v>
      </c>
      <c r="CG21" s="67">
        <v>368</v>
      </c>
      <c r="CH21" s="67">
        <v>393</v>
      </c>
      <c r="CI21" s="67">
        <v>427</v>
      </c>
      <c r="CJ21" s="67">
        <v>431</v>
      </c>
      <c r="CK21" s="67">
        <v>438</v>
      </c>
      <c r="CL21" s="67">
        <v>407</v>
      </c>
      <c r="CM21" s="67">
        <v>421</v>
      </c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>
        <v>337</v>
      </c>
      <c r="DO21" s="67">
        <v>328</v>
      </c>
      <c r="DP21" s="67">
        <v>352</v>
      </c>
      <c r="DQ21" s="67">
        <v>336</v>
      </c>
      <c r="DR21" s="67">
        <v>256</v>
      </c>
      <c r="DS21" s="67">
        <v>316</v>
      </c>
      <c r="DT21" s="67">
        <v>228</v>
      </c>
      <c r="DU21" s="55">
        <f t="shared" si="25"/>
        <v>369.6</v>
      </c>
      <c r="DV21" s="67"/>
      <c r="DW21" s="67"/>
      <c r="DX21" s="67"/>
      <c r="DY21" s="67"/>
      <c r="DZ21" s="67"/>
      <c r="EA21" s="67"/>
      <c r="EB21" s="67"/>
      <c r="EC21" s="67"/>
      <c r="ED21" s="5"/>
      <c r="EE21" s="25">
        <v>0</v>
      </c>
      <c r="EF21" s="25">
        <v>0</v>
      </c>
      <c r="EG21" s="25">
        <v>0</v>
      </c>
      <c r="EH21" s="25">
        <f>SUM(AX21:BA21)</f>
        <v>0</v>
      </c>
      <c r="EI21" s="25">
        <f>SUM(BB21:BE21)</f>
        <v>0</v>
      </c>
      <c r="EJ21" s="25">
        <f t="shared" si="24"/>
        <v>478</v>
      </c>
      <c r="EK21" s="25">
        <f>SUM(M21:N21)</f>
        <v>991</v>
      </c>
      <c r="EL21" s="25">
        <f t="shared" si="31"/>
        <v>960</v>
      </c>
      <c r="EM21" s="25">
        <f>SUM(BR21:BU21)</f>
        <v>1198</v>
      </c>
      <c r="EN21" s="25">
        <f t="shared" si="21"/>
        <v>1458</v>
      </c>
      <c r="EO21" s="25">
        <f t="shared" si="44"/>
        <v>1523</v>
      </c>
      <c r="EP21" s="25">
        <f t="shared" si="45"/>
        <v>1481</v>
      </c>
      <c r="EQ21" s="25">
        <f t="shared" si="46"/>
        <v>1689</v>
      </c>
      <c r="ER21" s="25">
        <f t="shared" ref="ER21:EW21" si="48">EQ21*1.01</f>
        <v>1705.89</v>
      </c>
      <c r="ES21" s="25">
        <f t="shared" si="48"/>
        <v>1722.9489000000001</v>
      </c>
      <c r="ET21" s="25">
        <f t="shared" si="48"/>
        <v>1740.1783890000002</v>
      </c>
      <c r="EU21" s="25">
        <f t="shared" si="48"/>
        <v>1757.5801728900001</v>
      </c>
      <c r="EV21" s="25">
        <f t="shared" si="48"/>
        <v>1775.1559746189</v>
      </c>
      <c r="EW21" s="25">
        <f t="shared" si="48"/>
        <v>1792.9075343650891</v>
      </c>
      <c r="EX21" s="25">
        <v>1444</v>
      </c>
      <c r="EY21" s="25">
        <v>1353</v>
      </c>
      <c r="EZ21" s="20">
        <f t="shared" si="27"/>
        <v>1169.5999999999999</v>
      </c>
      <c r="FA21" s="47"/>
      <c r="FB21" s="47"/>
    </row>
    <row r="22" spans="2:158" s="26" customFormat="1" x14ac:dyDescent="0.2">
      <c r="B22" s="15" t="s">
        <v>26</v>
      </c>
      <c r="C22" s="23"/>
      <c r="D22" s="23"/>
      <c r="E22" s="23"/>
      <c r="F22" s="23"/>
      <c r="G22" s="23"/>
      <c r="H22" s="23"/>
      <c r="I22" s="25"/>
      <c r="J22" s="25">
        <f>310-I22</f>
        <v>310</v>
      </c>
      <c r="K22" s="25">
        <v>178</v>
      </c>
      <c r="L22" s="25">
        <f>362-K22</f>
        <v>184</v>
      </c>
      <c r="M22" s="25">
        <v>202</v>
      </c>
      <c r="N22" s="25">
        <f>382-M22</f>
        <v>180</v>
      </c>
      <c r="O22" s="25">
        <v>164</v>
      </c>
      <c r="P22" s="25">
        <f>SUM(BP22:BQ22)</f>
        <v>178</v>
      </c>
      <c r="Q22" s="25">
        <f>SUM(BR22:BS22)</f>
        <v>226</v>
      </c>
      <c r="R22" s="25">
        <f>BT22+BU22</f>
        <v>229</v>
      </c>
      <c r="S22" s="25">
        <v>227</v>
      </c>
      <c r="T22" s="25">
        <f>+BY22+BX22</f>
        <v>233</v>
      </c>
      <c r="U22" s="25">
        <f>SUM(BZ22:CA22)</f>
        <v>231</v>
      </c>
      <c r="V22" s="25">
        <f>CC22+CB22</f>
        <v>222</v>
      </c>
      <c r="W22" s="25"/>
      <c r="X22" s="25"/>
      <c r="Y22" s="25"/>
      <c r="Z22" s="25"/>
      <c r="AA22" s="25">
        <v>359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4"/>
      <c r="AX22" s="67">
        <v>63</v>
      </c>
      <c r="AY22" s="67">
        <v>72</v>
      </c>
      <c r="AZ22" s="67">
        <v>76</v>
      </c>
      <c r="BA22" s="67">
        <v>67</v>
      </c>
      <c r="BB22" s="67">
        <v>67</v>
      </c>
      <c r="BC22" s="67">
        <v>72</v>
      </c>
      <c r="BD22" s="67">
        <v>84</v>
      </c>
      <c r="BE22" s="67">
        <v>87</v>
      </c>
      <c r="BF22" s="67">
        <v>88</v>
      </c>
      <c r="BG22" s="67">
        <v>90</v>
      </c>
      <c r="BH22" s="67">
        <v>89</v>
      </c>
      <c r="BI22" s="67">
        <v>95</v>
      </c>
      <c r="BJ22" s="67">
        <v>96</v>
      </c>
      <c r="BK22" s="67">
        <v>106</v>
      </c>
      <c r="BL22" s="67">
        <v>92</v>
      </c>
      <c r="BM22" s="67">
        <v>88</v>
      </c>
      <c r="BN22" s="67">
        <v>83</v>
      </c>
      <c r="BO22" s="67">
        <v>81</v>
      </c>
      <c r="BP22" s="67">
        <v>81</v>
      </c>
      <c r="BQ22" s="67">
        <v>97</v>
      </c>
      <c r="BR22" s="67">
        <v>126</v>
      </c>
      <c r="BS22" s="67">
        <v>100</v>
      </c>
      <c r="BT22" s="67">
        <v>107</v>
      </c>
      <c r="BU22" s="67">
        <v>122</v>
      </c>
      <c r="BV22" s="67">
        <v>110</v>
      </c>
      <c r="BW22" s="67">
        <f>+S22-BV22</f>
        <v>117</v>
      </c>
      <c r="BX22" s="67">
        <f>346-BW22-BV22</f>
        <v>119</v>
      </c>
      <c r="BY22" s="67">
        <v>114</v>
      </c>
      <c r="BZ22" s="67">
        <v>122</v>
      </c>
      <c r="CA22" s="67">
        <f>231-BZ22</f>
        <v>109</v>
      </c>
      <c r="CB22" s="67">
        <v>100</v>
      </c>
      <c r="CC22" s="67">
        <v>122</v>
      </c>
      <c r="CD22" s="67">
        <v>140</v>
      </c>
      <c r="CE22" s="67">
        <v>145</v>
      </c>
      <c r="CF22" s="67">
        <v>152</v>
      </c>
      <c r="CG22" s="67">
        <v>147</v>
      </c>
      <c r="CH22" s="67">
        <v>190</v>
      </c>
      <c r="CI22" s="67">
        <v>151</v>
      </c>
      <c r="CJ22" s="67">
        <v>173</v>
      </c>
      <c r="CK22" s="67">
        <v>169</v>
      </c>
      <c r="CL22" s="67">
        <v>181</v>
      </c>
      <c r="CM22" s="67">
        <v>178</v>
      </c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>
        <v>304</v>
      </c>
      <c r="DO22" s="67">
        <v>294</v>
      </c>
      <c r="DP22" s="67">
        <v>323</v>
      </c>
      <c r="DQ22" s="67">
        <v>391</v>
      </c>
      <c r="DR22" s="67">
        <v>247</v>
      </c>
      <c r="DS22" s="67">
        <v>312</v>
      </c>
      <c r="DT22" s="67">
        <v>322</v>
      </c>
      <c r="DU22" s="55">
        <f t="shared" si="25"/>
        <v>430.1</v>
      </c>
      <c r="DV22" s="67"/>
      <c r="DW22" s="67"/>
      <c r="DX22" s="67"/>
      <c r="DY22" s="67"/>
      <c r="DZ22" s="67"/>
      <c r="EA22" s="67"/>
      <c r="EB22" s="67"/>
      <c r="EC22" s="67"/>
      <c r="ED22" s="5"/>
      <c r="EE22" s="25">
        <v>371</v>
      </c>
      <c r="EF22" s="25">
        <v>322</v>
      </c>
      <c r="EG22" s="25">
        <v>278</v>
      </c>
      <c r="EH22" s="25">
        <f>SUM(AX22:BA22)</f>
        <v>278</v>
      </c>
      <c r="EI22" s="25">
        <f>SUM(BB22:BE22)</f>
        <v>310</v>
      </c>
      <c r="EJ22" s="25">
        <f>SUM(K22:L22)</f>
        <v>362</v>
      </c>
      <c r="EK22" s="25">
        <f>SUM(M22:N22)</f>
        <v>382</v>
      </c>
      <c r="EL22" s="25">
        <f>SUM(BN22:BQ22)</f>
        <v>342</v>
      </c>
      <c r="EM22" s="25">
        <f>SUM(BR22:BU22)</f>
        <v>455</v>
      </c>
      <c r="EN22" s="25">
        <f>SUM(BV22:BY22)</f>
        <v>460</v>
      </c>
      <c r="EO22" s="25">
        <f>SUM(BZ22:CC22)</f>
        <v>453</v>
      </c>
      <c r="EP22" s="25">
        <f>SUM(CD22:CG22)</f>
        <v>584</v>
      </c>
      <c r="EQ22" s="25">
        <f>SUM(CH22:CK22)</f>
        <v>683</v>
      </c>
      <c r="ER22" s="25">
        <f>EQ22*1.05</f>
        <v>717.15</v>
      </c>
      <c r="ES22" s="25">
        <f t="shared" ref="ES22:EV22" si="49">ER22*1.05</f>
        <v>753.00750000000005</v>
      </c>
      <c r="ET22" s="25">
        <f t="shared" si="49"/>
        <v>790.6578750000001</v>
      </c>
      <c r="EU22" s="25">
        <f t="shared" si="49"/>
        <v>830.19076875000019</v>
      </c>
      <c r="EV22" s="25">
        <f t="shared" si="49"/>
        <v>871.70030718750024</v>
      </c>
      <c r="EW22" s="25"/>
      <c r="EX22" s="25">
        <v>1321</v>
      </c>
      <c r="EY22" s="25">
        <v>1312</v>
      </c>
      <c r="EZ22" s="20">
        <f t="shared" si="27"/>
        <v>1311.1</v>
      </c>
      <c r="FA22" s="47"/>
      <c r="FB22" s="47"/>
    </row>
    <row r="23" spans="2:158" s="26" customFormat="1" x14ac:dyDescent="0.2">
      <c r="B23" s="3" t="s">
        <v>806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4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>
        <v>256</v>
      </c>
      <c r="DO23" s="67">
        <v>270</v>
      </c>
      <c r="DP23" s="67">
        <v>263</v>
      </c>
      <c r="DQ23" s="67">
        <v>250</v>
      </c>
      <c r="DR23" s="67">
        <v>241</v>
      </c>
      <c r="DS23" s="67">
        <v>216</v>
      </c>
      <c r="DT23" s="67">
        <v>133</v>
      </c>
      <c r="DU23" s="55">
        <f t="shared" si="25"/>
        <v>275</v>
      </c>
      <c r="DV23" s="67"/>
      <c r="DW23" s="67"/>
      <c r="DX23" s="67"/>
      <c r="DY23" s="67"/>
      <c r="DZ23" s="67"/>
      <c r="EA23" s="67"/>
      <c r="EB23" s="67"/>
      <c r="EC23" s="67"/>
      <c r="ED23" s="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>
        <v>1108</v>
      </c>
      <c r="EY23" s="25">
        <v>1039</v>
      </c>
      <c r="EZ23" s="20">
        <f t="shared" si="27"/>
        <v>865</v>
      </c>
      <c r="FA23" s="47"/>
      <c r="FB23" s="47"/>
    </row>
    <row r="24" spans="2:158" s="26" customFormat="1" x14ac:dyDescent="0.2">
      <c r="B24" s="3" t="s">
        <v>807</v>
      </c>
      <c r="C24" s="23"/>
      <c r="D24" s="23"/>
      <c r="E24" s="23"/>
      <c r="F24" s="23"/>
      <c r="G24" s="23"/>
      <c r="H24" s="23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4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>
        <v>80</v>
      </c>
      <c r="DO24" s="67">
        <v>163</v>
      </c>
      <c r="DP24" s="67">
        <v>153</v>
      </c>
      <c r="DQ24" s="67">
        <v>206</v>
      </c>
      <c r="DR24" s="67">
        <v>226</v>
      </c>
      <c r="DS24" s="67">
        <v>274</v>
      </c>
      <c r="DT24" s="67">
        <v>293</v>
      </c>
      <c r="DU24" s="55">
        <f t="shared" si="25"/>
        <v>226.60000000000002</v>
      </c>
      <c r="DV24" s="67"/>
      <c r="DW24" s="67"/>
      <c r="DX24" s="67"/>
      <c r="DY24" s="67"/>
      <c r="DZ24" s="67"/>
      <c r="EA24" s="67"/>
      <c r="EB24" s="67"/>
      <c r="EC24" s="67"/>
      <c r="ED24" s="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>
        <v>55</v>
      </c>
      <c r="EY24" s="25">
        <v>602</v>
      </c>
      <c r="EZ24" s="20">
        <f t="shared" si="27"/>
        <v>1019.6</v>
      </c>
      <c r="FA24" s="47"/>
      <c r="FB24" s="47"/>
    </row>
    <row r="25" spans="2:158" s="26" customFormat="1" x14ac:dyDescent="0.2">
      <c r="B25" s="3" t="s">
        <v>768</v>
      </c>
      <c r="C25" s="23"/>
      <c r="D25" s="23"/>
      <c r="E25" s="23"/>
      <c r="F25" s="23"/>
      <c r="G25" s="23"/>
      <c r="H25" s="23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>
        <v>18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4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>
        <v>155</v>
      </c>
      <c r="DO25" s="67">
        <v>169</v>
      </c>
      <c r="DP25" s="67">
        <v>177</v>
      </c>
      <c r="DQ25" s="67">
        <v>177</v>
      </c>
      <c r="DR25" s="67">
        <v>165</v>
      </c>
      <c r="DS25" s="67">
        <v>184</v>
      </c>
      <c r="DT25" s="67">
        <v>190</v>
      </c>
      <c r="DU25" s="55">
        <f t="shared" si="25"/>
        <v>194.70000000000002</v>
      </c>
      <c r="DV25" s="67"/>
      <c r="DW25" s="67"/>
      <c r="DX25" s="67"/>
      <c r="DY25" s="67"/>
      <c r="DZ25" s="67"/>
      <c r="EA25" s="67"/>
      <c r="EB25" s="67"/>
      <c r="EC25" s="67"/>
      <c r="ED25" s="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>
        <v>632</v>
      </c>
      <c r="EY25" s="25">
        <v>678</v>
      </c>
      <c r="EZ25" s="20">
        <f t="shared" si="27"/>
        <v>733.7</v>
      </c>
      <c r="FA25" s="47"/>
      <c r="FB25" s="47"/>
    </row>
    <row r="26" spans="2:158" s="26" customFormat="1" x14ac:dyDescent="0.2">
      <c r="B26" s="3" t="s">
        <v>808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4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>
        <v>29</v>
      </c>
      <c r="DO26" s="67">
        <v>67</v>
      </c>
      <c r="DP26" s="67">
        <v>117</v>
      </c>
      <c r="DQ26" s="67">
        <v>127</v>
      </c>
      <c r="DR26" s="67">
        <v>146</v>
      </c>
      <c r="DS26" s="67">
        <v>179</v>
      </c>
      <c r="DT26" s="67">
        <v>201</v>
      </c>
      <c r="DU26" s="55">
        <f t="shared" si="25"/>
        <v>139.70000000000002</v>
      </c>
      <c r="DV26" s="67"/>
      <c r="DW26" s="67"/>
      <c r="DX26" s="67"/>
      <c r="DY26" s="67"/>
      <c r="DZ26" s="67"/>
      <c r="EA26" s="67"/>
      <c r="EB26" s="67"/>
      <c r="EC26" s="67"/>
      <c r="ED26" s="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>
        <v>23</v>
      </c>
      <c r="EY26" s="25">
        <v>340</v>
      </c>
      <c r="EZ26" s="20">
        <f t="shared" si="27"/>
        <v>665.7</v>
      </c>
      <c r="FA26" s="47"/>
      <c r="FB26" s="47"/>
    </row>
    <row r="27" spans="2:158" s="26" customFormat="1" x14ac:dyDescent="0.2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4"/>
      <c r="AX27" s="67">
        <v>84</v>
      </c>
      <c r="AY27" s="67">
        <v>81.796737766624844</v>
      </c>
      <c r="AZ27" s="67">
        <v>86</v>
      </c>
      <c r="BA27" s="67">
        <v>86</v>
      </c>
      <c r="BB27" s="67">
        <v>89</v>
      </c>
      <c r="BC27" s="67">
        <v>97</v>
      </c>
      <c r="BD27" s="67">
        <v>100</v>
      </c>
      <c r="BE27" s="67">
        <v>107</v>
      </c>
      <c r="BF27" s="67">
        <v>109</v>
      </c>
      <c r="BG27" s="67">
        <v>103</v>
      </c>
      <c r="BH27" s="67">
        <v>108</v>
      </c>
      <c r="BI27" s="67">
        <v>116</v>
      </c>
      <c r="BJ27" s="67">
        <v>111</v>
      </c>
      <c r="BK27" s="67">
        <v>120</v>
      </c>
      <c r="BL27" s="67">
        <v>124</v>
      </c>
      <c r="BM27" s="67">
        <v>128</v>
      </c>
      <c r="BN27" s="67">
        <v>117</v>
      </c>
      <c r="BO27" s="67">
        <v>120</v>
      </c>
      <c r="BP27" s="67">
        <v>120</v>
      </c>
      <c r="BQ27" s="67">
        <v>139</v>
      </c>
      <c r="BR27" s="67">
        <v>120</v>
      </c>
      <c r="BS27" s="67">
        <v>128</v>
      </c>
      <c r="BT27" s="67">
        <v>125</v>
      </c>
      <c r="BU27" s="67">
        <v>128</v>
      </c>
      <c r="BV27" s="67">
        <v>135</v>
      </c>
      <c r="BW27" s="67">
        <f>+S27-BV27</f>
        <v>129</v>
      </c>
      <c r="BX27" s="67">
        <f>385-BW27-BV27</f>
        <v>121</v>
      </c>
      <c r="BY27" s="67">
        <v>128</v>
      </c>
      <c r="BZ27" s="67">
        <v>131</v>
      </c>
      <c r="CA27" s="67">
        <f>247-BZ27</f>
        <v>116</v>
      </c>
      <c r="CB27" s="67">
        <v>111</v>
      </c>
      <c r="CC27" s="67">
        <v>134</v>
      </c>
      <c r="CD27" s="67">
        <v>128</v>
      </c>
      <c r="CE27" s="67">
        <v>129</v>
      </c>
      <c r="CF27" s="67">
        <v>139</v>
      </c>
      <c r="CG27" s="67">
        <v>141</v>
      </c>
      <c r="CH27" s="67">
        <v>140</v>
      </c>
      <c r="CI27" s="67">
        <v>138</v>
      </c>
      <c r="CJ27" s="67">
        <v>134</v>
      </c>
      <c r="CK27" s="67">
        <v>160</v>
      </c>
      <c r="CL27" s="67">
        <v>138</v>
      </c>
      <c r="CM27" s="67">
        <v>140</v>
      </c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>
        <v>139</v>
      </c>
      <c r="DO27" s="67">
        <v>137</v>
      </c>
      <c r="DP27" s="67">
        <v>138</v>
      </c>
      <c r="DQ27" s="67">
        <v>152</v>
      </c>
      <c r="DR27" s="67">
        <v>136</v>
      </c>
      <c r="DS27" s="67">
        <v>143</v>
      </c>
      <c r="DT27" s="67">
        <v>135</v>
      </c>
      <c r="DU27" s="55">
        <f t="shared" si="25"/>
        <v>167.20000000000002</v>
      </c>
      <c r="DV27" s="67"/>
      <c r="DW27" s="67"/>
      <c r="DX27" s="67"/>
      <c r="DY27" s="67"/>
      <c r="DZ27" s="67"/>
      <c r="EA27" s="67"/>
      <c r="EB27" s="67"/>
      <c r="EC27" s="67"/>
      <c r="ED27" s="5"/>
      <c r="EE27" s="25">
        <v>319</v>
      </c>
      <c r="EF27" s="25">
        <v>320</v>
      </c>
      <c r="EG27" s="25">
        <v>328</v>
      </c>
      <c r="EH27" s="25">
        <f>SUM(AX27:BA27)</f>
        <v>337.79673776662486</v>
      </c>
      <c r="EI27" s="25">
        <f>SUM(BB27:BE27)</f>
        <v>393</v>
      </c>
      <c r="EJ27" s="25">
        <f>SUM(K27:L27)</f>
        <v>436</v>
      </c>
      <c r="EK27" s="25">
        <f>SUM(M27:N27)</f>
        <v>483</v>
      </c>
      <c r="EL27" s="25">
        <f>SUM(BN27:BQ27)</f>
        <v>496</v>
      </c>
      <c r="EM27" s="25">
        <f>SUM(BR27:BU27)</f>
        <v>501</v>
      </c>
      <c r="EN27" s="25">
        <f>SUM(BV27:BY27)</f>
        <v>513</v>
      </c>
      <c r="EO27" s="25">
        <f>SUM(BZ27:CC27)</f>
        <v>492</v>
      </c>
      <c r="EP27" s="25">
        <f>SUM(CD27:CG27)</f>
        <v>537</v>
      </c>
      <c r="EQ27" s="25">
        <f>SUM(CH27:CK27)</f>
        <v>572</v>
      </c>
      <c r="ER27" s="25">
        <f>EQ27*1.05</f>
        <v>600.6</v>
      </c>
      <c r="ES27" s="25">
        <f t="shared" ref="ES27:EV27" si="50">ER27*1.05</f>
        <v>630.63</v>
      </c>
      <c r="ET27" s="25">
        <f t="shared" si="50"/>
        <v>662.16150000000005</v>
      </c>
      <c r="EU27" s="25">
        <f t="shared" si="50"/>
        <v>695.26957500000003</v>
      </c>
      <c r="EV27" s="25">
        <f t="shared" si="50"/>
        <v>730.03305375000002</v>
      </c>
      <c r="EW27" s="25">
        <f>+EV27*0.9</f>
        <v>657.02974837500005</v>
      </c>
      <c r="EX27" s="25">
        <v>642</v>
      </c>
      <c r="EY27" s="25">
        <v>566</v>
      </c>
      <c r="EZ27" s="20">
        <f t="shared" si="27"/>
        <v>581.20000000000005</v>
      </c>
      <c r="FA27" s="47"/>
      <c r="FB27" s="47"/>
    </row>
    <row r="28" spans="2:158" s="26" customFormat="1" x14ac:dyDescent="0.2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4"/>
      <c r="AX28" s="67">
        <v>369</v>
      </c>
      <c r="AY28" s="67">
        <v>350</v>
      </c>
      <c r="AZ28" s="67">
        <v>337</v>
      </c>
      <c r="BA28" s="67">
        <v>347</v>
      </c>
      <c r="BB28" s="67">
        <v>370</v>
      </c>
      <c r="BC28" s="67">
        <v>430</v>
      </c>
      <c r="BD28" s="67">
        <v>441</v>
      </c>
      <c r="BE28" s="67">
        <v>464</v>
      </c>
      <c r="BF28" s="67">
        <v>454</v>
      </c>
      <c r="BG28" s="67">
        <v>437</v>
      </c>
      <c r="BH28" s="67">
        <v>466</v>
      </c>
      <c r="BI28" s="67">
        <v>485</v>
      </c>
      <c r="BJ28" s="67">
        <v>476</v>
      </c>
      <c r="BK28" s="67">
        <v>503</v>
      </c>
      <c r="BL28" s="67">
        <v>485</v>
      </c>
      <c r="BM28" s="67">
        <v>548</v>
      </c>
      <c r="BN28" s="67">
        <v>487</v>
      </c>
      <c r="BO28" s="67">
        <v>523</v>
      </c>
      <c r="BP28" s="67">
        <v>513</v>
      </c>
      <c r="BQ28" s="67">
        <v>576</v>
      </c>
      <c r="BR28" s="67">
        <v>517</v>
      </c>
      <c r="BS28" s="67">
        <v>410</v>
      </c>
      <c r="BT28" s="67">
        <f>1289-BS28-BR28</f>
        <v>362</v>
      </c>
      <c r="BU28" s="67">
        <v>287</v>
      </c>
      <c r="BV28" s="67">
        <v>357</v>
      </c>
      <c r="BW28" s="67">
        <f>+S28-BV28</f>
        <v>345</v>
      </c>
      <c r="BX28" s="67">
        <f>1001-BW28-BV28</f>
        <v>299</v>
      </c>
      <c r="BY28" s="67">
        <v>289</v>
      </c>
      <c r="BZ28" s="67">
        <v>280</v>
      </c>
      <c r="CA28" s="67">
        <f>538-BZ28</f>
        <v>258</v>
      </c>
      <c r="CB28" s="67">
        <v>232</v>
      </c>
      <c r="CC28" s="67">
        <v>221</v>
      </c>
      <c r="CD28" s="67">
        <v>220</v>
      </c>
      <c r="CE28" s="67">
        <v>234</v>
      </c>
      <c r="CF28" s="67">
        <v>230</v>
      </c>
      <c r="CG28" s="67">
        <v>225</v>
      </c>
      <c r="CH28" s="67">
        <v>229</v>
      </c>
      <c r="CI28" s="67">
        <v>236</v>
      </c>
      <c r="CJ28" s="67">
        <v>216</v>
      </c>
      <c r="CK28" s="67">
        <v>193</v>
      </c>
      <c r="CL28" s="67">
        <v>215</v>
      </c>
      <c r="CM28" s="67">
        <v>198</v>
      </c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>
        <v>154</v>
      </c>
      <c r="DO28" s="67">
        <v>144</v>
      </c>
      <c r="DP28" s="67">
        <v>155</v>
      </c>
      <c r="DQ28" s="67">
        <v>139</v>
      </c>
      <c r="DR28" s="67">
        <v>134</v>
      </c>
      <c r="DS28" s="67">
        <v>136</v>
      </c>
      <c r="DT28" s="67">
        <v>116</v>
      </c>
      <c r="DU28" s="55">
        <f t="shared" si="25"/>
        <v>152.9</v>
      </c>
      <c r="DV28" s="67"/>
      <c r="DW28" s="67"/>
      <c r="DX28" s="67"/>
      <c r="DY28" s="67"/>
      <c r="DZ28" s="67"/>
      <c r="EA28" s="67"/>
      <c r="EB28" s="67"/>
      <c r="EC28" s="67"/>
      <c r="ED28" s="5"/>
      <c r="EE28" s="25">
        <v>1056</v>
      </c>
      <c r="EF28" s="25">
        <v>1173</v>
      </c>
      <c r="EG28" s="25">
        <v>1335</v>
      </c>
      <c r="EH28" s="25">
        <f>SUM(AX28:BA28)</f>
        <v>1403</v>
      </c>
      <c r="EI28" s="25">
        <f>SUM(BB28:BE28)</f>
        <v>1705</v>
      </c>
      <c r="EJ28" s="25">
        <f>SUM(K28:L28)</f>
        <v>1842</v>
      </c>
      <c r="EK28" s="25">
        <f>SUM(M28:N28)</f>
        <v>2012</v>
      </c>
      <c r="EL28" s="25">
        <f>SUM(BN28:BQ28)</f>
        <v>2099</v>
      </c>
      <c r="EM28" s="25">
        <f>SUM(BR28:BU28)</f>
        <v>1576</v>
      </c>
      <c r="EN28" s="25">
        <f>SUM(BV28:BY28)</f>
        <v>1290</v>
      </c>
      <c r="EO28" s="25">
        <f>SUM(BZ28:CC28)</f>
        <v>991</v>
      </c>
      <c r="EP28" s="25">
        <f>SUM(CD28:CG28)</f>
        <v>909</v>
      </c>
      <c r="EQ28" s="25">
        <f>SUM(CH28:CK28)</f>
        <v>874</v>
      </c>
      <c r="ER28" s="25">
        <f t="shared" ref="ER28" si="51">EQ28*0.6</f>
        <v>524.4</v>
      </c>
      <c r="ES28" s="25">
        <f t="shared" ref="ES28" si="52">ER28*0.6</f>
        <v>314.64</v>
      </c>
      <c r="ET28" s="25">
        <f t="shared" ref="ET28" si="53">ES28*0.6</f>
        <v>188.78399999999999</v>
      </c>
      <c r="EU28" s="25">
        <f t="shared" ref="EU28" si="54">ET28*0.6</f>
        <v>113.2704</v>
      </c>
      <c r="EV28" s="25">
        <f t="shared" ref="EV28" si="55">EU28*0.6</f>
        <v>67.962239999999994</v>
      </c>
      <c r="EW28" s="25">
        <f t="shared" ref="EW28" si="56">EV28*0.6</f>
        <v>40.777343999999992</v>
      </c>
      <c r="EX28" s="25">
        <v>606</v>
      </c>
      <c r="EY28" s="25">
        <v>592</v>
      </c>
      <c r="EZ28" s="20">
        <f t="shared" si="27"/>
        <v>538.9</v>
      </c>
      <c r="FA28" s="47"/>
      <c r="FB28" s="47"/>
    </row>
    <row r="29" spans="2:158" s="26" customFormat="1" x14ac:dyDescent="0.2">
      <c r="B29" s="3" t="s">
        <v>809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4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>
        <v>81</v>
      </c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>
        <v>169</v>
      </c>
      <c r="EY29" s="25">
        <v>247</v>
      </c>
      <c r="EZ29" s="20">
        <f t="shared" si="27"/>
        <v>81</v>
      </c>
      <c r="FA29" s="47"/>
      <c r="FB29" s="47"/>
    </row>
    <row r="30" spans="2:158" s="26" customFormat="1" x14ac:dyDescent="0.2">
      <c r="B30" s="3" t="s">
        <v>767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>
        <v>57</v>
      </c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4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>
        <v>63</v>
      </c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>
        <v>278</v>
      </c>
      <c r="EY30" s="25">
        <v>269</v>
      </c>
      <c r="EZ30" s="20">
        <f t="shared" si="27"/>
        <v>63</v>
      </c>
      <c r="FA30" s="47"/>
      <c r="FB30" s="47"/>
    </row>
    <row r="31" spans="2:158" s="26" customFormat="1" x14ac:dyDescent="0.2">
      <c r="B31" s="3" t="s">
        <v>810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4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>
        <v>41</v>
      </c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47"/>
      <c r="EZ31" s="16"/>
      <c r="FA31" s="47"/>
      <c r="FB31" s="47"/>
    </row>
    <row r="32" spans="2:158" s="26" customFormat="1" x14ac:dyDescent="0.2">
      <c r="B32" s="3" t="s">
        <v>811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4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>
        <v>21</v>
      </c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47"/>
      <c r="EZ32" s="16"/>
      <c r="FA32" s="47"/>
      <c r="FB32" s="47"/>
    </row>
    <row r="33" spans="2:158" s="26" customFormat="1" x14ac:dyDescent="0.2">
      <c r="B33" s="3" t="s">
        <v>812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4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>
        <v>16</v>
      </c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47"/>
      <c r="EZ33" s="16"/>
      <c r="FA33" s="47"/>
      <c r="FB33" s="47"/>
    </row>
    <row r="34" spans="2:158" s="26" customFormat="1" x14ac:dyDescent="0.2">
      <c r="B34" s="3" t="s">
        <v>813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4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>
        <v>12</v>
      </c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47"/>
      <c r="EZ34" s="16"/>
      <c r="FA34" s="47"/>
      <c r="FB34" s="47"/>
    </row>
    <row r="35" spans="2:158" s="26" customFormat="1" x14ac:dyDescent="0.2">
      <c r="B35" s="3" t="s">
        <v>814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4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>
        <v>5</v>
      </c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47"/>
      <c r="EZ35" s="16"/>
      <c r="FA35" s="47"/>
      <c r="FB35" s="47"/>
    </row>
    <row r="36" spans="2:158" s="26" customFormat="1" x14ac:dyDescent="0.2">
      <c r="B36" s="3" t="s">
        <v>815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4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>
        <v>2</v>
      </c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47"/>
      <c r="EZ36" s="16"/>
      <c r="FA36" s="47"/>
      <c r="FB36" s="47"/>
    </row>
    <row r="37" spans="2:158" s="26" customFormat="1" x14ac:dyDescent="0.2">
      <c r="B37" s="3" t="s">
        <v>816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4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>
        <v>1</v>
      </c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47"/>
      <c r="EZ37" s="16"/>
      <c r="FA37" s="47"/>
      <c r="FB37" s="47"/>
    </row>
    <row r="38" spans="2:158" s="26" customFormat="1" x14ac:dyDescent="0.2">
      <c r="B38" s="3" t="s">
        <v>139</v>
      </c>
      <c r="C38" s="23"/>
      <c r="D38" s="23"/>
      <c r="E38" s="23"/>
      <c r="F38" s="23"/>
      <c r="G38" s="23"/>
      <c r="H38" s="23"/>
      <c r="I38" s="25">
        <v>1086</v>
      </c>
      <c r="J38" s="25">
        <f>2252-I38</f>
        <v>1166</v>
      </c>
      <c r="K38" s="25">
        <v>1100</v>
      </c>
      <c r="L38" s="25">
        <f>2227-K38</f>
        <v>1127</v>
      </c>
      <c r="M38" s="25">
        <v>1066</v>
      </c>
      <c r="N38" s="25">
        <f>2094-M38</f>
        <v>1028</v>
      </c>
      <c r="O38" s="25">
        <v>892</v>
      </c>
      <c r="P38" s="25">
        <f t="shared" si="33"/>
        <v>882</v>
      </c>
      <c r="Q38" s="25">
        <f t="shared" si="34"/>
        <v>789</v>
      </c>
      <c r="R38" s="25">
        <f t="shared" si="35"/>
        <v>771</v>
      </c>
      <c r="S38" s="25">
        <v>677</v>
      </c>
      <c r="T38" s="25">
        <f t="shared" si="36"/>
        <v>608</v>
      </c>
      <c r="U38" s="25">
        <f t="shared" si="37"/>
        <v>493</v>
      </c>
      <c r="V38" s="25">
        <f t="shared" si="38"/>
        <v>403</v>
      </c>
      <c r="W38" s="25"/>
      <c r="X38" s="25"/>
      <c r="Y38" s="25"/>
      <c r="Z38" s="25"/>
      <c r="AA38" s="25">
        <v>231</v>
      </c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4"/>
      <c r="AX38" s="67">
        <v>489</v>
      </c>
      <c r="AY38" s="67">
        <v>531</v>
      </c>
      <c r="AZ38" s="67">
        <v>528</v>
      </c>
      <c r="BA38" s="67">
        <v>534</v>
      </c>
      <c r="BB38" s="67">
        <v>516</v>
      </c>
      <c r="BC38" s="67">
        <v>570</v>
      </c>
      <c r="BD38" s="67">
        <v>564</v>
      </c>
      <c r="BE38" s="67">
        <v>602</v>
      </c>
      <c r="BF38" s="67">
        <v>535</v>
      </c>
      <c r="BG38" s="67">
        <v>565</v>
      </c>
      <c r="BH38" s="67">
        <v>535</v>
      </c>
      <c r="BI38" s="67">
        <v>592</v>
      </c>
      <c r="BJ38" s="67">
        <v>522</v>
      </c>
      <c r="BK38" s="67">
        <v>544</v>
      </c>
      <c r="BL38" s="67">
        <v>518</v>
      </c>
      <c r="BM38" s="67">
        <v>510</v>
      </c>
      <c r="BN38" s="67">
        <v>442</v>
      </c>
      <c r="BO38" s="67">
        <v>450</v>
      </c>
      <c r="BP38" s="67">
        <v>427</v>
      </c>
      <c r="BQ38" s="67">
        <v>455</v>
      </c>
      <c r="BR38" s="67">
        <v>378</v>
      </c>
      <c r="BS38" s="67">
        <v>411</v>
      </c>
      <c r="BT38" s="67">
        <f>1180-BS38-BR38</f>
        <v>391</v>
      </c>
      <c r="BU38" s="67">
        <v>380</v>
      </c>
      <c r="BV38" s="67">
        <v>339</v>
      </c>
      <c r="BW38" s="67">
        <f t="shared" si="39"/>
        <v>338</v>
      </c>
      <c r="BX38" s="67">
        <f>989-BW38-BV38</f>
        <v>312</v>
      </c>
      <c r="BY38" s="67">
        <v>296</v>
      </c>
      <c r="BZ38" s="67">
        <v>246</v>
      </c>
      <c r="CA38" s="67">
        <f>493-BZ38</f>
        <v>247</v>
      </c>
      <c r="CB38" s="67">
        <v>197</v>
      </c>
      <c r="CC38" s="67">
        <v>206</v>
      </c>
      <c r="CD38" s="67">
        <v>171</v>
      </c>
      <c r="CE38" s="67">
        <v>180</v>
      </c>
      <c r="CF38" s="67">
        <v>170</v>
      </c>
      <c r="CG38" s="67">
        <v>153</v>
      </c>
      <c r="CH38" s="67">
        <v>131</v>
      </c>
      <c r="CI38" s="67">
        <v>138</v>
      </c>
      <c r="CJ38" s="67">
        <v>131</v>
      </c>
      <c r="CK38" s="67">
        <v>120</v>
      </c>
      <c r="CL38" s="67">
        <v>112</v>
      </c>
      <c r="CM38" s="67">
        <v>119</v>
      </c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5"/>
      <c r="EE38" s="25">
        <v>746</v>
      </c>
      <c r="EF38" s="25">
        <v>1192</v>
      </c>
      <c r="EG38" s="25">
        <v>2051</v>
      </c>
      <c r="EH38" s="25">
        <f t="shared" si="41"/>
        <v>2082</v>
      </c>
      <c r="EI38" s="25">
        <f t="shared" si="42"/>
        <v>2252</v>
      </c>
      <c r="EJ38" s="25">
        <f t="shared" si="24"/>
        <v>2227</v>
      </c>
      <c r="EK38" s="25">
        <f t="shared" si="23"/>
        <v>2094</v>
      </c>
      <c r="EL38" s="25">
        <f t="shared" si="31"/>
        <v>1774</v>
      </c>
      <c r="EM38" s="25">
        <f t="shared" si="43"/>
        <v>1560</v>
      </c>
      <c r="EN38" s="25">
        <f t="shared" si="21"/>
        <v>1285</v>
      </c>
      <c r="EO38" s="25">
        <f t="shared" si="44"/>
        <v>896</v>
      </c>
      <c r="EP38" s="25">
        <f t="shared" si="45"/>
        <v>674</v>
      </c>
      <c r="EQ38" s="25">
        <f t="shared" si="46"/>
        <v>520</v>
      </c>
      <c r="ER38" s="25">
        <f t="shared" ref="ER38:EW38" si="57">EQ38*0.99</f>
        <v>514.79999999999995</v>
      </c>
      <c r="ES38" s="25">
        <f t="shared" si="57"/>
        <v>509.65199999999993</v>
      </c>
      <c r="ET38" s="25">
        <f t="shared" si="57"/>
        <v>504.55547999999993</v>
      </c>
      <c r="EU38" s="25">
        <f t="shared" si="57"/>
        <v>499.50992519999994</v>
      </c>
      <c r="EV38" s="25">
        <f t="shared" si="57"/>
        <v>494.51482594799995</v>
      </c>
      <c r="EW38" s="25">
        <f t="shared" si="57"/>
        <v>489.56967768851996</v>
      </c>
      <c r="EX38" s="25"/>
      <c r="EY38" s="47"/>
      <c r="EZ38" s="16"/>
      <c r="FA38" s="47"/>
      <c r="FB38" s="47"/>
    </row>
    <row r="39" spans="2:158" s="26" customFormat="1" x14ac:dyDescent="0.2">
      <c r="B39" s="15" t="s">
        <v>34</v>
      </c>
      <c r="C39" s="23"/>
      <c r="D39" s="23"/>
      <c r="E39" s="23"/>
      <c r="F39" s="23"/>
      <c r="G39" s="23"/>
      <c r="H39" s="23"/>
      <c r="I39" s="25">
        <v>680</v>
      </c>
      <c r="J39" s="25">
        <f>1403-I39</f>
        <v>723</v>
      </c>
      <c r="K39" s="25">
        <v>724</v>
      </c>
      <c r="L39" s="25">
        <f>1467-K39</f>
        <v>743</v>
      </c>
      <c r="M39" s="25">
        <v>807</v>
      </c>
      <c r="N39" s="25">
        <f>1637-M39</f>
        <v>830</v>
      </c>
      <c r="O39" s="25">
        <v>785</v>
      </c>
      <c r="P39" s="25">
        <f>SUM(BP39:BQ39)</f>
        <v>850</v>
      </c>
      <c r="Q39" s="25">
        <f t="shared" si="34"/>
        <v>842</v>
      </c>
      <c r="R39" s="25">
        <f t="shared" si="35"/>
        <v>813</v>
      </c>
      <c r="S39" s="25">
        <v>869</v>
      </c>
      <c r="T39" s="25">
        <f t="shared" si="36"/>
        <v>776</v>
      </c>
      <c r="U39" s="25">
        <f t="shared" si="37"/>
        <v>695</v>
      </c>
      <c r="V39" s="25">
        <f t="shared" si="38"/>
        <v>743</v>
      </c>
      <c r="W39" s="25"/>
      <c r="X39" s="25"/>
      <c r="Y39" s="25"/>
      <c r="Z39" s="25"/>
      <c r="AA39" s="25">
        <v>582</v>
      </c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4"/>
      <c r="AX39" s="67">
        <v>289</v>
      </c>
      <c r="AY39" s="67">
        <v>295</v>
      </c>
      <c r="AZ39" s="67">
        <v>296</v>
      </c>
      <c r="BA39" s="67">
        <v>299</v>
      </c>
      <c r="BB39" s="67">
        <v>325</v>
      </c>
      <c r="BC39" s="67">
        <v>355</v>
      </c>
      <c r="BD39" s="67">
        <v>350</v>
      </c>
      <c r="BE39" s="67">
        <v>373</v>
      </c>
      <c r="BF39" s="67">
        <v>350</v>
      </c>
      <c r="BG39" s="67">
        <v>374</v>
      </c>
      <c r="BH39" s="67">
        <v>350</v>
      </c>
      <c r="BI39" s="67">
        <v>393</v>
      </c>
      <c r="BJ39" s="67">
        <v>400</v>
      </c>
      <c r="BK39" s="67">
        <v>407</v>
      </c>
      <c r="BL39" s="67">
        <v>383</v>
      </c>
      <c r="BM39" s="67">
        <v>447</v>
      </c>
      <c r="BN39" s="67">
        <v>369</v>
      </c>
      <c r="BO39" s="67">
        <v>416</v>
      </c>
      <c r="BP39" s="67">
        <v>405</v>
      </c>
      <c r="BQ39" s="67">
        <v>445</v>
      </c>
      <c r="BR39" s="67">
        <v>393</v>
      </c>
      <c r="BS39" s="67">
        <v>449</v>
      </c>
      <c r="BT39" s="67">
        <f>1280-BS39-BR39</f>
        <v>438</v>
      </c>
      <c r="BU39" s="67">
        <v>375</v>
      </c>
      <c r="BV39" s="67">
        <v>441</v>
      </c>
      <c r="BW39" s="67">
        <f t="shared" si="39"/>
        <v>428</v>
      </c>
      <c r="BX39" s="67">
        <f>1253-BW39-BV39</f>
        <v>384</v>
      </c>
      <c r="BY39" s="67">
        <v>392</v>
      </c>
      <c r="BZ39" s="67">
        <v>346</v>
      </c>
      <c r="CA39" s="67">
        <f>695-BZ39</f>
        <v>349</v>
      </c>
      <c r="CB39" s="67">
        <v>356</v>
      </c>
      <c r="CC39" s="67">
        <v>387</v>
      </c>
      <c r="CD39" s="67">
        <v>444</v>
      </c>
      <c r="CE39" s="67">
        <v>459</v>
      </c>
      <c r="CF39" s="67">
        <v>374</v>
      </c>
      <c r="CG39" s="67">
        <v>372</v>
      </c>
      <c r="CH39" s="67">
        <v>375</v>
      </c>
      <c r="CI39" s="67">
        <v>349</v>
      </c>
      <c r="CJ39" s="67">
        <v>303</v>
      </c>
      <c r="CK39" s="67">
        <v>285</v>
      </c>
      <c r="CL39" s="67">
        <v>287</v>
      </c>
      <c r="CM39" s="67">
        <v>295</v>
      </c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5"/>
      <c r="EE39" s="25">
        <v>0</v>
      </c>
      <c r="EF39" s="25">
        <v>94</v>
      </c>
      <c r="EG39" s="25">
        <v>719</v>
      </c>
      <c r="EH39" s="25">
        <f t="shared" si="41"/>
        <v>1179</v>
      </c>
      <c r="EI39" s="25">
        <f t="shared" si="42"/>
        <v>1403</v>
      </c>
      <c r="EJ39" s="25">
        <f t="shared" si="24"/>
        <v>1467</v>
      </c>
      <c r="EK39" s="25">
        <f>SUM(M39:N39)</f>
        <v>1637</v>
      </c>
      <c r="EL39" s="25">
        <f t="shared" si="31"/>
        <v>1635</v>
      </c>
      <c r="EM39" s="25">
        <f t="shared" si="43"/>
        <v>1655</v>
      </c>
      <c r="EN39" s="25">
        <f t="shared" si="21"/>
        <v>1645</v>
      </c>
      <c r="EO39" s="25">
        <f t="shared" si="44"/>
        <v>1438</v>
      </c>
      <c r="EP39" s="25">
        <f t="shared" si="45"/>
        <v>1649</v>
      </c>
      <c r="EQ39" s="25">
        <f t="shared" si="46"/>
        <v>1312</v>
      </c>
      <c r="ER39" s="25">
        <f>EQ39*0.8</f>
        <v>1049.6000000000001</v>
      </c>
      <c r="ES39" s="25">
        <f>ER39*0.8</f>
        <v>839.68000000000018</v>
      </c>
      <c r="ET39" s="25">
        <f t="shared" ref="ET39:EW39" si="58">ES39*0.8</f>
        <v>671.74400000000014</v>
      </c>
      <c r="EU39" s="25">
        <f t="shared" si="58"/>
        <v>537.39520000000016</v>
      </c>
      <c r="EV39" s="25">
        <f t="shared" si="58"/>
        <v>429.91616000000016</v>
      </c>
      <c r="EW39" s="25">
        <f t="shared" si="58"/>
        <v>343.93292800000017</v>
      </c>
      <c r="EX39" s="25"/>
      <c r="EY39" s="47"/>
      <c r="EZ39" s="16"/>
      <c r="FA39" s="47"/>
      <c r="FB39" s="47"/>
    </row>
    <row r="40" spans="2:158" s="26" customFormat="1" x14ac:dyDescent="0.2">
      <c r="B40" s="15" t="s">
        <v>31</v>
      </c>
      <c r="C40" s="23"/>
      <c r="D40" s="23"/>
      <c r="E40" s="23"/>
      <c r="F40" s="23"/>
      <c r="G40" s="23"/>
      <c r="H40" s="23"/>
      <c r="I40" s="25">
        <v>355</v>
      </c>
      <c r="J40" s="25">
        <f>796-I40</f>
        <v>441</v>
      </c>
      <c r="K40" s="25">
        <v>472</v>
      </c>
      <c r="L40" s="25">
        <f>971-K40</f>
        <v>499</v>
      </c>
      <c r="M40" s="25">
        <v>549</v>
      </c>
      <c r="N40" s="25">
        <f>1151-M40</f>
        <v>602</v>
      </c>
      <c r="O40" s="25">
        <v>573</v>
      </c>
      <c r="P40" s="25">
        <f t="shared" si="33"/>
        <v>638</v>
      </c>
      <c r="Q40" s="25">
        <f t="shared" si="34"/>
        <v>626</v>
      </c>
      <c r="R40" s="25">
        <f t="shared" si="35"/>
        <v>634</v>
      </c>
      <c r="S40" s="25">
        <v>732</v>
      </c>
      <c r="T40" s="25">
        <f t="shared" si="36"/>
        <v>694</v>
      </c>
      <c r="U40" s="25">
        <f t="shared" si="37"/>
        <v>668</v>
      </c>
      <c r="V40" s="25">
        <f t="shared" si="38"/>
        <v>686</v>
      </c>
      <c r="W40" s="25"/>
      <c r="X40" s="25"/>
      <c r="Y40" s="25"/>
      <c r="Z40" s="25"/>
      <c r="AA40" s="25">
        <v>474</v>
      </c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4"/>
      <c r="AX40" s="67">
        <v>115</v>
      </c>
      <c r="AY40" s="67">
        <v>128</v>
      </c>
      <c r="AZ40" s="67">
        <v>145</v>
      </c>
      <c r="BA40" s="67">
        <v>146</v>
      </c>
      <c r="BB40" s="67">
        <v>165</v>
      </c>
      <c r="BC40" s="67">
        <v>190</v>
      </c>
      <c r="BD40" s="67">
        <v>213</v>
      </c>
      <c r="BE40" s="67">
        <v>228</v>
      </c>
      <c r="BF40" s="67">
        <v>238</v>
      </c>
      <c r="BG40" s="67">
        <v>234</v>
      </c>
      <c r="BH40" s="67">
        <v>239</v>
      </c>
      <c r="BI40" s="67">
        <v>260</v>
      </c>
      <c r="BJ40" s="67">
        <v>267</v>
      </c>
      <c r="BK40" s="67">
        <v>282</v>
      </c>
      <c r="BL40" s="67">
        <v>290</v>
      </c>
      <c r="BM40" s="67">
        <v>312</v>
      </c>
      <c r="BN40" s="67">
        <v>281</v>
      </c>
      <c r="BO40" s="67">
        <v>292</v>
      </c>
      <c r="BP40" s="67">
        <v>307</v>
      </c>
      <c r="BQ40" s="67">
        <v>331</v>
      </c>
      <c r="BR40" s="67">
        <v>296</v>
      </c>
      <c r="BS40" s="67">
        <v>330</v>
      </c>
      <c r="BT40" s="67">
        <f>952-BS40-BR40</f>
        <v>326</v>
      </c>
      <c r="BU40" s="67">
        <v>308</v>
      </c>
      <c r="BV40" s="67">
        <v>352</v>
      </c>
      <c r="BW40" s="67">
        <f t="shared" si="39"/>
        <v>380</v>
      </c>
      <c r="BX40" s="67">
        <f>1093-BW40-BV40</f>
        <v>361</v>
      </c>
      <c r="BY40" s="67">
        <v>333</v>
      </c>
      <c r="BZ40" s="67">
        <v>342</v>
      </c>
      <c r="CA40" s="67">
        <f>668-BZ40</f>
        <v>326</v>
      </c>
      <c r="CB40" s="67">
        <v>333</v>
      </c>
      <c r="CC40" s="67">
        <v>353</v>
      </c>
      <c r="CD40" s="67">
        <v>382</v>
      </c>
      <c r="CE40" s="67">
        <v>381</v>
      </c>
      <c r="CF40" s="67">
        <v>386</v>
      </c>
      <c r="CG40" s="67">
        <v>374</v>
      </c>
      <c r="CH40" s="67">
        <v>383</v>
      </c>
      <c r="CI40" s="67">
        <v>388</v>
      </c>
      <c r="CJ40" s="67">
        <v>393</v>
      </c>
      <c r="CK40" s="67">
        <v>345</v>
      </c>
      <c r="CL40" s="67">
        <v>293</v>
      </c>
      <c r="CM40" s="67">
        <v>181</v>
      </c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5"/>
      <c r="EE40" s="25">
        <v>260</v>
      </c>
      <c r="EF40" s="25">
        <v>444</v>
      </c>
      <c r="EG40" s="25">
        <v>515</v>
      </c>
      <c r="EH40" s="25">
        <f t="shared" si="41"/>
        <v>534</v>
      </c>
      <c r="EI40" s="25">
        <f t="shared" si="42"/>
        <v>796</v>
      </c>
      <c r="EJ40" s="25">
        <f t="shared" si="24"/>
        <v>971</v>
      </c>
      <c r="EK40" s="25">
        <f t="shared" si="23"/>
        <v>1151</v>
      </c>
      <c r="EL40" s="25">
        <f t="shared" si="31"/>
        <v>1211</v>
      </c>
      <c r="EM40" s="25">
        <f t="shared" si="43"/>
        <v>1260</v>
      </c>
      <c r="EN40" s="25">
        <f t="shared" si="21"/>
        <v>1426</v>
      </c>
      <c r="EO40" s="25">
        <f t="shared" si="44"/>
        <v>1354</v>
      </c>
      <c r="EP40" s="25">
        <f t="shared" si="45"/>
        <v>1523</v>
      </c>
      <c r="EQ40" s="25">
        <f t="shared" si="46"/>
        <v>1509</v>
      </c>
      <c r="ER40" s="25">
        <f>EQ40*0.5</f>
        <v>754.5</v>
      </c>
      <c r="ES40" s="25">
        <f t="shared" ref="ES40:EW40" si="59">ER40*0.5</f>
        <v>377.25</v>
      </c>
      <c r="ET40" s="25">
        <f t="shared" si="59"/>
        <v>188.625</v>
      </c>
      <c r="EU40" s="25">
        <f t="shared" si="59"/>
        <v>94.3125</v>
      </c>
      <c r="EV40" s="25">
        <f t="shared" si="59"/>
        <v>47.15625</v>
      </c>
      <c r="EW40" s="25">
        <f t="shared" si="59"/>
        <v>23.578125</v>
      </c>
      <c r="EX40" s="25">
        <v>301</v>
      </c>
      <c r="EY40" s="25">
        <v>194</v>
      </c>
      <c r="EZ40" s="16"/>
      <c r="FA40" s="47"/>
      <c r="FB40" s="47"/>
    </row>
    <row r="41" spans="2:158" s="26" customFormat="1" x14ac:dyDescent="0.2">
      <c r="B41" s="15" t="s">
        <v>25</v>
      </c>
      <c r="C41" s="23"/>
      <c r="D41" s="23"/>
      <c r="E41" s="23"/>
      <c r="F41" s="23"/>
      <c r="G41" s="23"/>
      <c r="H41" s="23"/>
      <c r="I41" s="25">
        <v>145</v>
      </c>
      <c r="J41" s="25">
        <f>387-I41</f>
        <v>242</v>
      </c>
      <c r="K41" s="25">
        <v>367</v>
      </c>
      <c r="L41" s="25">
        <f>813-K41</f>
        <v>446</v>
      </c>
      <c r="M41" s="25">
        <v>503</v>
      </c>
      <c r="N41" s="25">
        <f>1062-M41</f>
        <v>559</v>
      </c>
      <c r="O41" s="25">
        <v>587</v>
      </c>
      <c r="P41" s="25">
        <f t="shared" si="33"/>
        <v>628</v>
      </c>
      <c r="Q41" s="25">
        <f t="shared" si="34"/>
        <v>643</v>
      </c>
      <c r="R41" s="25">
        <f t="shared" si="35"/>
        <v>661</v>
      </c>
      <c r="S41" s="25">
        <v>674</v>
      </c>
      <c r="T41" s="25">
        <f t="shared" si="36"/>
        <v>651</v>
      </c>
      <c r="U41" s="25">
        <f t="shared" si="37"/>
        <v>614</v>
      </c>
      <c r="V41" s="25">
        <f t="shared" si="38"/>
        <v>637</v>
      </c>
      <c r="W41" s="25"/>
      <c r="X41" s="25"/>
      <c r="Y41" s="25"/>
      <c r="Z41" s="25"/>
      <c r="AA41" s="25">
        <v>651</v>
      </c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4"/>
      <c r="AX41" s="94">
        <v>0</v>
      </c>
      <c r="AY41" s="67">
        <v>0</v>
      </c>
      <c r="AZ41" s="67">
        <v>0</v>
      </c>
      <c r="BA41" s="67">
        <v>17</v>
      </c>
      <c r="BB41" s="67">
        <v>57</v>
      </c>
      <c r="BC41" s="67">
        <v>88</v>
      </c>
      <c r="BD41" s="67">
        <v>101</v>
      </c>
      <c r="BE41" s="67">
        <v>141</v>
      </c>
      <c r="BF41" s="67">
        <v>172</v>
      </c>
      <c r="BG41" s="67">
        <v>195</v>
      </c>
      <c r="BH41" s="67">
        <v>211</v>
      </c>
      <c r="BI41" s="67">
        <v>235</v>
      </c>
      <c r="BJ41" s="67">
        <v>243</v>
      </c>
      <c r="BK41" s="67">
        <v>260</v>
      </c>
      <c r="BL41" s="67">
        <v>271</v>
      </c>
      <c r="BM41" s="67">
        <v>288</v>
      </c>
      <c r="BN41" s="67">
        <v>286</v>
      </c>
      <c r="BO41" s="67">
        <v>301</v>
      </c>
      <c r="BP41" s="67">
        <v>298</v>
      </c>
      <c r="BQ41" s="67">
        <v>330</v>
      </c>
      <c r="BR41" s="67">
        <v>320</v>
      </c>
      <c r="BS41" s="67">
        <v>323</v>
      </c>
      <c r="BT41" s="67">
        <f>962-BS41-BR41</f>
        <v>319</v>
      </c>
      <c r="BU41" s="67">
        <v>342</v>
      </c>
      <c r="BV41" s="67">
        <v>326</v>
      </c>
      <c r="BW41" s="67">
        <f t="shared" si="39"/>
        <v>348</v>
      </c>
      <c r="BX41" s="67">
        <f>1005-BW41-BV41</f>
        <v>331</v>
      </c>
      <c r="BY41" s="67">
        <v>320</v>
      </c>
      <c r="BZ41" s="67">
        <v>317</v>
      </c>
      <c r="CA41" s="67">
        <f>614-BZ41</f>
        <v>297</v>
      </c>
      <c r="CB41" s="67">
        <v>307</v>
      </c>
      <c r="CC41" s="67">
        <v>330</v>
      </c>
      <c r="CD41" s="67">
        <v>337</v>
      </c>
      <c r="CE41" s="67">
        <v>329</v>
      </c>
      <c r="CF41" s="67">
        <v>323</v>
      </c>
      <c r="CG41" s="67">
        <v>325</v>
      </c>
      <c r="CH41" s="67">
        <v>336</v>
      </c>
      <c r="CI41" s="67">
        <v>355</v>
      </c>
      <c r="CJ41" s="67">
        <v>327</v>
      </c>
      <c r="CK41" s="67">
        <v>321</v>
      </c>
      <c r="CL41" s="67">
        <v>304</v>
      </c>
      <c r="CM41" s="67">
        <v>347</v>
      </c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5"/>
      <c r="EE41" s="25">
        <v>0</v>
      </c>
      <c r="EF41" s="25">
        <v>0</v>
      </c>
      <c r="EG41" s="25">
        <v>0</v>
      </c>
      <c r="EH41" s="25">
        <f t="shared" si="41"/>
        <v>17</v>
      </c>
      <c r="EI41" s="25">
        <f t="shared" si="42"/>
        <v>387</v>
      </c>
      <c r="EJ41" s="25">
        <f t="shared" si="24"/>
        <v>813</v>
      </c>
      <c r="EK41" s="25">
        <f t="shared" si="23"/>
        <v>1062</v>
      </c>
      <c r="EL41" s="25">
        <f t="shared" si="31"/>
        <v>1215</v>
      </c>
      <c r="EM41" s="25">
        <f t="shared" si="43"/>
        <v>1304</v>
      </c>
      <c r="EN41" s="25">
        <f t="shared" si="21"/>
        <v>1325</v>
      </c>
      <c r="EO41" s="25">
        <f t="shared" si="44"/>
        <v>1251</v>
      </c>
      <c r="EP41" s="25">
        <f t="shared" si="45"/>
        <v>1314</v>
      </c>
      <c r="EQ41" s="25">
        <f t="shared" si="46"/>
        <v>1339</v>
      </c>
      <c r="ER41" s="25">
        <f t="shared" ref="ER41:EV41" si="60">EQ41*1.01</f>
        <v>1352.39</v>
      </c>
      <c r="ES41" s="25">
        <f t="shared" si="60"/>
        <v>1365.9139</v>
      </c>
      <c r="ET41" s="25">
        <f t="shared" si="60"/>
        <v>1379.5730390000001</v>
      </c>
      <c r="EU41" s="25">
        <f t="shared" si="60"/>
        <v>1393.3687693900001</v>
      </c>
      <c r="EV41" s="25">
        <f t="shared" si="60"/>
        <v>1407.3024570839002</v>
      </c>
      <c r="EW41" s="25"/>
      <c r="EX41" s="25"/>
      <c r="EY41" s="47"/>
      <c r="EZ41" s="16"/>
      <c r="FA41" s="47"/>
      <c r="FB41" s="47"/>
    </row>
    <row r="42" spans="2:158" s="26" customFormat="1" x14ac:dyDescent="0.2">
      <c r="B42" s="15" t="s">
        <v>140</v>
      </c>
      <c r="C42" s="23"/>
      <c r="D42" s="23"/>
      <c r="E42" s="23"/>
      <c r="F42" s="23"/>
      <c r="G42" s="23"/>
      <c r="H42" s="23"/>
      <c r="I42" s="25">
        <v>21</v>
      </c>
      <c r="J42" s="25">
        <f>BD42+BE42</f>
        <v>65</v>
      </c>
      <c r="K42" s="25">
        <v>167</v>
      </c>
      <c r="L42" s="25">
        <f>488-K42</f>
        <v>321</v>
      </c>
      <c r="M42" s="25">
        <v>374</v>
      </c>
      <c r="N42" s="25">
        <f>887-M42</f>
        <v>513</v>
      </c>
      <c r="O42" s="25">
        <v>507</v>
      </c>
      <c r="P42" s="25">
        <f>SUM(BP42:BQ42)</f>
        <v>601</v>
      </c>
      <c r="Q42" s="25">
        <f t="shared" si="34"/>
        <v>525</v>
      </c>
      <c r="R42" s="25">
        <f t="shared" si="35"/>
        <v>533</v>
      </c>
      <c r="S42" s="25">
        <v>544</v>
      </c>
      <c r="T42" s="25">
        <f t="shared" si="36"/>
        <v>469</v>
      </c>
      <c r="U42" s="25">
        <f t="shared" si="37"/>
        <v>394</v>
      </c>
      <c r="V42" s="25">
        <f t="shared" si="38"/>
        <v>302</v>
      </c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4"/>
      <c r="AX42" s="67">
        <v>0</v>
      </c>
      <c r="AY42" s="67">
        <v>0</v>
      </c>
      <c r="AZ42" s="67">
        <v>0</v>
      </c>
      <c r="BA42" s="67">
        <v>0</v>
      </c>
      <c r="BB42" s="67">
        <v>0</v>
      </c>
      <c r="BC42" s="67">
        <v>21</v>
      </c>
      <c r="BD42" s="67">
        <v>14</v>
      </c>
      <c r="BE42" s="67">
        <v>51</v>
      </c>
      <c r="BF42" s="67">
        <v>75</v>
      </c>
      <c r="BG42" s="67">
        <v>92</v>
      </c>
      <c r="BH42" s="67">
        <v>142</v>
      </c>
      <c r="BI42" s="67">
        <v>179</v>
      </c>
      <c r="BJ42" s="67">
        <v>170</v>
      </c>
      <c r="BK42" s="67">
        <v>204</v>
      </c>
      <c r="BL42" s="67">
        <v>230</v>
      </c>
      <c r="BM42" s="67">
        <v>283</v>
      </c>
      <c r="BN42" s="67">
        <v>241</v>
      </c>
      <c r="BO42" s="67">
        <v>266</v>
      </c>
      <c r="BP42" s="67">
        <v>268</v>
      </c>
      <c r="BQ42" s="67">
        <v>333</v>
      </c>
      <c r="BR42" s="67">
        <v>249</v>
      </c>
      <c r="BS42" s="67">
        <v>276</v>
      </c>
      <c r="BT42" s="67">
        <v>255</v>
      </c>
      <c r="BU42" s="67">
        <v>278</v>
      </c>
      <c r="BV42" s="67">
        <v>277</v>
      </c>
      <c r="BW42" s="67">
        <f t="shared" si="39"/>
        <v>267</v>
      </c>
      <c r="BX42" s="67">
        <f>790-BW42-BV42</f>
        <v>246</v>
      </c>
      <c r="BY42" s="67">
        <v>223</v>
      </c>
      <c r="BZ42" s="67">
        <v>212</v>
      </c>
      <c r="CA42" s="67">
        <f>394-BZ42</f>
        <v>182</v>
      </c>
      <c r="CB42" s="67">
        <v>157</v>
      </c>
      <c r="CC42" s="67">
        <v>145</v>
      </c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5"/>
      <c r="EE42" s="25">
        <v>0</v>
      </c>
      <c r="EF42" s="25">
        <v>0</v>
      </c>
      <c r="EG42" s="25">
        <v>0</v>
      </c>
      <c r="EH42" s="25">
        <f t="shared" si="41"/>
        <v>0</v>
      </c>
      <c r="EI42" s="25">
        <f t="shared" si="42"/>
        <v>86</v>
      </c>
      <c r="EJ42" s="25">
        <f t="shared" ref="EJ42:EJ46" si="61">SUM(K42:L42)</f>
        <v>488</v>
      </c>
      <c r="EK42" s="25">
        <f>SUM(M42:N42)</f>
        <v>887</v>
      </c>
      <c r="EL42" s="25">
        <f t="shared" ref="EL42:EL47" si="62">SUM(BN42:BQ42)</f>
        <v>1108</v>
      </c>
      <c r="EM42" s="25">
        <f t="shared" si="43"/>
        <v>1058</v>
      </c>
      <c r="EN42" s="25">
        <f t="shared" si="21"/>
        <v>1013</v>
      </c>
      <c r="EO42" s="25">
        <f t="shared" si="44"/>
        <v>696</v>
      </c>
      <c r="EP42" s="25"/>
      <c r="EQ42" s="25"/>
      <c r="ER42" s="25"/>
      <c r="ES42" s="25"/>
      <c r="ET42" s="25"/>
      <c r="EU42" s="25"/>
      <c r="EV42" s="25"/>
      <c r="EW42" s="25"/>
      <c r="EX42" s="25"/>
      <c r="EY42" s="47"/>
      <c r="EZ42" s="16"/>
      <c r="FA42" s="47"/>
      <c r="FB42" s="47"/>
    </row>
    <row r="43" spans="2:158" s="26" customFormat="1" x14ac:dyDescent="0.2">
      <c r="B43" s="15" t="s">
        <v>33</v>
      </c>
      <c r="C43" s="23"/>
      <c r="D43" s="23"/>
      <c r="E43" s="23"/>
      <c r="F43" s="23"/>
      <c r="G43" s="23"/>
      <c r="H43" s="23"/>
      <c r="I43" s="25">
        <v>580</v>
      </c>
      <c r="J43" s="25">
        <f>1558-I43</f>
        <v>978</v>
      </c>
      <c r="K43" s="25">
        <v>961</v>
      </c>
      <c r="L43" s="25">
        <f>2627-K43</f>
        <v>1666</v>
      </c>
      <c r="M43" s="25">
        <v>1316</v>
      </c>
      <c r="N43" s="25">
        <f>2085-M43</f>
        <v>769</v>
      </c>
      <c r="O43" s="25">
        <v>327</v>
      </c>
      <c r="P43" s="25">
        <f>SUM(BP43:BQ43)</f>
        <v>282</v>
      </c>
      <c r="Q43" s="25">
        <f t="shared" si="34"/>
        <v>1010</v>
      </c>
      <c r="R43" s="25">
        <f t="shared" si="35"/>
        <v>2190</v>
      </c>
      <c r="S43" s="25">
        <v>710</v>
      </c>
      <c r="T43" s="25">
        <f t="shared" si="36"/>
        <v>163</v>
      </c>
      <c r="U43" s="25">
        <f t="shared" si="37"/>
        <v>262</v>
      </c>
      <c r="V43" s="25">
        <f t="shared" si="38"/>
        <v>97</v>
      </c>
      <c r="W43" s="25"/>
      <c r="X43" s="25"/>
      <c r="Y43" s="25"/>
      <c r="Z43" s="25"/>
      <c r="AA43" s="25">
        <v>372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4"/>
      <c r="AX43" s="67">
        <v>108</v>
      </c>
      <c r="AY43" s="67">
        <v>19</v>
      </c>
      <c r="AZ43" s="67">
        <v>110</v>
      </c>
      <c r="BA43" s="67">
        <v>93</v>
      </c>
      <c r="BB43" s="67">
        <v>424</v>
      </c>
      <c r="BC43" s="67">
        <v>156</v>
      </c>
      <c r="BD43" s="67">
        <v>279</v>
      </c>
      <c r="BE43" s="67">
        <v>699</v>
      </c>
      <c r="BF43" s="67">
        <v>601</v>
      </c>
      <c r="BG43" s="67">
        <v>360</v>
      </c>
      <c r="BH43" s="67">
        <v>669</v>
      </c>
      <c r="BI43" s="67">
        <v>997</v>
      </c>
      <c r="BJ43" s="67">
        <v>865</v>
      </c>
      <c r="BK43" s="67">
        <v>451</v>
      </c>
      <c r="BL43" s="67">
        <v>257</v>
      </c>
      <c r="BM43" s="67">
        <v>512</v>
      </c>
      <c r="BN43" s="67">
        <v>278</v>
      </c>
      <c r="BO43" s="67">
        <v>49</v>
      </c>
      <c r="BP43" s="67">
        <v>101</v>
      </c>
      <c r="BQ43" s="67">
        <v>181</v>
      </c>
      <c r="BR43" s="67">
        <v>401</v>
      </c>
      <c r="BS43" s="67">
        <v>609</v>
      </c>
      <c r="BT43" s="67">
        <f>2004-BS43-BR43</f>
        <v>994</v>
      </c>
      <c r="BU43" s="67">
        <v>1196</v>
      </c>
      <c r="BV43" s="67">
        <v>517</v>
      </c>
      <c r="BW43" s="67">
        <f t="shared" si="39"/>
        <v>193</v>
      </c>
      <c r="BX43" s="67">
        <f>808-BW43-BV43</f>
        <v>98</v>
      </c>
      <c r="BY43" s="67">
        <v>65</v>
      </c>
      <c r="BZ43" s="67">
        <v>252</v>
      </c>
      <c r="CA43" s="67">
        <f>262-BZ43</f>
        <v>10</v>
      </c>
      <c r="CB43" s="67">
        <v>39</v>
      </c>
      <c r="CC43" s="67">
        <v>58</v>
      </c>
      <c r="CD43" s="67">
        <v>187</v>
      </c>
      <c r="CE43" s="67">
        <v>34</v>
      </c>
      <c r="CF43" s="67">
        <v>20</v>
      </c>
      <c r="CG43" s="67">
        <v>319</v>
      </c>
      <c r="CH43" s="67">
        <v>335</v>
      </c>
      <c r="CI43" s="67">
        <v>45</v>
      </c>
      <c r="CJ43" s="67">
        <v>34</v>
      </c>
      <c r="CK43" s="67">
        <v>221</v>
      </c>
      <c r="CL43" s="67">
        <v>344</v>
      </c>
      <c r="CM43" s="67">
        <v>28</v>
      </c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5"/>
      <c r="EE43" s="25">
        <v>110</v>
      </c>
      <c r="EF43" s="25">
        <v>175</v>
      </c>
      <c r="EG43" s="25">
        <v>431</v>
      </c>
      <c r="EH43" s="25">
        <f t="shared" si="41"/>
        <v>330</v>
      </c>
      <c r="EI43" s="25">
        <f t="shared" si="42"/>
        <v>1558</v>
      </c>
      <c r="EJ43" s="25">
        <f t="shared" si="61"/>
        <v>2627</v>
      </c>
      <c r="EK43" s="25">
        <f>SUM(M43:N43)</f>
        <v>2085</v>
      </c>
      <c r="EL43" s="25">
        <f t="shared" si="62"/>
        <v>609</v>
      </c>
      <c r="EM43" s="25">
        <f t="shared" si="43"/>
        <v>3200</v>
      </c>
      <c r="EN43" s="25">
        <f t="shared" si="21"/>
        <v>873</v>
      </c>
      <c r="EO43" s="25">
        <f t="shared" si="44"/>
        <v>359</v>
      </c>
      <c r="EP43" s="25">
        <f t="shared" si="45"/>
        <v>560</v>
      </c>
      <c r="EQ43" s="25">
        <f t="shared" si="46"/>
        <v>635</v>
      </c>
      <c r="ER43" s="25">
        <f>EQ43*1.03</f>
        <v>654.05000000000007</v>
      </c>
      <c r="ES43" s="25">
        <f>ER43*1.03</f>
        <v>673.67150000000004</v>
      </c>
      <c r="ET43" s="25">
        <f>ES43*1.03</f>
        <v>693.88164500000005</v>
      </c>
      <c r="EU43" s="25">
        <f>ET43*0.5</f>
        <v>346.94082250000002</v>
      </c>
      <c r="EV43" s="25">
        <f>EU43*0.5</f>
        <v>173.47041125000001</v>
      </c>
      <c r="EW43" s="25">
        <f>EV43*0.5</f>
        <v>86.735205625000006</v>
      </c>
      <c r="EX43" s="25">
        <v>272</v>
      </c>
      <c r="EY43" s="25">
        <v>58</v>
      </c>
      <c r="EZ43" s="16"/>
      <c r="FA43" s="47"/>
      <c r="FB43" s="47"/>
    </row>
    <row r="44" spans="2:158" s="26" customFormat="1" x14ac:dyDescent="0.2">
      <c r="B44" s="15" t="s">
        <v>158</v>
      </c>
      <c r="C44" s="23"/>
      <c r="D44" s="23"/>
      <c r="E44" s="23"/>
      <c r="F44" s="23"/>
      <c r="G44" s="23"/>
      <c r="H44" s="23"/>
      <c r="I44" s="25">
        <v>185</v>
      </c>
      <c r="J44" s="25">
        <f>394-I44</f>
        <v>209</v>
      </c>
      <c r="K44" s="25">
        <v>223</v>
      </c>
      <c r="L44" s="25">
        <f>488-K44</f>
        <v>265</v>
      </c>
      <c r="M44" s="25">
        <v>261</v>
      </c>
      <c r="N44" s="25">
        <f>542-M44</f>
        <v>281</v>
      </c>
      <c r="O44" s="25">
        <v>261</v>
      </c>
      <c r="P44" s="25">
        <f t="shared" si="33"/>
        <v>292</v>
      </c>
      <c r="Q44" s="25">
        <f t="shared" si="34"/>
        <v>274</v>
      </c>
      <c r="R44" s="25">
        <f t="shared" si="35"/>
        <v>290</v>
      </c>
      <c r="S44" s="25">
        <v>296</v>
      </c>
      <c r="T44" s="25">
        <f t="shared" si="36"/>
        <v>309</v>
      </c>
      <c r="U44" s="25">
        <f t="shared" si="37"/>
        <v>282</v>
      </c>
      <c r="V44" s="25">
        <f t="shared" si="38"/>
        <v>287</v>
      </c>
      <c r="W44" s="25"/>
      <c r="X44" s="25"/>
      <c r="Y44" s="25"/>
      <c r="Z44" s="25"/>
      <c r="AA44" s="25">
        <v>353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4"/>
      <c r="AX44" s="67">
        <v>86</v>
      </c>
      <c r="AY44" s="67">
        <v>79</v>
      </c>
      <c r="AZ44" s="67">
        <v>81</v>
      </c>
      <c r="BA44" s="67">
        <v>83</v>
      </c>
      <c r="BB44" s="67">
        <v>86</v>
      </c>
      <c r="BC44" s="67">
        <v>99</v>
      </c>
      <c r="BD44" s="67">
        <v>100</v>
      </c>
      <c r="BE44" s="67">
        <v>109</v>
      </c>
      <c r="BF44" s="67">
        <v>110</v>
      </c>
      <c r="BG44" s="67">
        <v>113</v>
      </c>
      <c r="BH44" s="67">
        <v>126</v>
      </c>
      <c r="BI44" s="67">
        <v>139</v>
      </c>
      <c r="BJ44" s="67">
        <v>124</v>
      </c>
      <c r="BK44" s="67">
        <v>137</v>
      </c>
      <c r="BL44" s="67">
        <v>137</v>
      </c>
      <c r="BM44" s="67">
        <v>144</v>
      </c>
      <c r="BN44" s="67">
        <v>128</v>
      </c>
      <c r="BO44" s="67">
        <v>136</v>
      </c>
      <c r="BP44" s="67">
        <v>143</v>
      </c>
      <c r="BQ44" s="67">
        <v>149</v>
      </c>
      <c r="BR44" s="67">
        <v>131</v>
      </c>
      <c r="BS44" s="67">
        <v>143</v>
      </c>
      <c r="BT44" s="67">
        <v>148</v>
      </c>
      <c r="BU44" s="67">
        <v>142</v>
      </c>
      <c r="BV44" s="67">
        <v>149</v>
      </c>
      <c r="BW44" s="67">
        <f t="shared" si="39"/>
        <v>147</v>
      </c>
      <c r="BX44" s="67">
        <f>453-BW44-BV44</f>
        <v>157</v>
      </c>
      <c r="BY44" s="67">
        <v>152</v>
      </c>
      <c r="BZ44" s="67">
        <v>145</v>
      </c>
      <c r="CA44" s="67">
        <f>282-BZ44</f>
        <v>137</v>
      </c>
      <c r="CB44" s="67">
        <v>143</v>
      </c>
      <c r="CC44" s="67">
        <v>144</v>
      </c>
      <c r="CD44" s="67">
        <v>153</v>
      </c>
      <c r="CE44" s="67">
        <v>154</v>
      </c>
      <c r="CF44" s="67">
        <v>171</v>
      </c>
      <c r="CG44" s="67">
        <v>160</v>
      </c>
      <c r="CH44" s="67">
        <v>166</v>
      </c>
      <c r="CI44" s="67">
        <v>167</v>
      </c>
      <c r="CJ44" s="67">
        <v>166</v>
      </c>
      <c r="CK44" s="67">
        <v>194</v>
      </c>
      <c r="CL44" s="67">
        <v>177</v>
      </c>
      <c r="CM44" s="67">
        <v>176</v>
      </c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5"/>
      <c r="EE44" s="25">
        <v>292</v>
      </c>
      <c r="EF44" s="25">
        <v>296</v>
      </c>
      <c r="EG44" s="25">
        <v>281</v>
      </c>
      <c r="EH44" s="25">
        <f t="shared" si="41"/>
        <v>329</v>
      </c>
      <c r="EI44" s="25">
        <f t="shared" si="42"/>
        <v>394</v>
      </c>
      <c r="EJ44" s="25">
        <f t="shared" si="61"/>
        <v>488</v>
      </c>
      <c r="EK44" s="25">
        <f t="shared" si="23"/>
        <v>542</v>
      </c>
      <c r="EL44" s="25">
        <f t="shared" si="62"/>
        <v>556</v>
      </c>
      <c r="EM44" s="25">
        <f t="shared" si="43"/>
        <v>564</v>
      </c>
      <c r="EN44" s="25">
        <f t="shared" si="21"/>
        <v>605</v>
      </c>
      <c r="EO44" s="25">
        <f t="shared" si="44"/>
        <v>569</v>
      </c>
      <c r="EP44" s="25">
        <f t="shared" si="45"/>
        <v>638</v>
      </c>
      <c r="EQ44" s="25">
        <f t="shared" si="46"/>
        <v>693</v>
      </c>
      <c r="ER44" s="25">
        <f>+EQ44*0.5</f>
        <v>346.5</v>
      </c>
      <c r="ES44" s="25">
        <f t="shared" ref="ES44:EW44" si="63">+ER44*0.5</f>
        <v>173.25</v>
      </c>
      <c r="ET44" s="25">
        <f t="shared" si="63"/>
        <v>86.625</v>
      </c>
      <c r="EU44" s="25">
        <f t="shared" si="63"/>
        <v>43.3125</v>
      </c>
      <c r="EV44" s="25">
        <f t="shared" si="63"/>
        <v>21.65625</v>
      </c>
      <c r="EW44" s="25">
        <f t="shared" si="63"/>
        <v>10.828125</v>
      </c>
      <c r="EX44" s="25"/>
      <c r="EY44" s="47"/>
      <c r="EZ44" s="16"/>
      <c r="FA44" s="47"/>
      <c r="FB44" s="47"/>
    </row>
    <row r="45" spans="2:158" s="26" customFormat="1" x14ac:dyDescent="0.2">
      <c r="B45" s="15" t="s">
        <v>142</v>
      </c>
      <c r="C45" s="23"/>
      <c r="D45" s="23"/>
      <c r="E45" s="23"/>
      <c r="F45" s="23"/>
      <c r="G45" s="23"/>
      <c r="H45" s="23"/>
      <c r="I45" s="25">
        <v>232</v>
      </c>
      <c r="J45" s="25">
        <f>476-I45</f>
        <v>244</v>
      </c>
      <c r="K45" s="25">
        <v>244</v>
      </c>
      <c r="L45" s="25">
        <f>494-K45</f>
        <v>250</v>
      </c>
      <c r="M45" s="25">
        <v>239</v>
      </c>
      <c r="N45" s="25">
        <f>470-M45</f>
        <v>231</v>
      </c>
      <c r="O45" s="25">
        <v>195</v>
      </c>
      <c r="P45" s="25">
        <f t="shared" si="33"/>
        <v>218</v>
      </c>
      <c r="Q45" s="25">
        <f t="shared" si="34"/>
        <v>211</v>
      </c>
      <c r="R45" s="25">
        <f t="shared" si="35"/>
        <v>189</v>
      </c>
      <c r="S45" s="25">
        <v>193</v>
      </c>
      <c r="T45" s="25">
        <f t="shared" si="36"/>
        <v>212</v>
      </c>
      <c r="U45" s="25">
        <f t="shared" si="37"/>
        <v>169</v>
      </c>
      <c r="V45" s="25">
        <f t="shared" si="38"/>
        <v>148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4"/>
      <c r="AX45" s="67">
        <v>109</v>
      </c>
      <c r="AY45" s="67">
        <v>116</v>
      </c>
      <c r="AZ45" s="67">
        <v>110</v>
      </c>
      <c r="BA45" s="67">
        <v>114</v>
      </c>
      <c r="BB45" s="67">
        <v>110</v>
      </c>
      <c r="BC45" s="67">
        <v>122</v>
      </c>
      <c r="BD45" s="67">
        <v>116</v>
      </c>
      <c r="BE45" s="67">
        <v>128</v>
      </c>
      <c r="BF45" s="67">
        <v>118</v>
      </c>
      <c r="BG45" s="67">
        <v>126</v>
      </c>
      <c r="BH45" s="67">
        <v>118</v>
      </c>
      <c r="BI45" s="67">
        <v>132</v>
      </c>
      <c r="BJ45" s="67">
        <v>117</v>
      </c>
      <c r="BK45" s="67">
        <v>122</v>
      </c>
      <c r="BL45" s="67">
        <v>118</v>
      </c>
      <c r="BM45" s="67">
        <v>113</v>
      </c>
      <c r="BN45" s="67">
        <v>97</v>
      </c>
      <c r="BO45" s="67">
        <v>98</v>
      </c>
      <c r="BP45" s="67">
        <v>106</v>
      </c>
      <c r="BQ45" s="67">
        <v>112</v>
      </c>
      <c r="BR45" s="67">
        <v>104</v>
      </c>
      <c r="BS45" s="67">
        <v>107</v>
      </c>
      <c r="BT45" s="67">
        <v>100</v>
      </c>
      <c r="BU45" s="67">
        <v>89</v>
      </c>
      <c r="BV45" s="67">
        <v>91</v>
      </c>
      <c r="BW45" s="67">
        <f t="shared" si="39"/>
        <v>102</v>
      </c>
      <c r="BX45" s="67">
        <f>310-BW45-BV45</f>
        <v>117</v>
      </c>
      <c r="BY45" s="67">
        <v>95</v>
      </c>
      <c r="BZ45" s="67">
        <v>87</v>
      </c>
      <c r="CA45" s="67">
        <f>169-BZ45</f>
        <v>82</v>
      </c>
      <c r="CB45" s="67">
        <v>73</v>
      </c>
      <c r="CC45" s="67">
        <v>75</v>
      </c>
      <c r="CD45" s="67">
        <v>77</v>
      </c>
      <c r="CE45" s="67">
        <v>77</v>
      </c>
      <c r="CF45" s="67">
        <v>77</v>
      </c>
      <c r="CG45" s="67">
        <v>73</v>
      </c>
      <c r="CH45" s="67">
        <v>73</v>
      </c>
      <c r="CI45" s="67">
        <v>71</v>
      </c>
      <c r="CJ45" s="67">
        <v>69</v>
      </c>
      <c r="CK45" s="67">
        <v>61</v>
      </c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5"/>
      <c r="EE45" s="25">
        <v>435</v>
      </c>
      <c r="EF45" s="25">
        <v>477</v>
      </c>
      <c r="EG45" s="25">
        <v>442</v>
      </c>
      <c r="EH45" s="25">
        <f t="shared" si="41"/>
        <v>449</v>
      </c>
      <c r="EI45" s="25">
        <f t="shared" si="42"/>
        <v>476</v>
      </c>
      <c r="EJ45" s="25">
        <f t="shared" si="61"/>
        <v>494</v>
      </c>
      <c r="EK45" s="25">
        <f t="shared" si="23"/>
        <v>470</v>
      </c>
      <c r="EL45" s="25">
        <f t="shared" si="62"/>
        <v>413</v>
      </c>
      <c r="EM45" s="25">
        <f t="shared" si="43"/>
        <v>400</v>
      </c>
      <c r="EN45" s="25">
        <f t="shared" si="21"/>
        <v>405</v>
      </c>
      <c r="EO45" s="25">
        <f t="shared" si="44"/>
        <v>317</v>
      </c>
      <c r="EP45" s="25">
        <f t="shared" si="45"/>
        <v>304</v>
      </c>
      <c r="EQ45" s="25">
        <f t="shared" si="46"/>
        <v>274</v>
      </c>
      <c r="ER45" s="25">
        <f t="shared" ref="ER45:ER47" si="64">EQ45*1.05</f>
        <v>287.7</v>
      </c>
      <c r="ES45" s="25">
        <f t="shared" ref="ES45:EV45" si="65">ER45*1.05</f>
        <v>302.08499999999998</v>
      </c>
      <c r="ET45" s="25">
        <f t="shared" si="65"/>
        <v>317.18925000000002</v>
      </c>
      <c r="EU45" s="25">
        <f t="shared" si="65"/>
        <v>333.04871250000002</v>
      </c>
      <c r="EV45" s="25">
        <f t="shared" si="65"/>
        <v>349.70114812500003</v>
      </c>
      <c r="EW45" s="25">
        <f>+EV45*0.9</f>
        <v>314.73103331250002</v>
      </c>
      <c r="EX45" s="25"/>
      <c r="EY45" s="47"/>
      <c r="EZ45" s="16"/>
      <c r="FA45" s="47"/>
      <c r="FB45" s="47"/>
    </row>
    <row r="46" spans="2:158" s="26" customFormat="1" x14ac:dyDescent="0.2">
      <c r="B46" s="15" t="s">
        <v>30</v>
      </c>
      <c r="C46" s="23"/>
      <c r="D46" s="23"/>
      <c r="E46" s="23"/>
      <c r="F46" s="23"/>
      <c r="G46" s="23"/>
      <c r="H46" s="23"/>
      <c r="I46" s="25">
        <v>169</v>
      </c>
      <c r="J46" s="25">
        <f>364-I46</f>
        <v>195</v>
      </c>
      <c r="K46" s="25">
        <v>188</v>
      </c>
      <c r="L46" s="25">
        <f>379-K46</f>
        <v>191</v>
      </c>
      <c r="M46" s="25">
        <v>195</v>
      </c>
      <c r="N46" s="25">
        <f>405-M46</f>
        <v>210</v>
      </c>
      <c r="O46" s="25">
        <v>192</v>
      </c>
      <c r="P46" s="25">
        <f>SUM(BP46:BQ46)</f>
        <v>212</v>
      </c>
      <c r="Q46" s="25">
        <f t="shared" si="34"/>
        <v>188</v>
      </c>
      <c r="R46" s="25">
        <f t="shared" si="35"/>
        <v>197</v>
      </c>
      <c r="S46" s="25">
        <v>167</v>
      </c>
      <c r="T46" s="25">
        <f t="shared" si="36"/>
        <v>164</v>
      </c>
      <c r="U46" s="25">
        <f t="shared" si="37"/>
        <v>135</v>
      </c>
      <c r="V46" s="25">
        <f t="shared" si="38"/>
        <v>143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4"/>
      <c r="AX46" s="67">
        <v>76</v>
      </c>
      <c r="AY46" s="67">
        <v>80</v>
      </c>
      <c r="AZ46" s="67">
        <v>81</v>
      </c>
      <c r="BA46" s="67">
        <v>88</v>
      </c>
      <c r="BB46" s="67">
        <v>80</v>
      </c>
      <c r="BC46" s="67">
        <v>89</v>
      </c>
      <c r="BD46" s="67">
        <v>97</v>
      </c>
      <c r="BE46" s="67">
        <v>98</v>
      </c>
      <c r="BF46" s="67">
        <v>93</v>
      </c>
      <c r="BG46" s="67">
        <v>95</v>
      </c>
      <c r="BH46" s="67">
        <v>91</v>
      </c>
      <c r="BI46" s="67">
        <v>100</v>
      </c>
      <c r="BJ46" s="67">
        <v>96</v>
      </c>
      <c r="BK46" s="67">
        <v>99</v>
      </c>
      <c r="BL46" s="67">
        <v>100</v>
      </c>
      <c r="BM46" s="67">
        <v>110</v>
      </c>
      <c r="BN46" s="67">
        <v>95</v>
      </c>
      <c r="BO46" s="67">
        <v>97</v>
      </c>
      <c r="BP46" s="67">
        <v>98</v>
      </c>
      <c r="BQ46" s="67">
        <v>114</v>
      </c>
      <c r="BR46" s="67">
        <v>90</v>
      </c>
      <c r="BS46" s="67">
        <v>98</v>
      </c>
      <c r="BT46" s="67">
        <v>101</v>
      </c>
      <c r="BU46" s="67">
        <v>96</v>
      </c>
      <c r="BV46" s="67">
        <v>81</v>
      </c>
      <c r="BW46" s="67">
        <f t="shared" si="39"/>
        <v>86</v>
      </c>
      <c r="BX46" s="67">
        <f>249-BW46-BV46</f>
        <v>82</v>
      </c>
      <c r="BY46" s="67">
        <v>82</v>
      </c>
      <c r="BZ46" s="67">
        <v>61</v>
      </c>
      <c r="CA46" s="67">
        <v>74</v>
      </c>
      <c r="CB46" s="67">
        <v>65</v>
      </c>
      <c r="CC46" s="67">
        <v>78</v>
      </c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5"/>
      <c r="EE46" s="25">
        <v>0</v>
      </c>
      <c r="EF46" s="25">
        <v>0</v>
      </c>
      <c r="EG46" s="25">
        <v>315</v>
      </c>
      <c r="EH46" s="25">
        <f t="shared" si="41"/>
        <v>325</v>
      </c>
      <c r="EI46" s="25">
        <f t="shared" si="42"/>
        <v>364</v>
      </c>
      <c r="EJ46" s="25">
        <f t="shared" si="61"/>
        <v>379</v>
      </c>
      <c r="EK46" s="25">
        <f>SUM(M46:N46)</f>
        <v>405</v>
      </c>
      <c r="EL46" s="25">
        <f t="shared" si="62"/>
        <v>404</v>
      </c>
      <c r="EM46" s="25">
        <f t="shared" si="43"/>
        <v>385</v>
      </c>
      <c r="EN46" s="25">
        <f t="shared" si="21"/>
        <v>331</v>
      </c>
      <c r="EO46" s="25">
        <f t="shared" si="44"/>
        <v>278</v>
      </c>
      <c r="EP46" s="25"/>
      <c r="EQ46" s="25"/>
      <c r="ER46" s="25"/>
      <c r="ES46" s="25"/>
      <c r="ET46" s="25"/>
      <c r="EU46" s="25"/>
      <c r="EV46" s="25"/>
      <c r="EW46" s="25"/>
      <c r="EX46" s="25"/>
      <c r="EY46" s="47"/>
      <c r="EZ46" s="16"/>
      <c r="FA46" s="47"/>
      <c r="FB46" s="47"/>
    </row>
    <row r="47" spans="2:158" s="26" customFormat="1" x14ac:dyDescent="0.2">
      <c r="B47" s="15" t="s">
        <v>38</v>
      </c>
      <c r="C47" s="23"/>
      <c r="D47" s="23"/>
      <c r="E47" s="23"/>
      <c r="F47" s="23"/>
      <c r="G47" s="23"/>
      <c r="H47" s="23"/>
      <c r="I47" s="25"/>
      <c r="J47" s="25"/>
      <c r="K47" s="25"/>
      <c r="L47" s="25"/>
      <c r="M47" s="25"/>
      <c r="N47" s="25"/>
      <c r="O47" s="25">
        <v>154</v>
      </c>
      <c r="P47" s="25">
        <f>SUM(BP47:BQ47)</f>
        <v>157</v>
      </c>
      <c r="Q47" s="25">
        <f t="shared" si="34"/>
        <v>140</v>
      </c>
      <c r="R47" s="25">
        <f t="shared" si="35"/>
        <v>146</v>
      </c>
      <c r="S47" s="25">
        <v>0</v>
      </c>
      <c r="T47" s="25">
        <f t="shared" si="36"/>
        <v>77</v>
      </c>
      <c r="U47" s="25">
        <f t="shared" si="37"/>
        <v>150</v>
      </c>
      <c r="V47" s="25">
        <f t="shared" si="38"/>
        <v>144</v>
      </c>
      <c r="W47" s="25"/>
      <c r="X47" s="25"/>
      <c r="Y47" s="25"/>
      <c r="Z47" s="25"/>
      <c r="AA47" s="25">
        <v>135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4"/>
      <c r="AX47" s="94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>
        <v>75</v>
      </c>
      <c r="BK47" s="67">
        <v>77</v>
      </c>
      <c r="BL47" s="67">
        <v>76</v>
      </c>
      <c r="BM47" s="67">
        <v>83</v>
      </c>
      <c r="BN47" s="67">
        <v>74</v>
      </c>
      <c r="BO47" s="67">
        <v>80</v>
      </c>
      <c r="BP47" s="67">
        <v>77</v>
      </c>
      <c r="BQ47" s="67">
        <v>80</v>
      </c>
      <c r="BR47" s="67">
        <v>68</v>
      </c>
      <c r="BS47" s="67">
        <v>72</v>
      </c>
      <c r="BT47" s="67">
        <v>71</v>
      </c>
      <c r="BU47" s="67">
        <v>75</v>
      </c>
      <c r="BV47" s="67"/>
      <c r="BW47" s="67"/>
      <c r="BX47" s="67"/>
      <c r="BY47" s="67">
        <v>77</v>
      </c>
      <c r="BZ47" s="67">
        <v>75</v>
      </c>
      <c r="CA47" s="67">
        <v>75</v>
      </c>
      <c r="CB47" s="67">
        <v>72</v>
      </c>
      <c r="CC47" s="67">
        <v>72</v>
      </c>
      <c r="CD47" s="67">
        <v>75</v>
      </c>
      <c r="CE47" s="67">
        <v>82</v>
      </c>
      <c r="CF47" s="67">
        <v>78</v>
      </c>
      <c r="CG47" s="67">
        <v>75</v>
      </c>
      <c r="CH47" s="67">
        <v>80</v>
      </c>
      <c r="CI47" s="67">
        <v>78</v>
      </c>
      <c r="CJ47" s="67">
        <v>77</v>
      </c>
      <c r="CK47" s="67">
        <v>78</v>
      </c>
      <c r="CL47" s="67">
        <v>59</v>
      </c>
      <c r="CM47" s="67">
        <v>76</v>
      </c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5"/>
      <c r="EE47" s="25"/>
      <c r="EF47" s="25"/>
      <c r="EG47" s="25"/>
      <c r="EH47" s="25"/>
      <c r="EI47" s="25"/>
      <c r="EJ47" s="25"/>
      <c r="EK47" s="25">
        <f>SUM(BJ47:BM47)</f>
        <v>311</v>
      </c>
      <c r="EL47" s="25">
        <f t="shared" si="62"/>
        <v>311</v>
      </c>
      <c r="EM47" s="25">
        <f t="shared" si="43"/>
        <v>286</v>
      </c>
      <c r="EN47" s="25"/>
      <c r="EO47" s="25">
        <f t="shared" si="44"/>
        <v>294</v>
      </c>
      <c r="EP47" s="25">
        <f t="shared" si="45"/>
        <v>310</v>
      </c>
      <c r="EQ47" s="25">
        <f t="shared" si="46"/>
        <v>313</v>
      </c>
      <c r="ER47" s="25">
        <f t="shared" si="64"/>
        <v>328.65000000000003</v>
      </c>
      <c r="ES47" s="25">
        <f t="shared" ref="ES47:EV47" si="66">ER47*1.05</f>
        <v>345.08250000000004</v>
      </c>
      <c r="ET47" s="25">
        <f t="shared" si="66"/>
        <v>362.33662500000008</v>
      </c>
      <c r="EU47" s="25">
        <f t="shared" si="66"/>
        <v>380.4534562500001</v>
      </c>
      <c r="EV47" s="25">
        <f t="shared" si="66"/>
        <v>399.47612906250015</v>
      </c>
      <c r="EW47" s="25">
        <f>+EV47*0.9</f>
        <v>359.52851615625013</v>
      </c>
      <c r="EX47" s="25">
        <v>361</v>
      </c>
      <c r="EY47" s="25">
        <v>394</v>
      </c>
      <c r="EZ47" s="16"/>
      <c r="FA47" s="47"/>
      <c r="FB47" s="47"/>
    </row>
    <row r="48" spans="2:158" s="26" customFormat="1" x14ac:dyDescent="0.2">
      <c r="B48" s="3" t="s">
        <v>50</v>
      </c>
      <c r="C48" s="23"/>
      <c r="D48" s="23"/>
      <c r="E48" s="23"/>
      <c r="F48" s="23"/>
      <c r="G48" s="23"/>
      <c r="H48" s="23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>
        <f t="shared" si="37"/>
        <v>138</v>
      </c>
      <c r="V48" s="25">
        <f>344-U48</f>
        <v>206</v>
      </c>
      <c r="W48" s="25"/>
      <c r="X48" s="25"/>
      <c r="Y48" s="25"/>
      <c r="Z48" s="25"/>
      <c r="AA48" s="25">
        <v>203</v>
      </c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4"/>
      <c r="AX48" s="94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>
        <v>70</v>
      </c>
      <c r="BZ48" s="67">
        <v>70</v>
      </c>
      <c r="CA48" s="67">
        <f>138-BZ48</f>
        <v>68</v>
      </c>
      <c r="CB48" s="67">
        <v>99</v>
      </c>
      <c r="CC48" s="67">
        <v>107</v>
      </c>
      <c r="CD48" s="67">
        <v>90</v>
      </c>
      <c r="CE48" s="67">
        <v>87</v>
      </c>
      <c r="CF48" s="67">
        <v>96</v>
      </c>
      <c r="CG48" s="67">
        <v>111</v>
      </c>
      <c r="CH48" s="67">
        <v>94</v>
      </c>
      <c r="CI48" s="67">
        <v>106</v>
      </c>
      <c r="CJ48" s="67">
        <v>107</v>
      </c>
      <c r="CK48" s="67">
        <v>118</v>
      </c>
      <c r="CL48" s="67">
        <v>103</v>
      </c>
      <c r="CM48" s="67">
        <v>100</v>
      </c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>
        <f t="shared" si="44"/>
        <v>344</v>
      </c>
      <c r="EP48" s="25">
        <f t="shared" si="45"/>
        <v>384</v>
      </c>
      <c r="EQ48" s="25">
        <f t="shared" si="46"/>
        <v>425</v>
      </c>
      <c r="ER48" s="25">
        <f>+EQ48*1.01</f>
        <v>429.25</v>
      </c>
      <c r="ES48" s="25">
        <f t="shared" ref="ES48:EV48" si="67">+ER48*1.01</f>
        <v>433.54250000000002</v>
      </c>
      <c r="ET48" s="25">
        <f t="shared" si="67"/>
        <v>437.877925</v>
      </c>
      <c r="EU48" s="25">
        <f t="shared" si="67"/>
        <v>442.25670424999998</v>
      </c>
      <c r="EV48" s="25">
        <f t="shared" si="67"/>
        <v>446.6792712925</v>
      </c>
      <c r="EW48" s="25"/>
      <c r="EX48" s="25">
        <v>470</v>
      </c>
      <c r="EY48" s="25">
        <v>435</v>
      </c>
      <c r="EZ48" s="16"/>
      <c r="FA48" s="47"/>
      <c r="FB48" s="47"/>
    </row>
    <row r="49" spans="2:167" s="26" customFormat="1" hidden="1" x14ac:dyDescent="0.2">
      <c r="B49" s="15" t="s">
        <v>39</v>
      </c>
      <c r="C49" s="23"/>
      <c r="D49" s="23"/>
      <c r="E49" s="23"/>
      <c r="F49" s="23"/>
      <c r="G49" s="23"/>
      <c r="H49" s="23"/>
      <c r="I49" s="25">
        <v>312</v>
      </c>
      <c r="J49" s="25">
        <f>635-I49</f>
        <v>323</v>
      </c>
      <c r="K49" s="25">
        <v>363</v>
      </c>
      <c r="L49" s="25">
        <f>693-K49</f>
        <v>330</v>
      </c>
      <c r="M49" s="25">
        <v>339</v>
      </c>
      <c r="N49" s="25">
        <f>632-M49</f>
        <v>293</v>
      </c>
      <c r="O49" s="25">
        <v>264</v>
      </c>
      <c r="P49" s="25">
        <f>SUM(BP49:BQ49)</f>
        <v>238</v>
      </c>
      <c r="Q49" s="25">
        <f>SUM(BR49:BS49)</f>
        <v>209</v>
      </c>
      <c r="R49" s="25">
        <f>BT49+BU49</f>
        <v>188</v>
      </c>
      <c r="S49" s="25">
        <v>183</v>
      </c>
      <c r="T49" s="25">
        <f>+BY49+BX49</f>
        <v>154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4"/>
      <c r="AX49" s="67">
        <v>146</v>
      </c>
      <c r="AY49" s="67">
        <v>165</v>
      </c>
      <c r="AZ49" s="67">
        <v>145</v>
      </c>
      <c r="BA49" s="67">
        <v>137</v>
      </c>
      <c r="BB49" s="67">
        <v>147</v>
      </c>
      <c r="BC49" s="67">
        <v>165</v>
      </c>
      <c r="BD49" s="67">
        <v>162</v>
      </c>
      <c r="BE49" s="67">
        <v>161</v>
      </c>
      <c r="BF49" s="67">
        <v>181</v>
      </c>
      <c r="BG49" s="67">
        <v>182</v>
      </c>
      <c r="BH49" s="67">
        <v>160</v>
      </c>
      <c r="BI49" s="67">
        <v>170</v>
      </c>
      <c r="BJ49" s="67">
        <v>163</v>
      </c>
      <c r="BK49" s="67">
        <v>176</v>
      </c>
      <c r="BL49" s="67">
        <v>151</v>
      </c>
      <c r="BM49" s="67">
        <v>142</v>
      </c>
      <c r="BN49" s="67">
        <v>136</v>
      </c>
      <c r="BO49" s="67">
        <v>128</v>
      </c>
      <c r="BP49" s="67">
        <v>126</v>
      </c>
      <c r="BQ49" s="67">
        <v>112</v>
      </c>
      <c r="BR49" s="67">
        <v>103</v>
      </c>
      <c r="BS49" s="67">
        <v>106</v>
      </c>
      <c r="BT49" s="67">
        <v>98</v>
      </c>
      <c r="BU49" s="67">
        <v>90</v>
      </c>
      <c r="BV49" s="67">
        <v>91</v>
      </c>
      <c r="BW49" s="67">
        <f>+S49-BV49</f>
        <v>92</v>
      </c>
      <c r="BX49" s="67">
        <f>259-BW49-BV49</f>
        <v>76</v>
      </c>
      <c r="BY49" s="67">
        <v>78</v>
      </c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5"/>
      <c r="EE49" s="25">
        <v>963</v>
      </c>
      <c r="EF49" s="25">
        <v>763</v>
      </c>
      <c r="EG49" s="25">
        <v>618</v>
      </c>
      <c r="EH49" s="25">
        <f>SUM(AX49:BA49)</f>
        <v>593</v>
      </c>
      <c r="EI49" s="25">
        <f>SUM(BB49:BE49)</f>
        <v>635</v>
      </c>
      <c r="EJ49" s="25">
        <f>SUM(K49:L49)</f>
        <v>693</v>
      </c>
      <c r="EK49" s="25">
        <f>SUM(M49:N49)</f>
        <v>632</v>
      </c>
      <c r="EL49" s="25">
        <f>SUM(BN49:BQ49)</f>
        <v>502</v>
      </c>
      <c r="EM49" s="25">
        <f>SUM(BR49:BU49)</f>
        <v>397</v>
      </c>
      <c r="EN49" s="25">
        <f>SUM(BV49:BY49)</f>
        <v>337</v>
      </c>
      <c r="EO49" s="25">
        <f t="shared" ref="EO49:EO56" si="68">SUM(BZ49:CC49)</f>
        <v>0</v>
      </c>
      <c r="EP49" s="25">
        <f t="shared" si="45"/>
        <v>0</v>
      </c>
      <c r="EQ49" s="25">
        <f t="shared" si="46"/>
        <v>0</v>
      </c>
      <c r="ER49" s="25"/>
      <c r="ES49" s="25"/>
      <c r="ET49" s="25"/>
      <c r="EU49" s="25"/>
      <c r="EV49" s="25"/>
      <c r="EW49" s="25"/>
      <c r="EX49" s="25"/>
      <c r="EY49" s="47"/>
      <c r="EZ49" s="16"/>
      <c r="FA49" s="47"/>
      <c r="FB49" s="47"/>
    </row>
    <row r="50" spans="2:167" s="26" customFormat="1" hidden="1" x14ac:dyDescent="0.2">
      <c r="B50" s="15" t="s">
        <v>32</v>
      </c>
      <c r="C50" s="23"/>
      <c r="D50" s="23"/>
      <c r="E50" s="23"/>
      <c r="F50" s="23"/>
      <c r="G50" s="23"/>
      <c r="H50" s="23"/>
      <c r="I50" s="25">
        <v>235</v>
      </c>
      <c r="J50" s="25">
        <f>500-I50</f>
        <v>265</v>
      </c>
      <c r="K50" s="25">
        <v>254</v>
      </c>
      <c r="L50" s="25">
        <f>498-K50</f>
        <v>244</v>
      </c>
      <c r="M50" s="25">
        <v>205</v>
      </c>
      <c r="N50" s="25">
        <f>425-M50</f>
        <v>220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4"/>
      <c r="AX50" s="67">
        <v>109</v>
      </c>
      <c r="AY50" s="67">
        <v>111</v>
      </c>
      <c r="AZ50" s="67">
        <v>114</v>
      </c>
      <c r="BA50" s="67">
        <v>123</v>
      </c>
      <c r="BB50" s="67">
        <v>105</v>
      </c>
      <c r="BC50" s="67">
        <v>130</v>
      </c>
      <c r="BD50" s="67">
        <v>130</v>
      </c>
      <c r="BE50" s="67">
        <v>135</v>
      </c>
      <c r="BF50" s="67">
        <v>130</v>
      </c>
      <c r="BG50" s="67">
        <v>124</v>
      </c>
      <c r="BH50" s="67">
        <v>127</v>
      </c>
      <c r="BI50" s="67">
        <v>117</v>
      </c>
      <c r="BJ50" s="67">
        <v>105</v>
      </c>
      <c r="BK50" s="67">
        <v>100</v>
      </c>
      <c r="BL50" s="67">
        <v>110</v>
      </c>
      <c r="BM50" s="67">
        <v>110</v>
      </c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5"/>
      <c r="EE50" s="25">
        <v>437</v>
      </c>
      <c r="EF50" s="25">
        <v>451</v>
      </c>
      <c r="EG50" s="25">
        <v>437</v>
      </c>
      <c r="EH50" s="25">
        <f t="shared" ref="EH50:EH56" si="69">SUM(AX50:BA50)</f>
        <v>457</v>
      </c>
      <c r="EI50" s="25">
        <f t="shared" ref="EI50:EI56" si="70">SUM(BB50:BE50)</f>
        <v>500</v>
      </c>
      <c r="EJ50" s="25">
        <f>SUM(K50:L50)</f>
        <v>498</v>
      </c>
      <c r="EK50" s="25">
        <f>SUM(M50:N50)</f>
        <v>425</v>
      </c>
      <c r="EL50" s="25"/>
      <c r="EM50" s="25"/>
      <c r="EO50" s="25">
        <f t="shared" si="68"/>
        <v>0</v>
      </c>
      <c r="EP50" s="25">
        <f t="shared" si="45"/>
        <v>0</v>
      </c>
      <c r="EQ50" s="25">
        <f t="shared" si="46"/>
        <v>0</v>
      </c>
      <c r="EY50" s="47"/>
      <c r="EZ50" s="112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</row>
    <row r="51" spans="2:167" s="26" customFormat="1" hidden="1" x14ac:dyDescent="0.2">
      <c r="B51" s="3" t="s">
        <v>36</v>
      </c>
      <c r="C51" s="23"/>
      <c r="D51" s="23"/>
      <c r="E51" s="23"/>
      <c r="F51" s="23"/>
      <c r="G51" s="23"/>
      <c r="H51" s="23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4"/>
      <c r="AX51" s="67">
        <v>31</v>
      </c>
      <c r="AY51" s="67">
        <v>47</v>
      </c>
      <c r="AZ51" s="67">
        <v>43</v>
      </c>
      <c r="BA51" s="67">
        <v>47</v>
      </c>
      <c r="BB51" s="67">
        <v>50</v>
      </c>
      <c r="BC51" s="67">
        <v>66</v>
      </c>
      <c r="BD51" s="67">
        <v>62</v>
      </c>
      <c r="BE51" s="67">
        <v>81</v>
      </c>
      <c r="BF51" s="67">
        <v>72</v>
      </c>
      <c r="BG51" s="67">
        <v>71</v>
      </c>
      <c r="BH51" s="67">
        <v>78</v>
      </c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5"/>
      <c r="EE51" s="25">
        <v>0</v>
      </c>
      <c r="EF51" s="25">
        <v>0</v>
      </c>
      <c r="EG51" s="25">
        <v>49</v>
      </c>
      <c r="EH51" s="25">
        <f t="shared" si="69"/>
        <v>168</v>
      </c>
      <c r="EI51" s="25">
        <f t="shared" si="70"/>
        <v>259</v>
      </c>
      <c r="EJ51" s="25"/>
      <c r="EK51" s="25"/>
      <c r="EL51" s="25"/>
      <c r="EM51" s="25"/>
      <c r="EN51" s="25"/>
      <c r="EO51" s="25">
        <f t="shared" si="68"/>
        <v>0</v>
      </c>
      <c r="EP51" s="25">
        <f t="shared" si="45"/>
        <v>0</v>
      </c>
      <c r="EQ51" s="25">
        <f t="shared" si="46"/>
        <v>0</v>
      </c>
      <c r="ER51" s="25"/>
      <c r="ES51" s="25"/>
      <c r="ET51" s="25"/>
      <c r="EU51" s="25"/>
      <c r="EV51" s="25"/>
      <c r="EW51" s="25"/>
      <c r="EX51" s="25"/>
      <c r="EY51" s="47"/>
      <c r="EZ51" s="113"/>
      <c r="FA51" s="100"/>
      <c r="FB51" s="100"/>
      <c r="FC51" s="100"/>
      <c r="FD51" s="100"/>
      <c r="FE51" s="100"/>
      <c r="FF51" s="100"/>
      <c r="FG51" s="100"/>
      <c r="FH51" s="100"/>
      <c r="FI51" s="100"/>
      <c r="FJ51" s="100"/>
      <c r="FK51" s="100"/>
    </row>
    <row r="52" spans="2:167" s="26" customFormat="1" hidden="1" x14ac:dyDescent="0.2">
      <c r="B52" s="3" t="s">
        <v>481</v>
      </c>
      <c r="C52" s="23"/>
      <c r="D52" s="23"/>
      <c r="E52" s="23"/>
      <c r="F52" s="23"/>
      <c r="G52" s="23"/>
      <c r="H52" s="23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4"/>
      <c r="AX52" s="67">
        <v>7.904642409033876</v>
      </c>
      <c r="AY52" s="67">
        <v>16.813048933500628</v>
      </c>
      <c r="AZ52" s="67">
        <v>23.282308657465496</v>
      </c>
      <c r="BA52" s="67">
        <v>22</v>
      </c>
      <c r="BB52" s="67">
        <v>28</v>
      </c>
      <c r="BC52" s="67">
        <v>31</v>
      </c>
      <c r="BD52" s="67">
        <v>28</v>
      </c>
      <c r="BE52" s="67">
        <v>30</v>
      </c>
      <c r="BF52" s="67">
        <v>31</v>
      </c>
      <c r="BG52" s="67">
        <v>31</v>
      </c>
      <c r="BH52" s="67">
        <v>32</v>
      </c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5"/>
      <c r="EE52" s="25">
        <v>0</v>
      </c>
      <c r="EF52" s="25">
        <v>0</v>
      </c>
      <c r="EG52" s="25">
        <v>3</v>
      </c>
      <c r="EH52" s="25">
        <f t="shared" si="69"/>
        <v>70</v>
      </c>
      <c r="EI52" s="25">
        <f t="shared" si="70"/>
        <v>117</v>
      </c>
      <c r="EJ52" s="25"/>
      <c r="EK52" s="25"/>
      <c r="EL52" s="25"/>
      <c r="EM52" s="25"/>
      <c r="EN52" s="25"/>
      <c r="EO52" s="25">
        <f t="shared" si="68"/>
        <v>0</v>
      </c>
      <c r="EP52" s="25">
        <f t="shared" si="45"/>
        <v>0</v>
      </c>
      <c r="EQ52" s="25">
        <f t="shared" si="46"/>
        <v>0</v>
      </c>
      <c r="ER52" s="25"/>
      <c r="ES52" s="25"/>
      <c r="ET52" s="25"/>
      <c r="EU52" s="25"/>
      <c r="EV52" s="25"/>
      <c r="EW52" s="25"/>
      <c r="EX52" s="25"/>
      <c r="EY52" s="47"/>
      <c r="EZ52" s="16"/>
      <c r="FA52" s="47"/>
      <c r="FB52" s="47"/>
    </row>
    <row r="53" spans="2:167" s="26" customFormat="1" hidden="1" x14ac:dyDescent="0.2">
      <c r="B53" s="3" t="s">
        <v>480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4"/>
      <c r="AX53" s="67">
        <v>104</v>
      </c>
      <c r="AY53" s="67">
        <v>96</v>
      </c>
      <c r="AZ53" s="67">
        <v>86</v>
      </c>
      <c r="BA53" s="67">
        <v>75</v>
      </c>
      <c r="BB53" s="67">
        <v>83</v>
      </c>
      <c r="BC53" s="67">
        <v>84</v>
      </c>
      <c r="BD53" s="67">
        <v>79</v>
      </c>
      <c r="BE53" s="67">
        <v>80</v>
      </c>
      <c r="BF53" s="67">
        <v>81</v>
      </c>
      <c r="BG53" s="67">
        <v>78</v>
      </c>
      <c r="BH53" s="67">
        <v>75</v>
      </c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5"/>
      <c r="EE53" s="25">
        <v>289</v>
      </c>
      <c r="EF53" s="25">
        <v>329</v>
      </c>
      <c r="EG53" s="25">
        <v>392</v>
      </c>
      <c r="EH53" s="25">
        <f t="shared" si="69"/>
        <v>361</v>
      </c>
      <c r="EI53" s="25">
        <f t="shared" si="70"/>
        <v>326</v>
      </c>
      <c r="EJ53" s="25"/>
      <c r="EK53" s="25"/>
      <c r="EL53" s="25"/>
      <c r="EM53" s="25"/>
      <c r="EN53" s="25"/>
      <c r="EO53" s="25">
        <f t="shared" si="68"/>
        <v>0</v>
      </c>
      <c r="EP53" s="25">
        <f t="shared" si="45"/>
        <v>0</v>
      </c>
      <c r="EQ53" s="25">
        <f t="shared" si="46"/>
        <v>0</v>
      </c>
      <c r="ER53" s="25"/>
      <c r="ES53" s="25"/>
      <c r="ET53" s="25"/>
      <c r="EU53" s="25"/>
      <c r="EV53" s="25"/>
      <c r="EW53" s="25"/>
      <c r="EX53" s="25"/>
      <c r="EY53" s="47"/>
      <c r="EZ53" s="16"/>
      <c r="FA53" s="47"/>
      <c r="FB53" s="47"/>
    </row>
    <row r="54" spans="2:167" s="26" customFormat="1" hidden="1" x14ac:dyDescent="0.2">
      <c r="B54" s="3" t="s">
        <v>482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4"/>
      <c r="AX54" s="67">
        <v>0</v>
      </c>
      <c r="AY54" s="67">
        <v>17</v>
      </c>
      <c r="AZ54" s="67">
        <v>6</v>
      </c>
      <c r="BA54" s="67">
        <v>15</v>
      </c>
      <c r="BB54" s="67">
        <v>16</v>
      </c>
      <c r="BC54" s="67">
        <v>25</v>
      </c>
      <c r="BD54" s="67">
        <v>28</v>
      </c>
      <c r="BE54" s="67">
        <v>35</v>
      </c>
      <c r="BF54" s="67">
        <v>27</v>
      </c>
      <c r="BG54" s="67">
        <v>37</v>
      </c>
      <c r="BH54" s="67">
        <v>37</v>
      </c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5"/>
      <c r="EE54" s="25">
        <v>0</v>
      </c>
      <c r="EF54" s="25">
        <v>0</v>
      </c>
      <c r="EG54" s="25">
        <v>0</v>
      </c>
      <c r="EH54" s="25">
        <f t="shared" si="69"/>
        <v>38</v>
      </c>
      <c r="EI54" s="25">
        <f t="shared" si="70"/>
        <v>104</v>
      </c>
      <c r="EJ54" s="25"/>
      <c r="EK54" s="25"/>
      <c r="EL54" s="25"/>
      <c r="EM54" s="25"/>
      <c r="EN54" s="25"/>
      <c r="EO54" s="25">
        <f t="shared" si="68"/>
        <v>0</v>
      </c>
      <c r="EP54" s="25">
        <f t="shared" si="45"/>
        <v>0</v>
      </c>
      <c r="EQ54" s="25">
        <f t="shared" si="46"/>
        <v>0</v>
      </c>
      <c r="ER54" s="25"/>
      <c r="ES54" s="25"/>
      <c r="ET54" s="25"/>
      <c r="EU54" s="25"/>
      <c r="EV54" s="25"/>
      <c r="EW54" s="25"/>
      <c r="EX54" s="25"/>
      <c r="EY54" s="47"/>
      <c r="EZ54" s="16"/>
      <c r="FA54" s="47"/>
      <c r="FB54" s="47"/>
    </row>
    <row r="55" spans="2:167" s="26" customFormat="1" hidden="1" x14ac:dyDescent="0.2">
      <c r="B55" s="3" t="s">
        <v>483</v>
      </c>
      <c r="C55" s="23"/>
      <c r="D55" s="23"/>
      <c r="E55" s="23"/>
      <c r="F55" s="23"/>
      <c r="G55" s="23"/>
      <c r="H55" s="23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4"/>
      <c r="AX55" s="67">
        <v>11</v>
      </c>
      <c r="AY55" s="67">
        <v>11</v>
      </c>
      <c r="AZ55" s="67">
        <v>11</v>
      </c>
      <c r="BA55" s="67">
        <v>12</v>
      </c>
      <c r="BB55" s="67">
        <v>11</v>
      </c>
      <c r="BC55" s="67">
        <v>15</v>
      </c>
      <c r="BD55" s="67">
        <v>15</v>
      </c>
      <c r="BE55" s="67">
        <v>16</v>
      </c>
      <c r="BF55" s="67">
        <v>13</v>
      </c>
      <c r="BG55" s="67">
        <v>16</v>
      </c>
      <c r="BH55" s="67">
        <v>17</v>
      </c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5"/>
      <c r="EE55" s="25">
        <v>0</v>
      </c>
      <c r="EF55" s="25">
        <v>0</v>
      </c>
      <c r="EG55" s="25">
        <v>0</v>
      </c>
      <c r="EH55" s="25">
        <f t="shared" si="69"/>
        <v>45</v>
      </c>
      <c r="EI55" s="25">
        <f t="shared" si="70"/>
        <v>57</v>
      </c>
      <c r="EJ55" s="25"/>
      <c r="EK55" s="25"/>
      <c r="EL55" s="25"/>
      <c r="EM55" s="25"/>
      <c r="EN55" s="25"/>
      <c r="EO55" s="25">
        <f t="shared" si="68"/>
        <v>0</v>
      </c>
      <c r="EP55" s="25">
        <f t="shared" si="45"/>
        <v>0</v>
      </c>
      <c r="EQ55" s="25">
        <f t="shared" si="46"/>
        <v>0</v>
      </c>
      <c r="ER55" s="25"/>
      <c r="ES55" s="25"/>
      <c r="ET55" s="25"/>
      <c r="EU55" s="25"/>
      <c r="EV55" s="25"/>
      <c r="EW55" s="25"/>
      <c r="EX55" s="25"/>
      <c r="EY55" s="47"/>
      <c r="EZ55" s="16"/>
      <c r="FA55" s="47"/>
      <c r="FB55" s="47"/>
    </row>
    <row r="56" spans="2:167" s="26" customFormat="1" hidden="1" x14ac:dyDescent="0.2">
      <c r="B56" s="3" t="s">
        <v>35</v>
      </c>
      <c r="C56" s="23"/>
      <c r="D56" s="23"/>
      <c r="E56" s="23"/>
      <c r="F56" s="23"/>
      <c r="G56" s="23"/>
      <c r="H56" s="23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4"/>
      <c r="AX56" s="67">
        <v>102</v>
      </c>
      <c r="AY56" s="67">
        <v>95</v>
      </c>
      <c r="AZ56" s="67">
        <v>99</v>
      </c>
      <c r="BA56" s="67">
        <v>87</v>
      </c>
      <c r="BB56" s="67">
        <v>104</v>
      </c>
      <c r="BC56" s="67">
        <v>109</v>
      </c>
      <c r="BD56" s="67">
        <v>107</v>
      </c>
      <c r="BE56" s="67">
        <v>87</v>
      </c>
      <c r="BF56" s="67">
        <v>60</v>
      </c>
      <c r="BG56" s="67">
        <v>57</v>
      </c>
      <c r="BH56" s="67">
        <v>53</v>
      </c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5"/>
      <c r="EE56" s="25">
        <v>0</v>
      </c>
      <c r="EF56" s="25">
        <v>0</v>
      </c>
      <c r="EG56" s="25">
        <v>223</v>
      </c>
      <c r="EH56" s="25">
        <f t="shared" si="69"/>
        <v>383</v>
      </c>
      <c r="EI56" s="25">
        <f t="shared" si="70"/>
        <v>407</v>
      </c>
      <c r="EJ56" s="25"/>
      <c r="EK56" s="25"/>
      <c r="EL56" s="25"/>
      <c r="EM56" s="25"/>
      <c r="EN56" s="25"/>
      <c r="EO56" s="25">
        <f t="shared" si="68"/>
        <v>0</v>
      </c>
      <c r="EP56" s="25">
        <f t="shared" si="45"/>
        <v>0</v>
      </c>
      <c r="EQ56" s="25">
        <f t="shared" si="46"/>
        <v>0</v>
      </c>
      <c r="ER56" s="25"/>
      <c r="ES56" s="25"/>
      <c r="ET56" s="25"/>
      <c r="EU56" s="25"/>
      <c r="EV56" s="25"/>
      <c r="EW56" s="25"/>
      <c r="EX56" s="25"/>
      <c r="EY56" s="47"/>
      <c r="EZ56" s="16"/>
      <c r="FA56" s="47"/>
      <c r="FB56" s="47"/>
    </row>
    <row r="57" spans="2:167" s="26" customFormat="1" x14ac:dyDescent="0.2">
      <c r="B57" s="3" t="s">
        <v>726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>
        <v>31</v>
      </c>
      <c r="W57" s="25"/>
      <c r="X57" s="25"/>
      <c r="Y57" s="25"/>
      <c r="Z57" s="25"/>
      <c r="AA57" s="25">
        <v>155</v>
      </c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4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>
        <v>32</v>
      </c>
      <c r="CE57" s="67">
        <v>60</v>
      </c>
      <c r="CF57" s="67">
        <v>65</v>
      </c>
      <c r="CG57" s="67">
        <v>77</v>
      </c>
      <c r="CH57" s="67">
        <v>84</v>
      </c>
      <c r="CI57" s="67">
        <v>87</v>
      </c>
      <c r="CJ57" s="67">
        <v>89</v>
      </c>
      <c r="CK57" s="67">
        <v>94</v>
      </c>
      <c r="CL57" s="67">
        <v>79</v>
      </c>
      <c r="CM57" s="67">
        <v>76</v>
      </c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>
        <f t="shared" si="45"/>
        <v>234</v>
      </c>
      <c r="EQ57" s="25">
        <f t="shared" si="46"/>
        <v>354</v>
      </c>
      <c r="ER57" s="25">
        <f>+EQ57*1.1</f>
        <v>389.40000000000003</v>
      </c>
      <c r="ES57" s="25">
        <f t="shared" ref="ES57:EV57" si="71">+ER57*1.1</f>
        <v>428.34000000000009</v>
      </c>
      <c r="ET57" s="25">
        <f t="shared" si="71"/>
        <v>471.17400000000015</v>
      </c>
      <c r="EU57" s="25">
        <f t="shared" si="71"/>
        <v>518.29140000000018</v>
      </c>
      <c r="EV57" s="25">
        <f t="shared" si="71"/>
        <v>570.12054000000023</v>
      </c>
      <c r="EW57" s="25"/>
      <c r="EX57" s="25"/>
      <c r="EY57" s="47"/>
      <c r="EZ57" s="16"/>
      <c r="FA57" s="47"/>
      <c r="FB57" s="47"/>
    </row>
    <row r="58" spans="2:167" s="26" customFormat="1" x14ac:dyDescent="0.2">
      <c r="B58" s="15" t="s">
        <v>37</v>
      </c>
      <c r="C58" s="23"/>
      <c r="D58" s="23"/>
      <c r="E58" s="23"/>
      <c r="F58" s="23"/>
      <c r="G58" s="23"/>
      <c r="H58" s="23"/>
      <c r="I58" s="25">
        <v>614</v>
      </c>
      <c r="J58" s="25">
        <f>927-I58</f>
        <v>313</v>
      </c>
      <c r="K58" s="25">
        <v>216</v>
      </c>
      <c r="L58" s="25">
        <f>416-K58</f>
        <v>200</v>
      </c>
      <c r="M58" s="25">
        <v>204</v>
      </c>
      <c r="N58" s="25">
        <f>399-M58</f>
        <v>195</v>
      </c>
      <c r="O58" s="25">
        <v>176</v>
      </c>
      <c r="P58" s="25">
        <f>SUM(BP58:BQ58)</f>
        <v>168</v>
      </c>
      <c r="Q58" s="25">
        <f>SUM(BR58:BS58)</f>
        <v>164</v>
      </c>
      <c r="R58" s="25">
        <f>BT58+BU58</f>
        <v>143</v>
      </c>
      <c r="S58" s="25">
        <v>165</v>
      </c>
      <c r="T58" s="25">
        <f>+BY58+BX58</f>
        <v>146</v>
      </c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4"/>
      <c r="AX58" s="67">
        <v>369</v>
      </c>
      <c r="AY58" s="67">
        <v>305</v>
      </c>
      <c r="AZ58" s="67">
        <v>307</v>
      </c>
      <c r="BA58" s="67">
        <v>321</v>
      </c>
      <c r="BB58" s="67">
        <v>330</v>
      </c>
      <c r="BC58" s="67">
        <v>284</v>
      </c>
      <c r="BD58" s="67">
        <v>152</v>
      </c>
      <c r="BE58" s="67">
        <v>161</v>
      </c>
      <c r="BF58" s="67">
        <v>110</v>
      </c>
      <c r="BG58" s="67">
        <v>106</v>
      </c>
      <c r="BH58" s="67">
        <v>96</v>
      </c>
      <c r="BI58" s="67">
        <v>104</v>
      </c>
      <c r="BJ58" s="67">
        <v>100</v>
      </c>
      <c r="BK58" s="67">
        <v>104</v>
      </c>
      <c r="BL58" s="67">
        <v>95</v>
      </c>
      <c r="BM58" s="67">
        <v>100</v>
      </c>
      <c r="BN58" s="67">
        <v>91</v>
      </c>
      <c r="BO58" s="67">
        <v>85</v>
      </c>
      <c r="BP58" s="67">
        <v>76</v>
      </c>
      <c r="BQ58" s="67">
        <v>92</v>
      </c>
      <c r="BR58" s="67">
        <v>77</v>
      </c>
      <c r="BS58" s="67">
        <v>87</v>
      </c>
      <c r="BT58" s="67">
        <v>73</v>
      </c>
      <c r="BU58" s="67">
        <v>70</v>
      </c>
      <c r="BV58" s="67">
        <v>82</v>
      </c>
      <c r="BW58" s="67">
        <f>+S58-BV58</f>
        <v>83</v>
      </c>
      <c r="BX58" s="67">
        <f>242-BW58-BV58</f>
        <v>77</v>
      </c>
      <c r="BY58" s="67">
        <v>69</v>
      </c>
      <c r="BZ58" s="67"/>
      <c r="CA58" s="67"/>
      <c r="CB58" s="67"/>
      <c r="CC58" s="67"/>
      <c r="CD58" s="67">
        <v>73</v>
      </c>
      <c r="CE58" s="67">
        <v>60</v>
      </c>
      <c r="CF58" s="67">
        <v>65</v>
      </c>
      <c r="CG58" s="67">
        <v>68</v>
      </c>
      <c r="CH58" s="67">
        <v>68</v>
      </c>
      <c r="CI58" s="67">
        <v>70</v>
      </c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5"/>
      <c r="EE58" s="25">
        <v>1755</v>
      </c>
      <c r="EF58" s="25">
        <v>1548</v>
      </c>
      <c r="EG58" s="25">
        <v>1375</v>
      </c>
      <c r="EH58" s="25">
        <f>SUM(AX58:BA58)</f>
        <v>1302</v>
      </c>
      <c r="EI58" s="25">
        <f>SUM(BB58:BE58)</f>
        <v>927</v>
      </c>
      <c r="EJ58" s="25">
        <f>SUM(K58:L58)</f>
        <v>416</v>
      </c>
      <c r="EK58" s="25">
        <f>SUM(M58:N58)</f>
        <v>399</v>
      </c>
      <c r="EL58" s="25">
        <f>SUM(BN58:BQ58)</f>
        <v>344</v>
      </c>
      <c r="EM58" s="25">
        <f>SUM(BR58:BU58)</f>
        <v>307</v>
      </c>
      <c r="EN58" s="25">
        <f>SUM(BV58:BY58)</f>
        <v>311</v>
      </c>
      <c r="EO58" s="25"/>
      <c r="EP58" s="25">
        <f t="shared" si="45"/>
        <v>266</v>
      </c>
      <c r="EQ58" s="25">
        <f t="shared" si="46"/>
        <v>138</v>
      </c>
      <c r="ER58" s="25"/>
      <c r="ES58" s="25"/>
      <c r="ET58" s="25"/>
      <c r="EU58" s="25"/>
      <c r="EV58" s="25"/>
      <c r="EW58" s="25"/>
      <c r="EX58" s="25">
        <v>252</v>
      </c>
      <c r="EY58" s="25">
        <v>244</v>
      </c>
      <c r="EZ58" s="16"/>
      <c r="FA58" s="47"/>
      <c r="FB58" s="47"/>
    </row>
    <row r="59" spans="2:167" s="26" customFormat="1" x14ac:dyDescent="0.2">
      <c r="B59" s="3"/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4"/>
      <c r="AX59" s="94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>
        <v>300</v>
      </c>
      <c r="ES59" s="25">
        <v>400</v>
      </c>
      <c r="ET59" s="25">
        <v>500</v>
      </c>
      <c r="EU59" s="25">
        <v>600</v>
      </c>
      <c r="EV59" s="25">
        <v>600</v>
      </c>
      <c r="EW59" s="25">
        <v>600</v>
      </c>
      <c r="EX59" s="25"/>
      <c r="EY59" s="47"/>
      <c r="EZ59" s="16"/>
      <c r="FA59" s="47"/>
      <c r="FB59" s="47"/>
    </row>
    <row r="60" spans="2:167" s="26" customFormat="1" x14ac:dyDescent="0.2">
      <c r="B60" s="3" t="s">
        <v>341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69">
        <f>Q8+Q4+Q5-SUM(Q14:Q47)</f>
        <v>2736</v>
      </c>
      <c r="R60" s="69">
        <f>R8+R4+R5-SUM(R14:R47)</f>
        <v>425</v>
      </c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94"/>
      <c r="AX60" s="67">
        <v>1354</v>
      </c>
      <c r="AY60" s="67">
        <v>1389</v>
      </c>
      <c r="AZ60" s="67">
        <v>1247</v>
      </c>
      <c r="BA60" s="67">
        <v>1287</v>
      </c>
      <c r="BB60" s="67">
        <v>1332</v>
      </c>
      <c r="BC60" s="67">
        <v>1387.7282626022334</v>
      </c>
      <c r="BD60" s="67">
        <v>1301.2717373977657</v>
      </c>
      <c r="BE60" s="67">
        <v>1442</v>
      </c>
      <c r="BF60" s="67">
        <v>1278</v>
      </c>
      <c r="BG60" s="67">
        <v>1338</v>
      </c>
      <c r="BH60" s="67">
        <v>1286.2578675886843</v>
      </c>
      <c r="BI60" s="67">
        <v>1242.1465217449652</v>
      </c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25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>
        <v>787</v>
      </c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5"/>
      <c r="EE60" s="25">
        <v>7640</v>
      </c>
      <c r="EF60" s="25">
        <v>6710</v>
      </c>
      <c r="EG60" s="25">
        <v>6004</v>
      </c>
      <c r="EH60" s="25">
        <f>SUM(AX60:BA60)</f>
        <v>5277</v>
      </c>
      <c r="EI60" s="25">
        <f>SUM(BB60:BE60)</f>
        <v>5462.9999999999991</v>
      </c>
      <c r="EJ60" s="25">
        <f>SUM(BF60:BI60)</f>
        <v>5144.4043893336493</v>
      </c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47"/>
      <c r="EZ60" s="16"/>
      <c r="FA60" s="47"/>
      <c r="FB60" s="47"/>
    </row>
    <row r="61" spans="2:167" s="26" customFormat="1" x14ac:dyDescent="0.2">
      <c r="B61" s="3" t="s">
        <v>18</v>
      </c>
      <c r="C61" s="23"/>
      <c r="D61" s="23"/>
      <c r="E61" s="23"/>
      <c r="F61" s="23"/>
      <c r="G61" s="23"/>
      <c r="H61" s="23"/>
      <c r="I61" s="27">
        <f t="shared" ref="I61:P61" si="72">I8+I4+I5-SUM(I14:I47)</f>
        <v>4630</v>
      </c>
      <c r="J61" s="27">
        <f t="shared" si="72"/>
        <v>4141</v>
      </c>
      <c r="K61" s="27">
        <f t="shared" si="72"/>
        <v>4030</v>
      </c>
      <c r="L61" s="27">
        <f t="shared" si="72"/>
        <v>3927</v>
      </c>
      <c r="M61" s="27">
        <f t="shared" si="72"/>
        <v>3743</v>
      </c>
      <c r="N61" s="27">
        <f t="shared" si="72"/>
        <v>3798</v>
      </c>
      <c r="O61" s="27">
        <f t="shared" si="72"/>
        <v>2982</v>
      </c>
      <c r="P61" s="27">
        <f t="shared" si="72"/>
        <v>3067</v>
      </c>
      <c r="Q61" s="47"/>
      <c r="R61" s="27"/>
      <c r="S61" s="27">
        <f>+BV61+BW61</f>
        <v>2462</v>
      </c>
      <c r="T61" s="27">
        <f>+BY61+BX61</f>
        <v>2285</v>
      </c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25">
        <f t="shared" ref="BH61:BT61" si="73">BH4+BH5+BH8-SUM(BH14:BH47)</f>
        <v>1759.910722056241</v>
      </c>
      <c r="BI61" s="25">
        <f t="shared" si="73"/>
        <v>1801.2622756988276</v>
      </c>
      <c r="BJ61" s="25">
        <f t="shared" si="73"/>
        <v>1781</v>
      </c>
      <c r="BK61" s="25">
        <f t="shared" si="73"/>
        <v>1810</v>
      </c>
      <c r="BL61" s="25">
        <f t="shared" si="73"/>
        <v>1740</v>
      </c>
      <c r="BM61" s="25">
        <f t="shared" si="73"/>
        <v>1899</v>
      </c>
      <c r="BN61" s="25">
        <f t="shared" si="73"/>
        <v>1487</v>
      </c>
      <c r="BO61" s="25">
        <f t="shared" si="73"/>
        <v>1492</v>
      </c>
      <c r="BP61" s="25">
        <f t="shared" si="73"/>
        <v>1483</v>
      </c>
      <c r="BQ61" s="25">
        <f t="shared" si="73"/>
        <v>1584</v>
      </c>
      <c r="BR61" s="25">
        <f t="shared" si="73"/>
        <v>1319</v>
      </c>
      <c r="BS61" s="25">
        <f t="shared" si="73"/>
        <v>1417</v>
      </c>
      <c r="BT61" s="25">
        <f t="shared" si="73"/>
        <v>1311</v>
      </c>
      <c r="BU61" s="25">
        <f t="shared" ref="BU61:CC61" si="74">BU4+BU5+BU7+BU8-SUM(BU14:BU60)</f>
        <v>1192</v>
      </c>
      <c r="BV61" s="25">
        <f t="shared" si="74"/>
        <v>1215</v>
      </c>
      <c r="BW61" s="25">
        <f t="shared" si="74"/>
        <v>1247</v>
      </c>
      <c r="BX61" s="25">
        <f t="shared" si="74"/>
        <v>1193</v>
      </c>
      <c r="BY61" s="25">
        <f t="shared" si="74"/>
        <v>1092</v>
      </c>
      <c r="BZ61" s="25">
        <f t="shared" si="74"/>
        <v>1126</v>
      </c>
      <c r="CA61" s="25">
        <f t="shared" si="74"/>
        <v>1106</v>
      </c>
      <c r="CB61" s="25">
        <f t="shared" si="74"/>
        <v>1027</v>
      </c>
      <c r="CC61" s="25">
        <f t="shared" si="74"/>
        <v>1127</v>
      </c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5"/>
      <c r="EE61" s="25"/>
      <c r="EF61" s="25"/>
      <c r="EG61" s="25"/>
      <c r="EH61" s="25"/>
      <c r="EI61" s="25"/>
      <c r="EJ61" s="25">
        <f>SUM(K61:L61)</f>
        <v>7957</v>
      </c>
      <c r="EK61" s="25">
        <f>SUM(M61:N61)</f>
        <v>7541</v>
      </c>
      <c r="EL61" s="25">
        <f>SUM(BN61:BQ61)</f>
        <v>6046</v>
      </c>
      <c r="EM61" s="25">
        <f>SUM(BR61:BU61)</f>
        <v>5239</v>
      </c>
      <c r="EN61" s="25">
        <f>SUM(BV61:BY61)</f>
        <v>4747</v>
      </c>
      <c r="EO61" s="25">
        <f>SUM(BZ61:CC61)</f>
        <v>4386</v>
      </c>
      <c r="EP61" s="25"/>
      <c r="EQ61" s="25"/>
      <c r="ER61" s="25">
        <f t="shared" ref="ER61:EW61" si="75">EQ61*0.9</f>
        <v>0</v>
      </c>
      <c r="ES61" s="25">
        <f t="shared" si="75"/>
        <v>0</v>
      </c>
      <c r="ET61" s="25">
        <f t="shared" si="75"/>
        <v>0</v>
      </c>
      <c r="EU61" s="25">
        <f t="shared" si="75"/>
        <v>0</v>
      </c>
      <c r="EV61" s="25">
        <f t="shared" si="75"/>
        <v>0</v>
      </c>
      <c r="EW61" s="25">
        <f t="shared" si="75"/>
        <v>0</v>
      </c>
      <c r="EX61" s="25">
        <f>464+93+195+337+1758</f>
        <v>2847</v>
      </c>
      <c r="EY61" s="25">
        <f>1576+2+294+224+106+382</f>
        <v>2584</v>
      </c>
      <c r="EZ61" s="20"/>
      <c r="FA61" s="47"/>
      <c r="FB61" s="47"/>
      <c r="FD61" s="98"/>
    </row>
    <row r="62" spans="2:167" s="17" customFormat="1" x14ac:dyDescent="0.2">
      <c r="B62" s="17" t="s">
        <v>63</v>
      </c>
      <c r="C62" s="70">
        <v>12810</v>
      </c>
      <c r="D62" s="70">
        <v>14380</v>
      </c>
      <c r="E62" s="27">
        <v>14526</v>
      </c>
      <c r="F62" s="27">
        <v>14996</v>
      </c>
      <c r="G62" s="27"/>
      <c r="H62" s="27"/>
      <c r="I62" s="27">
        <f t="shared" ref="I62:Q62" si="76">+I4+I5+I6+I8</f>
        <v>16622</v>
      </c>
      <c r="J62" s="27">
        <f t="shared" si="76"/>
        <v>18889</v>
      </c>
      <c r="K62" s="27">
        <f t="shared" si="76"/>
        <v>19849</v>
      </c>
      <c r="L62" s="27">
        <f t="shared" si="76"/>
        <v>22192</v>
      </c>
      <c r="M62" s="27">
        <f t="shared" si="76"/>
        <v>22827</v>
      </c>
      <c r="N62" s="27">
        <f t="shared" si="76"/>
        <v>23306</v>
      </c>
      <c r="O62" s="27">
        <f t="shared" si="76"/>
        <v>22004</v>
      </c>
      <c r="P62" s="27">
        <f t="shared" si="76"/>
        <v>23613</v>
      </c>
      <c r="Q62" s="27">
        <f t="shared" si="76"/>
        <v>24006</v>
      </c>
      <c r="R62" s="27">
        <f>R6+R3</f>
        <v>25216</v>
      </c>
      <c r="S62" s="27">
        <f>SUM(S14:S61)+S6</f>
        <v>24636</v>
      </c>
      <c r="T62" s="27">
        <f>SUM(T14:T61)+T6</f>
        <v>22767</v>
      </c>
      <c r="U62" s="27">
        <f>SUM(U14:U61)+U6</f>
        <v>19439</v>
      </c>
      <c r="V62" s="27">
        <f>SUM(V14:V61)+V6</f>
        <v>18737</v>
      </c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9"/>
      <c r="AX62" s="49"/>
      <c r="AY62" s="24"/>
      <c r="AZ62" s="24"/>
      <c r="BA62" s="24"/>
      <c r="BB62" s="24"/>
      <c r="BC62" s="24"/>
      <c r="BD62" s="24"/>
      <c r="BE62" s="24"/>
      <c r="BF62" s="24"/>
      <c r="BG62" s="24"/>
      <c r="BH62" s="27">
        <f t="shared" ref="BH62:BU62" si="77">SUM(BH14:BH61)+BH6</f>
        <v>12262.168589644923</v>
      </c>
      <c r="BI62" s="27">
        <f t="shared" si="77"/>
        <v>13158.408797443793</v>
      </c>
      <c r="BJ62" s="27">
        <f t="shared" si="77"/>
        <v>11726</v>
      </c>
      <c r="BK62" s="27">
        <f t="shared" si="77"/>
        <v>11849</v>
      </c>
      <c r="BL62" s="27">
        <f t="shared" si="77"/>
        <v>11476</v>
      </c>
      <c r="BM62" s="27">
        <f t="shared" si="77"/>
        <v>12538</v>
      </c>
      <c r="BN62" s="27">
        <f t="shared" si="77"/>
        <v>11082</v>
      </c>
      <c r="BO62" s="27">
        <f t="shared" si="77"/>
        <v>11362</v>
      </c>
      <c r="BP62" s="27">
        <f t="shared" si="77"/>
        <v>11503</v>
      </c>
      <c r="BQ62" s="27">
        <f t="shared" si="77"/>
        <v>12516</v>
      </c>
      <c r="BR62" s="27">
        <f t="shared" si="77"/>
        <v>11757</v>
      </c>
      <c r="BS62" s="27">
        <f t="shared" si="77"/>
        <v>12622</v>
      </c>
      <c r="BT62" s="27">
        <f t="shared" si="77"/>
        <v>12564</v>
      </c>
      <c r="BU62" s="27">
        <f t="shared" si="77"/>
        <v>12652</v>
      </c>
      <c r="BV62" s="27">
        <f>SUM(BV14:BV60)+BV6</f>
        <v>11030</v>
      </c>
      <c r="BW62" s="27">
        <f t="shared" ref="BW62:CC62" si="78">SUM(BW14:BW61)+BW6</f>
        <v>12391</v>
      </c>
      <c r="BX62" s="27">
        <f t="shared" si="78"/>
        <v>11491</v>
      </c>
      <c r="BY62" s="27">
        <f t="shared" si="78"/>
        <v>11346</v>
      </c>
      <c r="BZ62" s="27">
        <f t="shared" si="78"/>
        <v>11120</v>
      </c>
      <c r="CA62" s="27">
        <f t="shared" si="78"/>
        <v>10551</v>
      </c>
      <c r="CB62" s="27">
        <f t="shared" si="78"/>
        <v>9821</v>
      </c>
      <c r="CC62" s="27">
        <f t="shared" si="78"/>
        <v>11039</v>
      </c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E62" s="27"/>
      <c r="EF62" s="27">
        <v>26066</v>
      </c>
      <c r="EG62" s="27">
        <v>27190</v>
      </c>
      <c r="EH62" s="27">
        <v>29522</v>
      </c>
      <c r="EI62" s="27">
        <f>I62+J62</f>
        <v>35511</v>
      </c>
      <c r="EJ62" s="27">
        <f>L62+K62</f>
        <v>42041</v>
      </c>
      <c r="EK62" s="27">
        <f>N62+M62</f>
        <v>46133</v>
      </c>
      <c r="EL62" s="27">
        <f>SUM(EL14:EL61,EL6)</f>
        <v>46463</v>
      </c>
      <c r="EM62" s="27">
        <f>SUM(EM14:EM61,EM6)</f>
        <v>49595</v>
      </c>
      <c r="EN62" s="27">
        <f>SUM(EN14:EN61)+EN6</f>
        <v>47326</v>
      </c>
      <c r="EO62" s="27">
        <f>EO3+EO6</f>
        <v>42531</v>
      </c>
      <c r="EP62" s="27">
        <f t="shared" ref="EP62" si="79">SUM(EP14:EP61)+EP6</f>
        <v>30432</v>
      </c>
      <c r="EQ62" s="27">
        <v>46780</v>
      </c>
      <c r="ER62" s="27">
        <v>47462</v>
      </c>
      <c r="ES62" s="27">
        <v>47581</v>
      </c>
      <c r="ET62" s="27">
        <v>48149</v>
      </c>
      <c r="EU62" s="27">
        <v>45104</v>
      </c>
      <c r="EV62" s="27">
        <v>46273</v>
      </c>
      <c r="EW62" s="27">
        <v>51837</v>
      </c>
      <c r="EX62" s="27">
        <f>SUM(EX9:EX61)+EX6</f>
        <v>58323</v>
      </c>
      <c r="EY62" s="27">
        <f>SUM(EY9:EY61)+EY6</f>
        <v>62801</v>
      </c>
      <c r="EZ62" s="27">
        <f>SUM(EZ9:EZ61)+EZ6</f>
        <v>59812.549999999988</v>
      </c>
      <c r="FA62" s="49"/>
      <c r="FB62" s="49"/>
    </row>
    <row r="63" spans="2:167" x14ac:dyDescent="0.2">
      <c r="B63" s="15" t="s">
        <v>64</v>
      </c>
      <c r="C63" s="71"/>
      <c r="D63" s="71"/>
      <c r="E63" s="25">
        <v>790</v>
      </c>
      <c r="F63" s="25">
        <v>860</v>
      </c>
      <c r="G63" s="71">
        <v>710</v>
      </c>
      <c r="H63" s="25"/>
      <c r="I63" s="25">
        <v>710</v>
      </c>
      <c r="J63" s="25">
        <f>1447-I63</f>
        <v>737</v>
      </c>
      <c r="K63" s="25">
        <v>727</v>
      </c>
      <c r="L63" s="25">
        <f>1466-K63</f>
        <v>739</v>
      </c>
      <c r="M63" s="25">
        <f>1191-492-74-22-2</f>
        <v>601</v>
      </c>
      <c r="N63" s="25">
        <f>2243-M63-259-722-55-5</f>
        <v>601</v>
      </c>
      <c r="O63" s="25">
        <v>1136</v>
      </c>
      <c r="P63" s="25">
        <f>+O63+15</f>
        <v>1151</v>
      </c>
      <c r="Q63" s="25">
        <v>1116</v>
      </c>
      <c r="R63" s="25">
        <f>2100-Q63</f>
        <v>984</v>
      </c>
      <c r="S63" s="25">
        <v>878</v>
      </c>
      <c r="T63" s="25">
        <f>1694-S63</f>
        <v>816</v>
      </c>
      <c r="U63" s="25"/>
      <c r="V63" s="25"/>
      <c r="W63" s="25"/>
      <c r="X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EE63" s="25"/>
      <c r="EF63" s="25"/>
      <c r="EG63" s="25"/>
      <c r="EH63" s="25">
        <v>1570</v>
      </c>
      <c r="EI63" s="25">
        <f>I63+J63</f>
        <v>1447</v>
      </c>
      <c r="EJ63" s="25">
        <f>L63+K63</f>
        <v>1466</v>
      </c>
      <c r="EK63" s="25">
        <f>N63+M63</f>
        <v>1202</v>
      </c>
      <c r="EL63" s="25">
        <f>SUM(O63:P63)</f>
        <v>2287</v>
      </c>
      <c r="EM63" s="25">
        <f>SUM(Q63:R63)</f>
        <v>2100</v>
      </c>
      <c r="EN63" s="25">
        <f>T63+S63</f>
        <v>1694</v>
      </c>
      <c r="EO63" s="25">
        <v>1582</v>
      </c>
      <c r="EP63" s="25">
        <f t="shared" ref="EP63:EW63" si="80">EO63</f>
        <v>1582</v>
      </c>
      <c r="EQ63" s="25">
        <f t="shared" si="80"/>
        <v>1582</v>
      </c>
      <c r="ER63" s="25">
        <f t="shared" si="80"/>
        <v>1582</v>
      </c>
      <c r="ES63" s="25">
        <f t="shared" si="80"/>
        <v>1582</v>
      </c>
      <c r="ET63" s="25">
        <f t="shared" si="80"/>
        <v>1582</v>
      </c>
      <c r="EU63" s="25">
        <f t="shared" si="80"/>
        <v>1582</v>
      </c>
      <c r="EV63" s="25">
        <f t="shared" si="80"/>
        <v>1582</v>
      </c>
      <c r="EW63" s="25">
        <f t="shared" si="80"/>
        <v>1582</v>
      </c>
      <c r="EX63" s="25">
        <v>2020</v>
      </c>
      <c r="EY63" s="23">
        <v>3049</v>
      </c>
    </row>
    <row r="64" spans="2:167" s="17" customFormat="1" x14ac:dyDescent="0.2">
      <c r="B64" s="15" t="s">
        <v>13</v>
      </c>
      <c r="C64" s="25">
        <v>2895</v>
      </c>
      <c r="D64" s="25">
        <v>3202</v>
      </c>
      <c r="E64" s="25">
        <v>3193</v>
      </c>
      <c r="F64" s="25">
        <v>3363</v>
      </c>
      <c r="G64" s="25">
        <v>3760</v>
      </c>
      <c r="H64" s="25">
        <v>3958</v>
      </c>
      <c r="I64" s="25">
        <v>4348</v>
      </c>
      <c r="J64" s="25">
        <f>9304-I64</f>
        <v>4956</v>
      </c>
      <c r="K64" s="25">
        <v>4934</v>
      </c>
      <c r="L64" s="25">
        <f>10616-K64</f>
        <v>5682</v>
      </c>
      <c r="M64" s="25">
        <v>5629</v>
      </c>
      <c r="N64" s="72">
        <f>13743-M64</f>
        <v>8114</v>
      </c>
      <c r="O64" s="25">
        <v>6532</v>
      </c>
      <c r="P64" s="25">
        <f>O64+597</f>
        <v>7129</v>
      </c>
      <c r="Q64" s="25">
        <v>7100</v>
      </c>
      <c r="R64" s="25">
        <f>14615-Q64</f>
        <v>7515</v>
      </c>
      <c r="S64" s="25">
        <v>6870</v>
      </c>
      <c r="T64" s="25">
        <f>13293-S64</f>
        <v>6423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5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94"/>
      <c r="DB64" s="94"/>
      <c r="DC64" s="94"/>
      <c r="DD64" s="94"/>
      <c r="DE64" s="94"/>
      <c r="DF64" s="94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94"/>
      <c r="EA64" s="94"/>
      <c r="EB64" s="94"/>
      <c r="EC64" s="94"/>
      <c r="ED64" s="5"/>
      <c r="EE64" s="25"/>
      <c r="EF64" s="25">
        <v>5984</v>
      </c>
      <c r="EG64" s="25">
        <v>6097</v>
      </c>
      <c r="EH64" s="25">
        <v>7718</v>
      </c>
      <c r="EI64" s="25">
        <f>I64+J64</f>
        <v>9304</v>
      </c>
      <c r="EJ64" s="25">
        <f>L64+K64</f>
        <v>10616</v>
      </c>
      <c r="EK64" s="25">
        <f>N64+M64</f>
        <v>13743</v>
      </c>
      <c r="EL64" s="25">
        <f>SUM(O64:P64)</f>
        <v>13661</v>
      </c>
      <c r="EM64" s="25">
        <f>SUM(Q64:R64)</f>
        <v>14615</v>
      </c>
      <c r="EN64" s="25">
        <f>T64+S64</f>
        <v>13293</v>
      </c>
      <c r="EO64" s="25">
        <v>11942</v>
      </c>
      <c r="EP64" s="25">
        <f t="shared" ref="EP64:EW64" si="81">EP62-EP65+EP63</f>
        <v>32014</v>
      </c>
      <c r="EQ64" s="25">
        <f t="shared" si="81"/>
        <v>48362</v>
      </c>
      <c r="ER64" s="25">
        <f t="shared" si="81"/>
        <v>49044</v>
      </c>
      <c r="ES64" s="25">
        <f t="shared" si="81"/>
        <v>49163</v>
      </c>
      <c r="ET64" s="25">
        <f t="shared" si="81"/>
        <v>49731</v>
      </c>
      <c r="EU64" s="25">
        <f t="shared" si="81"/>
        <v>46686</v>
      </c>
      <c r="EV64" s="25">
        <f t="shared" si="81"/>
        <v>47855</v>
      </c>
      <c r="EW64" s="25">
        <f t="shared" si="81"/>
        <v>53419</v>
      </c>
      <c r="EX64" s="25">
        <v>14567</v>
      </c>
      <c r="EY64" s="25">
        <v>18138</v>
      </c>
      <c r="FA64" s="49"/>
      <c r="FB64" s="49"/>
    </row>
    <row r="65" spans="2:231" s="17" customFormat="1" x14ac:dyDescent="0.2">
      <c r="B65" s="15" t="s">
        <v>0</v>
      </c>
      <c r="C65" s="25">
        <v>9915</v>
      </c>
      <c r="D65" s="25">
        <v>11178</v>
      </c>
      <c r="E65" s="25">
        <v>11333</v>
      </c>
      <c r="F65" s="25">
        <v>11633</v>
      </c>
      <c r="G65" s="25">
        <v>10766</v>
      </c>
      <c r="H65" s="25">
        <v>11038</v>
      </c>
      <c r="I65" s="25">
        <f t="shared" ref="I65:N65" si="82">I62-I64+I63</f>
        <v>12984</v>
      </c>
      <c r="J65" s="25">
        <f t="shared" si="82"/>
        <v>14670</v>
      </c>
      <c r="K65" s="25">
        <f t="shared" si="82"/>
        <v>15642</v>
      </c>
      <c r="L65" s="25">
        <f t="shared" si="82"/>
        <v>17249</v>
      </c>
      <c r="M65" s="25">
        <f>M62-M64+M63</f>
        <v>17799</v>
      </c>
      <c r="N65" s="25">
        <f t="shared" si="82"/>
        <v>15793</v>
      </c>
      <c r="O65" s="25">
        <f t="shared" ref="O65:T65" si="83">O62-O64+O63</f>
        <v>16608</v>
      </c>
      <c r="P65" s="25">
        <f t="shared" si="83"/>
        <v>17635</v>
      </c>
      <c r="Q65" s="25">
        <f t="shared" si="83"/>
        <v>18022</v>
      </c>
      <c r="R65" s="25">
        <f t="shared" si="83"/>
        <v>18685</v>
      </c>
      <c r="S65" s="25">
        <f t="shared" si="83"/>
        <v>18644</v>
      </c>
      <c r="T65" s="25">
        <f t="shared" si="83"/>
        <v>17160</v>
      </c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94"/>
      <c r="CY65" s="94"/>
      <c r="CZ65" s="94"/>
      <c r="DA65" s="94"/>
      <c r="DB65" s="94"/>
      <c r="DC65" s="94"/>
      <c r="DD65" s="94"/>
      <c r="DE65" s="94"/>
      <c r="DF65" s="94"/>
      <c r="DG65" s="94"/>
      <c r="DH65" s="94"/>
      <c r="DI65" s="94"/>
      <c r="DJ65" s="94"/>
      <c r="DK65" s="94"/>
      <c r="DL65" s="94"/>
      <c r="DM65" s="94"/>
      <c r="DN65" s="94"/>
      <c r="DO65" s="94"/>
      <c r="DP65" s="94"/>
      <c r="DQ65" s="94"/>
      <c r="DR65" s="94"/>
      <c r="DS65" s="94"/>
      <c r="DT65" s="94"/>
      <c r="DU65" s="94"/>
      <c r="DV65" s="94"/>
      <c r="DW65" s="94"/>
      <c r="DX65" s="94"/>
      <c r="DY65" s="94"/>
      <c r="DZ65" s="94"/>
      <c r="EA65" s="94"/>
      <c r="EB65" s="94"/>
      <c r="EC65" s="94"/>
      <c r="ED65" s="5"/>
      <c r="EE65" s="25"/>
      <c r="EF65" s="25">
        <v>20082</v>
      </c>
      <c r="EG65" s="25">
        <v>21093</v>
      </c>
      <c r="EH65" s="25">
        <v>21804</v>
      </c>
      <c r="EI65" s="25">
        <f t="shared" ref="EI65:EJ65" si="84">EI62+EI63-EI64</f>
        <v>27654</v>
      </c>
      <c r="EJ65" s="25">
        <f t="shared" si="84"/>
        <v>32891</v>
      </c>
      <c r="EK65" s="25">
        <f>EK62+EK63-EK64</f>
        <v>33592</v>
      </c>
      <c r="EL65" s="25">
        <f>EL62+EL63-EL64</f>
        <v>35089</v>
      </c>
      <c r="EM65" s="25">
        <f>SUM(Q65:R65)</f>
        <v>36707</v>
      </c>
      <c r="EN65" s="25">
        <f>EN62+EN63-EN64</f>
        <v>35727</v>
      </c>
      <c r="EO65" s="25">
        <f>EO62+EO63-EO64</f>
        <v>32171</v>
      </c>
      <c r="EP65" s="25">
        <f t="shared" ref="EP65:EW65" si="85">EP62*EP84</f>
        <v>0</v>
      </c>
      <c r="EQ65" s="25">
        <f t="shared" si="85"/>
        <v>0</v>
      </c>
      <c r="ER65" s="25">
        <f t="shared" si="85"/>
        <v>0</v>
      </c>
      <c r="ES65" s="25">
        <f t="shared" si="85"/>
        <v>0</v>
      </c>
      <c r="ET65" s="25">
        <f t="shared" si="85"/>
        <v>0</v>
      </c>
      <c r="EU65" s="25">
        <f t="shared" si="85"/>
        <v>0</v>
      </c>
      <c r="EV65" s="25">
        <f t="shared" si="85"/>
        <v>0</v>
      </c>
      <c r="EW65" s="25">
        <f t="shared" si="85"/>
        <v>0</v>
      </c>
      <c r="EX65" s="25">
        <f>EX62+EX63-EX64</f>
        <v>45776</v>
      </c>
      <c r="EY65" s="25">
        <f>EY62+EY63-EY64</f>
        <v>47712</v>
      </c>
      <c r="FA65" s="49"/>
      <c r="FB65" s="49"/>
    </row>
    <row r="66" spans="2:231" x14ac:dyDescent="0.2">
      <c r="B66" s="15" t="s">
        <v>186</v>
      </c>
      <c r="C66" s="25">
        <v>3658</v>
      </c>
      <c r="D66" s="25">
        <v>4159</v>
      </c>
      <c r="E66" s="25">
        <v>3983</v>
      </c>
      <c r="F66" s="25">
        <v>4292</v>
      </c>
      <c r="G66" s="25">
        <v>4000</v>
      </c>
      <c r="H66" s="25">
        <v>4338</v>
      </c>
      <c r="I66" s="25">
        <v>4409</v>
      </c>
      <c r="J66" s="25">
        <f>9625-I66</f>
        <v>5216</v>
      </c>
      <c r="K66" s="25">
        <v>5208</v>
      </c>
      <c r="L66" s="25">
        <f>10856-K66</f>
        <v>5648</v>
      </c>
      <c r="M66" s="25">
        <v>5552</v>
      </c>
      <c r="N66" s="72">
        <f>9327-M66</f>
        <v>3775</v>
      </c>
      <c r="O66" s="25">
        <v>4371</v>
      </c>
      <c r="P66" s="25">
        <f>O66+428</f>
        <v>4799</v>
      </c>
      <c r="Q66" s="25">
        <v>4567</v>
      </c>
      <c r="R66" s="25">
        <f>9475-Q66</f>
        <v>4908</v>
      </c>
      <c r="S66" s="25">
        <v>4546</v>
      </c>
      <c r="T66" s="25">
        <f>9488-S66</f>
        <v>4942</v>
      </c>
      <c r="U66" s="25"/>
      <c r="V66" s="25"/>
      <c r="W66" s="25"/>
      <c r="X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EE66" s="25"/>
      <c r="EF66" s="25">
        <v>7859</v>
      </c>
      <c r="EG66" s="25">
        <v>7817</v>
      </c>
      <c r="EH66" s="25">
        <v>8338</v>
      </c>
      <c r="EI66" s="25">
        <v>9507</v>
      </c>
      <c r="EJ66" s="25">
        <f>SUM(K66:L66)</f>
        <v>10856</v>
      </c>
      <c r="EK66" s="25">
        <f>N66+M66</f>
        <v>9327</v>
      </c>
      <c r="EL66" s="25">
        <f>SUM(O66:P66)</f>
        <v>9170</v>
      </c>
      <c r="EM66" s="25">
        <f t="shared" ref="EM66" si="86">SUM(Q66:R66)</f>
        <v>9475</v>
      </c>
      <c r="EN66" s="25">
        <f>T66+S66</f>
        <v>9488</v>
      </c>
      <c r="EO66" s="25">
        <v>8049</v>
      </c>
      <c r="EP66" s="25">
        <f t="shared" ref="EP66:EW66" si="87">EO66*0.99</f>
        <v>7968.51</v>
      </c>
      <c r="EQ66" s="25">
        <f t="shared" si="87"/>
        <v>7888.8249000000005</v>
      </c>
      <c r="ER66" s="25">
        <f t="shared" si="87"/>
        <v>7809.9366510000009</v>
      </c>
      <c r="ES66" s="25">
        <f t="shared" si="87"/>
        <v>7731.8372844900005</v>
      </c>
      <c r="ET66" s="25">
        <f t="shared" si="87"/>
        <v>7654.5189116451002</v>
      </c>
      <c r="EU66" s="25">
        <f t="shared" si="87"/>
        <v>7577.973722528649</v>
      </c>
      <c r="EV66" s="25">
        <f t="shared" si="87"/>
        <v>7502.1939853033628</v>
      </c>
      <c r="EW66" s="25">
        <f t="shared" si="87"/>
        <v>7427.1720454503293</v>
      </c>
      <c r="EX66" s="25">
        <v>9361</v>
      </c>
      <c r="EY66" s="25">
        <v>9444</v>
      </c>
    </row>
    <row r="67" spans="2:231" s="17" customFormat="1" x14ac:dyDescent="0.2">
      <c r="B67" s="15" t="s">
        <v>185</v>
      </c>
      <c r="C67" s="25">
        <v>633</v>
      </c>
      <c r="D67" s="25">
        <v>727</v>
      </c>
      <c r="E67" s="25">
        <v>677</v>
      </c>
      <c r="F67" s="25">
        <v>721</v>
      </c>
      <c r="G67" s="25">
        <v>1059</v>
      </c>
      <c r="H67" s="25">
        <v>1026</v>
      </c>
      <c r="I67" s="25">
        <v>1145</v>
      </c>
      <c r="J67" s="25">
        <f>2288-I67</f>
        <v>1143</v>
      </c>
      <c r="K67" s="25">
        <v>1072</v>
      </c>
      <c r="L67" s="25">
        <f>2542-K67</f>
        <v>1470</v>
      </c>
      <c r="M67" s="25">
        <v>1237</v>
      </c>
      <c r="N67" s="25">
        <f>2453-M67</f>
        <v>1216</v>
      </c>
      <c r="O67" s="25">
        <v>1089</v>
      </c>
      <c r="P67" s="25">
        <f>O67+154</f>
        <v>1243</v>
      </c>
      <c r="Q67" s="25">
        <v>967</v>
      </c>
      <c r="R67" s="25">
        <f>2175-Q67</f>
        <v>1208</v>
      </c>
      <c r="S67" s="25">
        <v>871</v>
      </c>
      <c r="T67" s="25">
        <f>2874-S67</f>
        <v>2003</v>
      </c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4"/>
      <c r="CU67" s="94"/>
      <c r="CV67" s="94"/>
      <c r="CW67" s="94"/>
      <c r="CX67" s="94"/>
      <c r="CY67" s="94"/>
      <c r="CZ67" s="94"/>
      <c r="DA67" s="94"/>
      <c r="DB67" s="94"/>
      <c r="DC67" s="94"/>
      <c r="DD67" s="94"/>
      <c r="DE67" s="94"/>
      <c r="DF67" s="94"/>
      <c r="DG67" s="94"/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4"/>
      <c r="DS67" s="94"/>
      <c r="DT67" s="94"/>
      <c r="DU67" s="94"/>
      <c r="DV67" s="94"/>
      <c r="DW67" s="94"/>
      <c r="DX67" s="94"/>
      <c r="DY67" s="94"/>
      <c r="DZ67" s="94"/>
      <c r="EA67" s="94"/>
      <c r="EB67" s="94"/>
      <c r="EC67" s="94"/>
      <c r="ED67" s="5"/>
      <c r="EE67" s="25"/>
      <c r="EF67" s="25">
        <v>1193</v>
      </c>
      <c r="EG67" s="25">
        <v>1360</v>
      </c>
      <c r="EH67" s="25">
        <v>2085</v>
      </c>
      <c r="EI67" s="25">
        <v>2309</v>
      </c>
      <c r="EJ67" s="25">
        <f>SUM(K67:L67)</f>
        <v>2542</v>
      </c>
      <c r="EK67" s="25">
        <f>N67+M67</f>
        <v>2453</v>
      </c>
      <c r="EL67" s="25">
        <f>SUM(O67:P67)</f>
        <v>2332</v>
      </c>
      <c r="EM67" s="25">
        <f t="shared" ref="EM67" si="88">SUM(Q67:R67)</f>
        <v>2175</v>
      </c>
      <c r="EN67" s="25">
        <f>T67+S67</f>
        <v>2874</v>
      </c>
      <c r="EO67" s="25">
        <v>2342</v>
      </c>
      <c r="EP67" s="25">
        <f t="shared" ref="EP67:EW67" si="89">EO67*0.99</f>
        <v>2318.58</v>
      </c>
      <c r="EQ67" s="25">
        <f t="shared" si="89"/>
        <v>2295.3941999999997</v>
      </c>
      <c r="ER67" s="25">
        <f t="shared" si="89"/>
        <v>2272.4402579999996</v>
      </c>
      <c r="ES67" s="25">
        <f t="shared" si="89"/>
        <v>2249.7158554199996</v>
      </c>
      <c r="ET67" s="25">
        <f t="shared" si="89"/>
        <v>2227.2186968657998</v>
      </c>
      <c r="EU67" s="25">
        <f t="shared" si="89"/>
        <v>2204.9465098971418</v>
      </c>
      <c r="EV67" s="25">
        <f t="shared" si="89"/>
        <v>2182.8970447981706</v>
      </c>
      <c r="EW67" s="25">
        <f t="shared" si="89"/>
        <v>2161.0680743501889</v>
      </c>
      <c r="EX67" s="25">
        <v>2726</v>
      </c>
      <c r="EY67" s="25">
        <v>2663</v>
      </c>
      <c r="FA67" s="49"/>
      <c r="FB67" s="49"/>
    </row>
    <row r="68" spans="2:231" x14ac:dyDescent="0.2">
      <c r="B68" s="15" t="s">
        <v>1</v>
      </c>
      <c r="C68" s="25">
        <v>2173</v>
      </c>
      <c r="D68" s="25">
        <v>2451</v>
      </c>
      <c r="E68" s="25">
        <v>2333</v>
      </c>
      <c r="F68" s="25">
        <v>2720</v>
      </c>
      <c r="G68" s="25">
        <v>2361</v>
      </c>
      <c r="H68" s="25">
        <v>2793</v>
      </c>
      <c r="I68" s="25">
        <v>2559</v>
      </c>
      <c r="J68" s="25">
        <f>5705-I68</f>
        <v>3146</v>
      </c>
      <c r="K68" s="73">
        <v>3063</v>
      </c>
      <c r="L68" s="73">
        <f>6589-K68</f>
        <v>3526</v>
      </c>
      <c r="M68" s="25">
        <v>3635</v>
      </c>
      <c r="N68" s="25">
        <f>8385-M68</f>
        <v>4750</v>
      </c>
      <c r="O68" s="25">
        <v>4107</v>
      </c>
      <c r="P68" s="25">
        <f>8845-O68</f>
        <v>4738</v>
      </c>
      <c r="Q68" s="25">
        <v>4518</v>
      </c>
      <c r="R68" s="25">
        <f>9874-Q68</f>
        <v>5356</v>
      </c>
      <c r="S68" s="25">
        <v>4471</v>
      </c>
      <c r="T68" s="25">
        <f>10026-S68</f>
        <v>5555</v>
      </c>
      <c r="U68" s="25"/>
      <c r="V68" s="25"/>
      <c r="W68" s="25"/>
      <c r="X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EE68" s="25"/>
      <c r="EF68" s="25">
        <v>4132</v>
      </c>
      <c r="EG68" s="25">
        <v>4624</v>
      </c>
      <c r="EH68" s="25">
        <v>5154</v>
      </c>
      <c r="EI68" s="25">
        <f>I68+J68</f>
        <v>5705</v>
      </c>
      <c r="EJ68" s="25">
        <f>L68+K68</f>
        <v>6589</v>
      </c>
      <c r="EK68" s="25">
        <f>N68+M68</f>
        <v>8385</v>
      </c>
      <c r="EL68" s="25">
        <f>SUM(O68:P68)</f>
        <v>8845</v>
      </c>
      <c r="EM68" s="25">
        <f t="shared" ref="EM68" si="90">SUM(Q68:R68)</f>
        <v>9874</v>
      </c>
      <c r="EN68" s="25">
        <f>T68+S68</f>
        <v>10026</v>
      </c>
      <c r="EO68" s="25">
        <v>8326</v>
      </c>
      <c r="EP68" s="25"/>
      <c r="EQ68" s="25"/>
      <c r="ER68" s="25"/>
      <c r="ES68" s="25"/>
      <c r="ET68" s="25"/>
      <c r="EU68" s="25"/>
      <c r="EV68" s="25"/>
      <c r="EW68" s="25"/>
      <c r="EX68" s="25">
        <v>12153</v>
      </c>
      <c r="EY68" s="23">
        <v>13708</v>
      </c>
    </row>
    <row r="69" spans="2:231" x14ac:dyDescent="0.2">
      <c r="B69" s="15" t="s">
        <v>183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>
        <f>736+472+2</f>
        <v>1210</v>
      </c>
      <c r="N69" s="25">
        <f>1560+976+6+58-M69</f>
        <v>1390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EE69" s="25"/>
      <c r="EF69" s="25"/>
      <c r="EG69" s="25"/>
      <c r="EH69" s="25"/>
      <c r="EI69" s="25"/>
      <c r="EJ69" s="25">
        <f>M69+L69</f>
        <v>1210</v>
      </c>
      <c r="EK69" s="25">
        <f>N69+M69</f>
        <v>2600</v>
      </c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</row>
    <row r="70" spans="2:231" x14ac:dyDescent="0.2">
      <c r="B70" s="3" t="s">
        <v>585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>
        <f t="shared" ref="M70:Q70" si="91">SUM(M66:M68)-M69</f>
        <v>9214</v>
      </c>
      <c r="N70" s="25">
        <f t="shared" si="91"/>
        <v>8351</v>
      </c>
      <c r="O70" s="25">
        <f t="shared" si="91"/>
        <v>9567</v>
      </c>
      <c r="P70" s="25">
        <f t="shared" si="91"/>
        <v>10780</v>
      </c>
      <c r="Q70" s="25">
        <f t="shared" si="91"/>
        <v>10052</v>
      </c>
      <c r="R70" s="25">
        <f>SUM(R66:R68)-R69</f>
        <v>11472</v>
      </c>
      <c r="S70" s="25">
        <f>SUM(S66:S68)-S69</f>
        <v>9888</v>
      </c>
      <c r="T70" s="25">
        <f>SUM(T66:T68)-T69</f>
        <v>12500</v>
      </c>
      <c r="U70" s="25"/>
      <c r="V70" s="25"/>
      <c r="W70" s="25"/>
      <c r="X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EE70" s="25"/>
      <c r="EF70" s="25"/>
      <c r="EG70" s="25"/>
      <c r="EH70" s="25"/>
      <c r="EI70" s="25"/>
      <c r="EJ70" s="25">
        <f t="shared" ref="EJ70:EO70" si="92">SUM(EJ66:EJ68)-EJ69</f>
        <v>18777</v>
      </c>
      <c r="EK70" s="25">
        <f t="shared" si="92"/>
        <v>17565</v>
      </c>
      <c r="EL70" s="25">
        <f t="shared" si="92"/>
        <v>20347</v>
      </c>
      <c r="EM70" s="25">
        <f t="shared" si="92"/>
        <v>21524</v>
      </c>
      <c r="EN70" s="25">
        <f t="shared" si="92"/>
        <v>22388</v>
      </c>
      <c r="EO70" s="25">
        <f t="shared" si="92"/>
        <v>18717</v>
      </c>
      <c r="EP70" s="25">
        <f t="shared" ref="EP70:EW70" si="93">SUM(EP66:EP68)-EP69</f>
        <v>10287.09</v>
      </c>
      <c r="EQ70" s="25">
        <f t="shared" si="93"/>
        <v>10184.2191</v>
      </c>
      <c r="ER70" s="25">
        <f t="shared" si="93"/>
        <v>10082.376909000001</v>
      </c>
      <c r="ES70" s="25">
        <f t="shared" si="93"/>
        <v>9981.55313991</v>
      </c>
      <c r="ET70" s="25">
        <f t="shared" si="93"/>
        <v>9881.737608510899</v>
      </c>
      <c r="EU70" s="25">
        <f t="shared" si="93"/>
        <v>9782.9202324257913</v>
      </c>
      <c r="EV70" s="25">
        <f t="shared" si="93"/>
        <v>9685.0910301015338</v>
      </c>
      <c r="EW70" s="25">
        <f t="shared" si="93"/>
        <v>9588.2401198005173</v>
      </c>
      <c r="EX70" s="23">
        <f>SUM(EX66:EX68)</f>
        <v>24240</v>
      </c>
      <c r="EY70" s="23">
        <f>SUM(EY66:EY68)</f>
        <v>25815</v>
      </c>
    </row>
    <row r="71" spans="2:231" s="17" customFormat="1" x14ac:dyDescent="0.2">
      <c r="B71" s="17" t="s">
        <v>149</v>
      </c>
      <c r="C71" s="27">
        <v>2833</v>
      </c>
      <c r="D71" s="27">
        <v>2960</v>
      </c>
      <c r="E71" s="27">
        <v>3701</v>
      </c>
      <c r="F71" s="27">
        <v>3249</v>
      </c>
      <c r="G71" s="27">
        <v>3527</v>
      </c>
      <c r="H71" s="27">
        <v>3239</v>
      </c>
      <c r="I71" s="27">
        <f>I65-I66-I67-I68</f>
        <v>4871</v>
      </c>
      <c r="J71" s="27">
        <f>J65-J66-J67-J68</f>
        <v>5165</v>
      </c>
      <c r="K71" s="27">
        <f>K65-K66-K67-K68</f>
        <v>6299</v>
      </c>
      <c r="L71" s="27">
        <f>L65-L66-L67-L68</f>
        <v>6605</v>
      </c>
      <c r="M71" s="27">
        <f t="shared" ref="M71:Q71" si="94">M65-M70</f>
        <v>8585</v>
      </c>
      <c r="N71" s="27">
        <f t="shared" si="94"/>
        <v>7442</v>
      </c>
      <c r="O71" s="27">
        <f t="shared" si="94"/>
        <v>7041</v>
      </c>
      <c r="P71" s="27">
        <f t="shared" si="94"/>
        <v>6855</v>
      </c>
      <c r="Q71" s="27">
        <f t="shared" si="94"/>
        <v>7970</v>
      </c>
      <c r="R71" s="27">
        <f>R65-R70</f>
        <v>7213</v>
      </c>
      <c r="S71" s="27">
        <f>S65-S70</f>
        <v>8756</v>
      </c>
      <c r="T71" s="27">
        <f>T65-T70</f>
        <v>4660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94"/>
      <c r="DB71" s="94"/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  <c r="EA71" s="94"/>
      <c r="EB71" s="94"/>
      <c r="EC71" s="94"/>
      <c r="ED71" s="5"/>
      <c r="EE71" s="27"/>
      <c r="EF71" s="27">
        <v>5223</v>
      </c>
      <c r="EG71" s="27">
        <v>5793</v>
      </c>
      <c r="EH71" s="27">
        <v>6766</v>
      </c>
      <c r="EI71" s="27">
        <f>EI65-EI66-EI67-EI68</f>
        <v>10133</v>
      </c>
      <c r="EJ71" s="27">
        <f t="shared" ref="EJ71:EO71" si="95">EJ65-EJ70</f>
        <v>14114</v>
      </c>
      <c r="EK71" s="27">
        <f t="shared" si="95"/>
        <v>16027</v>
      </c>
      <c r="EL71" s="27">
        <f t="shared" si="95"/>
        <v>14742</v>
      </c>
      <c r="EM71" s="27">
        <f t="shared" si="95"/>
        <v>15183</v>
      </c>
      <c r="EN71" s="27">
        <f t="shared" si="95"/>
        <v>13339</v>
      </c>
      <c r="EO71" s="27">
        <f t="shared" si="95"/>
        <v>13454</v>
      </c>
      <c r="EP71" s="27">
        <f t="shared" ref="EP71:EX71" si="96">EP65-EP70</f>
        <v>-10287.09</v>
      </c>
      <c r="EQ71" s="27">
        <f t="shared" si="96"/>
        <v>-10184.2191</v>
      </c>
      <c r="ER71" s="27">
        <f t="shared" si="96"/>
        <v>-10082.376909000001</v>
      </c>
      <c r="ES71" s="27">
        <f t="shared" si="96"/>
        <v>-9981.55313991</v>
      </c>
      <c r="ET71" s="27">
        <f t="shared" si="96"/>
        <v>-9881.737608510899</v>
      </c>
      <c r="EU71" s="27">
        <f t="shared" si="96"/>
        <v>-9782.9202324257913</v>
      </c>
      <c r="EV71" s="27">
        <f t="shared" si="96"/>
        <v>-9685.0910301015338</v>
      </c>
      <c r="EW71" s="27">
        <f t="shared" si="96"/>
        <v>-9588.2401198005173</v>
      </c>
      <c r="EX71" s="27">
        <f t="shared" si="96"/>
        <v>21536</v>
      </c>
      <c r="EY71" s="24">
        <f>EY65-EY70</f>
        <v>21897</v>
      </c>
      <c r="FA71" s="49"/>
      <c r="FB71" s="49"/>
    </row>
    <row r="72" spans="2:231" x14ac:dyDescent="0.2">
      <c r="B72" s="15" t="s">
        <v>2</v>
      </c>
      <c r="C72" s="23">
        <v>-75</v>
      </c>
      <c r="D72" s="23">
        <v>122</v>
      </c>
      <c r="E72" s="23">
        <v>131</v>
      </c>
      <c r="F72" s="23">
        <v>106</v>
      </c>
      <c r="G72" s="68">
        <v>213</v>
      </c>
      <c r="H72" s="68">
        <v>156</v>
      </c>
      <c r="I72" s="68">
        <v>241</v>
      </c>
      <c r="J72" s="68">
        <f>678-I72</f>
        <v>437</v>
      </c>
      <c r="K72" s="68">
        <v>902</v>
      </c>
      <c r="L72" s="68">
        <f>1829-K72</f>
        <v>927</v>
      </c>
      <c r="M72" s="68">
        <v>979</v>
      </c>
      <c r="N72" s="68">
        <f>1805-M72</f>
        <v>826</v>
      </c>
      <c r="O72" s="68">
        <v>684</v>
      </c>
      <c r="P72" s="68">
        <f>O72</f>
        <v>684</v>
      </c>
      <c r="Q72" s="68">
        <v>484</v>
      </c>
      <c r="R72" s="68">
        <f>792-Q72</f>
        <v>308</v>
      </c>
      <c r="S72" s="68">
        <v>302</v>
      </c>
      <c r="T72" s="68">
        <f>-3+557-S72</f>
        <v>252</v>
      </c>
      <c r="EE72" s="25"/>
      <c r="EF72" s="25">
        <v>2000</v>
      </c>
      <c r="EG72" s="25">
        <v>47</v>
      </c>
      <c r="EH72" s="25">
        <v>369</v>
      </c>
      <c r="EI72" s="25">
        <v>1313</v>
      </c>
      <c r="EJ72" s="25">
        <f>SUM(K72:L72)</f>
        <v>1829</v>
      </c>
      <c r="EK72" s="25">
        <f>N72+M72</f>
        <v>1805</v>
      </c>
      <c r="EL72" s="25">
        <v>1123</v>
      </c>
      <c r="EM72" s="25">
        <f t="shared" ref="EM72:EM73" si="97">SUM(Q72:R72)</f>
        <v>792</v>
      </c>
      <c r="EN72" s="25">
        <f>T72+S72</f>
        <v>554</v>
      </c>
      <c r="EO72" s="25">
        <f>-2228+647+12</f>
        <v>-1569</v>
      </c>
      <c r="EP72" s="25">
        <f>EP82*$FB$84</f>
        <v>-66.900000000000006</v>
      </c>
      <c r="EQ72" s="25">
        <f t="shared" ref="EQ72:EW72" si="98">EQ82*$FB$84</f>
        <v>-460.35162000000003</v>
      </c>
      <c r="ER72" s="25">
        <f t="shared" si="98"/>
        <v>-864.84530735999999</v>
      </c>
      <c r="ES72" s="25">
        <f t="shared" si="98"/>
        <v>-1280.83975158168</v>
      </c>
      <c r="ET72" s="25">
        <f t="shared" si="98"/>
        <v>-1708.8106814583641</v>
      </c>
      <c r="EU72" s="25">
        <f t="shared" si="98"/>
        <v>-2149.2515164771962</v>
      </c>
      <c r="EV72" s="25">
        <f t="shared" si="98"/>
        <v>-2602.67404293551</v>
      </c>
      <c r="EW72" s="25">
        <f t="shared" si="98"/>
        <v>-3069.6091157109176</v>
      </c>
      <c r="EX72" s="25">
        <f>-539-25</f>
        <v>-564</v>
      </c>
      <c r="EY72" s="45">
        <f>-412-339</f>
        <v>-751</v>
      </c>
    </row>
    <row r="73" spans="2:231" s="17" customFormat="1" x14ac:dyDescent="0.2">
      <c r="B73" s="15" t="s">
        <v>3</v>
      </c>
      <c r="C73" s="25">
        <v>-276</v>
      </c>
      <c r="D73" s="25">
        <v>-401</v>
      </c>
      <c r="E73" s="25">
        <v>-370</v>
      </c>
      <c r="F73" s="25">
        <v>-206</v>
      </c>
      <c r="G73" s="25">
        <v>-383</v>
      </c>
      <c r="H73" s="25">
        <v>-244</v>
      </c>
      <c r="I73" s="25">
        <v>-187</v>
      </c>
      <c r="J73" s="25">
        <f>-382-I73</f>
        <v>-195</v>
      </c>
      <c r="K73" s="25">
        <v>478</v>
      </c>
      <c r="L73" s="25">
        <f>974-K73</f>
        <v>496</v>
      </c>
      <c r="M73" s="25">
        <v>479</v>
      </c>
      <c r="N73" s="25">
        <f>971-M73</f>
        <v>492</v>
      </c>
      <c r="O73" s="68">
        <v>447</v>
      </c>
      <c r="P73" s="68">
        <f>O73</f>
        <v>447</v>
      </c>
      <c r="Q73" s="68">
        <v>1035</v>
      </c>
      <c r="R73" s="68">
        <f>2460-Q73</f>
        <v>1425</v>
      </c>
      <c r="S73" s="68">
        <v>1508</v>
      </c>
      <c r="T73" s="68">
        <f>2829-S73</f>
        <v>1321</v>
      </c>
      <c r="U73" s="68"/>
      <c r="V73" s="68"/>
      <c r="W73" s="68"/>
      <c r="X73" s="68"/>
      <c r="Y73" s="25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15"/>
      <c r="EE73" s="25"/>
      <c r="EF73" s="25">
        <v>-1165.1611044776121</v>
      </c>
      <c r="EG73" s="25">
        <v>-677</v>
      </c>
      <c r="EH73" s="25">
        <v>-627</v>
      </c>
      <c r="EI73" s="25">
        <v>985</v>
      </c>
      <c r="EJ73" s="25">
        <f>SUM(K73:L73)</f>
        <v>974</v>
      </c>
      <c r="EK73" s="25">
        <f>N73+M73</f>
        <v>971</v>
      </c>
      <c r="EL73" s="25">
        <v>887</v>
      </c>
      <c r="EM73" s="25">
        <f t="shared" si="97"/>
        <v>2460</v>
      </c>
      <c r="EN73" s="25">
        <f>T73+S73</f>
        <v>2829</v>
      </c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49"/>
      <c r="FA73" s="49"/>
      <c r="FB73" s="49"/>
    </row>
    <row r="74" spans="2:231" s="17" customFormat="1" x14ac:dyDescent="0.2">
      <c r="B74" s="17" t="s">
        <v>15</v>
      </c>
      <c r="C74" s="27">
        <v>2464</v>
      </c>
      <c r="D74" s="27">
        <v>2655</v>
      </c>
      <c r="E74" s="27">
        <v>3435</v>
      </c>
      <c r="F74" s="27">
        <v>3133</v>
      </c>
      <c r="G74" s="27">
        <v>3330</v>
      </c>
      <c r="H74" s="27">
        <v>3135</v>
      </c>
      <c r="I74" s="27">
        <f t="shared" ref="I74:S74" si="99">I71+I72-I73</f>
        <v>5299</v>
      </c>
      <c r="J74" s="27">
        <f t="shared" si="99"/>
        <v>5797</v>
      </c>
      <c r="K74" s="27">
        <f t="shared" si="99"/>
        <v>6723</v>
      </c>
      <c r="L74" s="27">
        <f t="shared" si="99"/>
        <v>7036</v>
      </c>
      <c r="M74" s="27">
        <f t="shared" si="99"/>
        <v>9085</v>
      </c>
      <c r="N74" s="27">
        <f t="shared" si="99"/>
        <v>7776</v>
      </c>
      <c r="O74" s="27">
        <f t="shared" si="99"/>
        <v>7278</v>
      </c>
      <c r="P74" s="27">
        <f t="shared" si="99"/>
        <v>7092</v>
      </c>
      <c r="Q74" s="27">
        <f t="shared" si="99"/>
        <v>7419</v>
      </c>
      <c r="R74" s="27">
        <f t="shared" si="99"/>
        <v>6096</v>
      </c>
      <c r="S74" s="27">
        <f t="shared" si="99"/>
        <v>7550</v>
      </c>
      <c r="T74" s="27">
        <f>T71+T72-T73</f>
        <v>3591</v>
      </c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94"/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  <c r="EA74" s="94"/>
      <c r="EB74" s="94"/>
      <c r="EC74" s="94"/>
      <c r="ED74" s="5"/>
      <c r="EE74" s="27"/>
      <c r="EF74" s="27">
        <v>6020.8388955223882</v>
      </c>
      <c r="EG74" s="27">
        <v>5119</v>
      </c>
      <c r="EH74" s="27">
        <v>6465</v>
      </c>
      <c r="EI74" s="27">
        <f t="shared" ref="EI74:EX74" si="100">EI71+EI72-EI73</f>
        <v>10461</v>
      </c>
      <c r="EJ74" s="27">
        <f t="shared" si="100"/>
        <v>14969</v>
      </c>
      <c r="EK74" s="27">
        <f t="shared" si="100"/>
        <v>16861</v>
      </c>
      <c r="EL74" s="27">
        <f t="shared" si="100"/>
        <v>14978</v>
      </c>
      <c r="EM74" s="27">
        <f t="shared" si="100"/>
        <v>13515</v>
      </c>
      <c r="EN74" s="27">
        <f>EN71+EN72-EN73</f>
        <v>11064</v>
      </c>
      <c r="EO74" s="27">
        <f t="shared" si="100"/>
        <v>11885</v>
      </c>
      <c r="EP74" s="27">
        <f t="shared" si="100"/>
        <v>-10353.99</v>
      </c>
      <c r="EQ74" s="27">
        <f t="shared" si="100"/>
        <v>-10644.57072</v>
      </c>
      <c r="ER74" s="27">
        <f t="shared" si="100"/>
        <v>-10947.22221636</v>
      </c>
      <c r="ES74" s="27">
        <f t="shared" si="100"/>
        <v>-11262.39289149168</v>
      </c>
      <c r="ET74" s="27">
        <f t="shared" si="100"/>
        <v>-11590.548289969263</v>
      </c>
      <c r="EU74" s="27">
        <f t="shared" si="100"/>
        <v>-11932.171748902987</v>
      </c>
      <c r="EV74" s="27">
        <f t="shared" si="100"/>
        <v>-12287.765073037044</v>
      </c>
      <c r="EW74" s="27">
        <f t="shared" si="100"/>
        <v>-12657.849235511436</v>
      </c>
      <c r="EX74" s="27">
        <f t="shared" si="100"/>
        <v>20972</v>
      </c>
      <c r="EY74" s="24">
        <f>EY71+EY72</f>
        <v>21146</v>
      </c>
      <c r="FA74" s="49"/>
      <c r="FB74" s="49"/>
    </row>
    <row r="75" spans="2:231" x14ac:dyDescent="0.2">
      <c r="B75" s="15" t="s">
        <v>5</v>
      </c>
      <c r="C75" s="25">
        <v>-658</v>
      </c>
      <c r="D75" s="25">
        <v>-661</v>
      </c>
      <c r="E75" s="25">
        <v>-835</v>
      </c>
      <c r="F75" s="25">
        <v>-810</v>
      </c>
      <c r="G75" s="25">
        <v>-806</v>
      </c>
      <c r="H75" s="25">
        <v>-799</v>
      </c>
      <c r="I75" s="25">
        <v>1095</v>
      </c>
      <c r="J75" s="25">
        <f>2224-I75</f>
        <v>1129</v>
      </c>
      <c r="K75" s="25">
        <v>1701</v>
      </c>
      <c r="L75" s="25">
        <f>3436-K75</f>
        <v>1735</v>
      </c>
      <c r="M75" s="25">
        <v>2115</v>
      </c>
      <c r="N75" s="25">
        <f>3867-M75</f>
        <v>1752</v>
      </c>
      <c r="O75" s="25">
        <v>1861</v>
      </c>
      <c r="P75" s="25"/>
      <c r="Q75" s="25">
        <v>1678</v>
      </c>
      <c r="R75" s="25">
        <f>2870-Q75</f>
        <v>1192</v>
      </c>
      <c r="S75" s="25">
        <v>1800</v>
      </c>
      <c r="T75" s="25">
        <f>2320-S75</f>
        <v>520</v>
      </c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E75" s="25"/>
      <c r="EF75" s="25">
        <v>-1595</v>
      </c>
      <c r="EG75" s="25">
        <v>-1319</v>
      </c>
      <c r="EH75" s="25">
        <v>-1605</v>
      </c>
      <c r="EI75" s="25">
        <v>2284</v>
      </c>
      <c r="EJ75" s="25">
        <f>SUM(K75:L75)</f>
        <v>3436</v>
      </c>
      <c r="EK75" s="25">
        <f>N75+M75</f>
        <v>3867</v>
      </c>
      <c r="EL75" s="25">
        <v>3317</v>
      </c>
      <c r="EM75" s="25">
        <f>SUM(Q75:R75)</f>
        <v>2870</v>
      </c>
      <c r="EN75" s="25">
        <f>T75+S75</f>
        <v>2320</v>
      </c>
      <c r="EO75" s="25">
        <v>2341</v>
      </c>
      <c r="EP75" s="25">
        <f t="shared" ref="EP75:EW75" si="101">EP74*0.24</f>
        <v>-2484.9575999999997</v>
      </c>
      <c r="EQ75" s="25">
        <f t="shared" si="101"/>
        <v>-2554.6969727999999</v>
      </c>
      <c r="ER75" s="25">
        <f t="shared" si="101"/>
        <v>-2627.3333319263998</v>
      </c>
      <c r="ES75" s="25">
        <f t="shared" si="101"/>
        <v>-2702.9742939580028</v>
      </c>
      <c r="ET75" s="25">
        <f t="shared" si="101"/>
        <v>-2781.7315895926231</v>
      </c>
      <c r="EU75" s="25">
        <f t="shared" si="101"/>
        <v>-2863.7212197367166</v>
      </c>
      <c r="EV75" s="25">
        <f t="shared" si="101"/>
        <v>-2949.0636175288905</v>
      </c>
      <c r="EW75" s="25">
        <f t="shared" si="101"/>
        <v>-3037.8838165227444</v>
      </c>
      <c r="EX75" s="25">
        <v>3594</v>
      </c>
      <c r="EY75" s="23">
        <v>3075</v>
      </c>
    </row>
    <row r="76" spans="2:231" x14ac:dyDescent="0.2">
      <c r="B76" s="15" t="s">
        <v>6</v>
      </c>
      <c r="C76" s="25">
        <v>1806</v>
      </c>
      <c r="D76" s="25">
        <v>1994</v>
      </c>
      <c r="E76" s="25">
        <v>2600</v>
      </c>
      <c r="F76" s="25">
        <v>2323</v>
      </c>
      <c r="G76" s="25">
        <v>2524</v>
      </c>
      <c r="H76" s="25">
        <v>2336</v>
      </c>
      <c r="I76" s="25">
        <f t="shared" ref="I76:N76" si="102">I74-I75</f>
        <v>4204</v>
      </c>
      <c r="J76" s="25">
        <f t="shared" si="102"/>
        <v>4668</v>
      </c>
      <c r="K76" s="25">
        <f t="shared" si="102"/>
        <v>5022</v>
      </c>
      <c r="L76" s="25">
        <f t="shared" si="102"/>
        <v>5301</v>
      </c>
      <c r="M76" s="25">
        <f t="shared" si="102"/>
        <v>6970</v>
      </c>
      <c r="N76" s="25">
        <f t="shared" si="102"/>
        <v>6024</v>
      </c>
      <c r="O76" s="25">
        <f t="shared" ref="O76:T76" si="103">O74-O75</f>
        <v>5417</v>
      </c>
      <c r="P76" s="25">
        <f t="shared" si="103"/>
        <v>7092</v>
      </c>
      <c r="Q76" s="25">
        <f t="shared" si="103"/>
        <v>5741</v>
      </c>
      <c r="R76" s="25">
        <f t="shared" si="103"/>
        <v>4904</v>
      </c>
      <c r="S76" s="25">
        <f t="shared" si="103"/>
        <v>5750</v>
      </c>
      <c r="T76" s="25">
        <f t="shared" si="103"/>
        <v>3071</v>
      </c>
      <c r="U76" s="25"/>
      <c r="V76" s="25"/>
      <c r="W76" s="25"/>
      <c r="X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EE76" s="25"/>
      <c r="EF76" s="25">
        <v>4425.8388955223882</v>
      </c>
      <c r="EG76" s="25">
        <v>3800</v>
      </c>
      <c r="EH76" s="25">
        <v>4860</v>
      </c>
      <c r="EI76" s="25">
        <f t="shared" ref="EI76:ER76" si="104">EI74-EI75</f>
        <v>8177</v>
      </c>
      <c r="EJ76" s="25">
        <f t="shared" si="104"/>
        <v>11533</v>
      </c>
      <c r="EK76" s="25">
        <f t="shared" si="104"/>
        <v>12994</v>
      </c>
      <c r="EL76" s="25">
        <f t="shared" si="104"/>
        <v>11661</v>
      </c>
      <c r="EM76" s="25">
        <f>EM74-EM75</f>
        <v>10645</v>
      </c>
      <c r="EN76" s="25">
        <f>EN74-EN75</f>
        <v>8744</v>
      </c>
      <c r="EO76" s="25">
        <f t="shared" si="104"/>
        <v>9544</v>
      </c>
      <c r="EP76" s="25">
        <f t="shared" si="104"/>
        <v>-7869.0324000000001</v>
      </c>
      <c r="EQ76" s="25">
        <f t="shared" si="104"/>
        <v>-8089.8737471999993</v>
      </c>
      <c r="ER76" s="25">
        <f t="shared" si="104"/>
        <v>-8319.8888844335997</v>
      </c>
      <c r="ES76" s="25">
        <f t="shared" ref="ES76:EW76" si="105">ES74-ES75</f>
        <v>-8559.4185975336768</v>
      </c>
      <c r="ET76" s="25">
        <f t="shared" si="105"/>
        <v>-8808.8167003766393</v>
      </c>
      <c r="EU76" s="25">
        <f t="shared" si="105"/>
        <v>-9068.4505291662699</v>
      </c>
      <c r="EV76" s="25">
        <f t="shared" si="105"/>
        <v>-9338.7014555081532</v>
      </c>
      <c r="EW76" s="25">
        <f t="shared" si="105"/>
        <v>-9619.9654189886915</v>
      </c>
      <c r="EX76" s="25">
        <f>EX74-EX75</f>
        <v>17378</v>
      </c>
      <c r="EY76" s="23">
        <f>EY74-EY75</f>
        <v>18071</v>
      </c>
    </row>
    <row r="77" spans="2:231" x14ac:dyDescent="0.2">
      <c r="B77" s="15" t="s">
        <v>4</v>
      </c>
      <c r="C77" s="25">
        <v>-185.5</v>
      </c>
      <c r="D77" s="25">
        <v>-243.5</v>
      </c>
      <c r="E77" s="25">
        <v>-274</v>
      </c>
      <c r="F77" s="25">
        <v>-306</v>
      </c>
      <c r="G77" s="25">
        <v>-262</v>
      </c>
      <c r="H77" s="25">
        <v>-276</v>
      </c>
      <c r="I77" s="25">
        <v>444</v>
      </c>
      <c r="J77" s="25">
        <f>943-I77</f>
        <v>499</v>
      </c>
      <c r="K77" s="25">
        <v>572</v>
      </c>
      <c r="L77" s="25">
        <f>1291-K77</f>
        <v>719</v>
      </c>
      <c r="M77" s="25">
        <v>943</v>
      </c>
      <c r="N77" s="25">
        <f>1676-M77</f>
        <v>733</v>
      </c>
      <c r="O77" s="25">
        <v>912</v>
      </c>
      <c r="P77" s="25">
        <f>O77</f>
        <v>912</v>
      </c>
      <c r="Q77" s="25">
        <v>578</v>
      </c>
      <c r="R77" s="25">
        <f>726-Q77</f>
        <v>148</v>
      </c>
      <c r="S77" s="25">
        <v>97</v>
      </c>
      <c r="T77" s="25">
        <f>225-S77</f>
        <v>128</v>
      </c>
      <c r="U77" s="25"/>
      <c r="V77" s="25"/>
      <c r="W77" s="25"/>
      <c r="X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15"/>
      <c r="EE77" s="25"/>
      <c r="EF77" s="25">
        <v>34</v>
      </c>
      <c r="EG77" s="25">
        <v>-429</v>
      </c>
      <c r="EH77" s="25">
        <v>-538</v>
      </c>
      <c r="EI77" s="25">
        <v>943</v>
      </c>
      <c r="EJ77" s="25">
        <f>SUM(K77:L77)</f>
        <v>1291</v>
      </c>
      <c r="EK77" s="25">
        <f>N77+M77</f>
        <v>1676</v>
      </c>
      <c r="EL77" s="25">
        <v>1875</v>
      </c>
      <c r="EM77" s="25">
        <f>SUM(Q77:R77)</f>
        <v>726</v>
      </c>
      <c r="EN77" s="25">
        <f>T77+S77</f>
        <v>225</v>
      </c>
      <c r="EO77" s="25">
        <v>201</v>
      </c>
      <c r="EP77" s="25"/>
      <c r="EQ77" s="25"/>
      <c r="ER77" s="25"/>
      <c r="ES77" s="25"/>
      <c r="ET77" s="25"/>
      <c r="EU77" s="25"/>
      <c r="EV77" s="25"/>
      <c r="EW77" s="25"/>
      <c r="EX77" s="25">
        <v>801</v>
      </c>
      <c r="EY77" s="23">
        <v>1033</v>
      </c>
    </row>
    <row r="78" spans="2:231" x14ac:dyDescent="0.2">
      <c r="B78" s="15" t="s">
        <v>20</v>
      </c>
      <c r="C78" s="25">
        <v>1620.5</v>
      </c>
      <c r="D78" s="25">
        <v>1750.5</v>
      </c>
      <c r="E78" s="25">
        <v>2326</v>
      </c>
      <c r="F78" s="25">
        <v>2017</v>
      </c>
      <c r="G78" s="25">
        <v>2262</v>
      </c>
      <c r="H78" s="25">
        <v>2060</v>
      </c>
      <c r="I78" s="25">
        <f t="shared" ref="I78:N78" si="106">I76-I77</f>
        <v>3760</v>
      </c>
      <c r="J78" s="25">
        <f t="shared" si="106"/>
        <v>4169</v>
      </c>
      <c r="K78" s="25">
        <f t="shared" si="106"/>
        <v>4450</v>
      </c>
      <c r="L78" s="25">
        <f t="shared" si="106"/>
        <v>4582</v>
      </c>
      <c r="M78" s="25">
        <f t="shared" si="106"/>
        <v>6027</v>
      </c>
      <c r="N78" s="25">
        <f t="shared" si="106"/>
        <v>5291</v>
      </c>
      <c r="O78" s="25">
        <f t="shared" ref="O78:T78" si="107">O76-O77</f>
        <v>4505</v>
      </c>
      <c r="P78" s="25">
        <f t="shared" si="107"/>
        <v>6180</v>
      </c>
      <c r="Q78" s="25">
        <f t="shared" si="107"/>
        <v>5163</v>
      </c>
      <c r="R78" s="25">
        <f t="shared" si="107"/>
        <v>4756</v>
      </c>
      <c r="S78" s="25">
        <f t="shared" si="107"/>
        <v>5653</v>
      </c>
      <c r="T78" s="25">
        <f t="shared" si="107"/>
        <v>2943</v>
      </c>
      <c r="U78" s="25"/>
      <c r="V78" s="25"/>
      <c r="W78" s="25"/>
      <c r="X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15"/>
      <c r="EE78" s="25"/>
      <c r="EF78" s="25">
        <v>4459.8388955223882</v>
      </c>
      <c r="EG78" s="25">
        <v>3371</v>
      </c>
      <c r="EH78" s="25">
        <v>4322</v>
      </c>
      <c r="EI78" s="25">
        <f t="shared" ref="EI78:EX78" si="108">EI76-EI77</f>
        <v>7234</v>
      </c>
      <c r="EJ78" s="25">
        <f t="shared" si="108"/>
        <v>10242</v>
      </c>
      <c r="EK78" s="25">
        <f t="shared" si="108"/>
        <v>11318</v>
      </c>
      <c r="EL78" s="25">
        <f t="shared" si="108"/>
        <v>9786</v>
      </c>
      <c r="EM78" s="25">
        <f>EM76-EM77</f>
        <v>9919</v>
      </c>
      <c r="EN78" s="25">
        <f>EN76-EN77</f>
        <v>8519</v>
      </c>
      <c r="EO78" s="25">
        <f t="shared" si="108"/>
        <v>9343</v>
      </c>
      <c r="EP78" s="25">
        <f t="shared" si="108"/>
        <v>-7869.0324000000001</v>
      </c>
      <c r="EQ78" s="25">
        <f t="shared" si="108"/>
        <v>-8089.8737471999993</v>
      </c>
      <c r="ER78" s="25">
        <f t="shared" si="108"/>
        <v>-8319.8888844335997</v>
      </c>
      <c r="ES78" s="25">
        <f t="shared" si="108"/>
        <v>-8559.4185975336768</v>
      </c>
      <c r="ET78" s="25">
        <f t="shared" si="108"/>
        <v>-8808.8167003766393</v>
      </c>
      <c r="EU78" s="25">
        <f t="shared" si="108"/>
        <v>-9068.4505291662699</v>
      </c>
      <c r="EV78" s="25">
        <f t="shared" si="108"/>
        <v>-9338.7014555081532</v>
      </c>
      <c r="EW78" s="25">
        <f t="shared" si="108"/>
        <v>-9619.9654189886915</v>
      </c>
      <c r="EX78" s="25">
        <f t="shared" si="108"/>
        <v>16577</v>
      </c>
      <c r="EY78" s="25">
        <f>EY76-EY77</f>
        <v>17038</v>
      </c>
      <c r="EZ78" s="112">
        <f t="shared" ref="EZ78:GD78" si="109">EY78*(1+$FB$85)</f>
        <v>17208.38</v>
      </c>
      <c r="FA78" s="25">
        <f t="shared" si="109"/>
        <v>17380.463800000001</v>
      </c>
      <c r="FB78" s="25">
        <f t="shared" si="109"/>
        <v>17554.268438000003</v>
      </c>
      <c r="FC78" s="32">
        <f t="shared" si="109"/>
        <v>17729.811122380004</v>
      </c>
      <c r="FD78" s="32">
        <f t="shared" si="109"/>
        <v>17907.109233603805</v>
      </c>
      <c r="FE78" s="32">
        <f t="shared" si="109"/>
        <v>18086.180325939844</v>
      </c>
      <c r="FF78" s="32">
        <f t="shared" si="109"/>
        <v>18267.042129199242</v>
      </c>
      <c r="FG78" s="32">
        <f t="shared" si="109"/>
        <v>18449.712550491236</v>
      </c>
      <c r="FH78" s="32">
        <f t="shared" si="109"/>
        <v>18634.20967599615</v>
      </c>
      <c r="FI78" s="32">
        <f t="shared" si="109"/>
        <v>18820.551772756113</v>
      </c>
      <c r="FJ78" s="32">
        <f t="shared" si="109"/>
        <v>19008.757290483674</v>
      </c>
      <c r="FK78" s="32">
        <f t="shared" si="109"/>
        <v>19198.844863388513</v>
      </c>
      <c r="FL78" s="32">
        <f t="shared" si="109"/>
        <v>19390.833312022398</v>
      </c>
      <c r="FM78" s="32">
        <f t="shared" si="109"/>
        <v>19584.741645142622</v>
      </c>
      <c r="FN78" s="32">
        <f t="shared" si="109"/>
        <v>19780.589061594048</v>
      </c>
      <c r="FO78" s="32">
        <f t="shared" si="109"/>
        <v>19978.39495220999</v>
      </c>
      <c r="FP78" s="32">
        <f t="shared" si="109"/>
        <v>20178.178901732092</v>
      </c>
      <c r="FQ78" s="32">
        <f t="shared" si="109"/>
        <v>20379.960690749413</v>
      </c>
      <c r="FR78" s="32">
        <f t="shared" si="109"/>
        <v>20583.760297656907</v>
      </c>
      <c r="FS78" s="32">
        <f t="shared" si="109"/>
        <v>20789.597900633475</v>
      </c>
      <c r="FT78" s="32">
        <f t="shared" si="109"/>
        <v>20997.493879639809</v>
      </c>
      <c r="FU78" s="32">
        <f t="shared" si="109"/>
        <v>21207.468818436206</v>
      </c>
      <c r="FV78" s="32">
        <f t="shared" si="109"/>
        <v>21419.543506620568</v>
      </c>
      <c r="FW78" s="32">
        <f t="shared" si="109"/>
        <v>21633.738941686774</v>
      </c>
      <c r="FX78" s="32">
        <f t="shared" si="109"/>
        <v>21850.076331103643</v>
      </c>
      <c r="FY78" s="32">
        <f t="shared" si="109"/>
        <v>22068.577094414679</v>
      </c>
      <c r="FZ78" s="32">
        <f t="shared" si="109"/>
        <v>22289.262865358825</v>
      </c>
      <c r="GA78" s="32">
        <f t="shared" si="109"/>
        <v>22512.155494012415</v>
      </c>
      <c r="GB78" s="32">
        <f t="shared" si="109"/>
        <v>22737.277048952539</v>
      </c>
      <c r="GC78" s="32">
        <f t="shared" si="109"/>
        <v>22964.649819442064</v>
      </c>
      <c r="GD78" s="32">
        <f t="shared" si="109"/>
        <v>23194.296317636483</v>
      </c>
      <c r="GE78" s="32">
        <f t="shared" ref="GE78:HJ78" si="110">GD78*(1+$FB$85)</f>
        <v>23426.239280812846</v>
      </c>
      <c r="GF78" s="32">
        <f t="shared" si="110"/>
        <v>23660.501673620976</v>
      </c>
      <c r="GG78" s="32">
        <f t="shared" si="110"/>
        <v>23897.106690357185</v>
      </c>
      <c r="GH78" s="32">
        <f t="shared" si="110"/>
        <v>24136.077757260755</v>
      </c>
      <c r="GI78" s="32">
        <f t="shared" si="110"/>
        <v>24377.438534833364</v>
      </c>
      <c r="GJ78" s="32">
        <f t="shared" si="110"/>
        <v>24621.212920181697</v>
      </c>
      <c r="GK78" s="32">
        <f t="shared" si="110"/>
        <v>24867.425049383513</v>
      </c>
      <c r="GL78" s="32">
        <f t="shared" si="110"/>
        <v>25116.099299877347</v>
      </c>
      <c r="GM78" s="32">
        <f t="shared" si="110"/>
        <v>25367.260292876123</v>
      </c>
      <c r="GN78" s="32">
        <f t="shared" si="110"/>
        <v>25620.932895804883</v>
      </c>
      <c r="GO78" s="32">
        <f t="shared" si="110"/>
        <v>25877.142224762931</v>
      </c>
      <c r="GP78" s="32">
        <f t="shared" si="110"/>
        <v>26135.913647010559</v>
      </c>
      <c r="GQ78" s="32">
        <f t="shared" si="110"/>
        <v>26397.272783480665</v>
      </c>
      <c r="GR78" s="32">
        <f t="shared" si="110"/>
        <v>26661.245511315472</v>
      </c>
      <c r="GS78" s="32">
        <f t="shared" si="110"/>
        <v>26927.857966428626</v>
      </c>
      <c r="GT78" s="32">
        <f t="shared" si="110"/>
        <v>27197.136546092912</v>
      </c>
      <c r="GU78" s="32">
        <f t="shared" si="110"/>
        <v>27469.107911553841</v>
      </c>
      <c r="GV78" s="32">
        <f t="shared" si="110"/>
        <v>27743.79899066938</v>
      </c>
      <c r="GW78" s="32">
        <f t="shared" si="110"/>
        <v>28021.236980576075</v>
      </c>
      <c r="GX78" s="32">
        <f t="shared" si="110"/>
        <v>28301.449350381838</v>
      </c>
      <c r="GY78" s="32">
        <f t="shared" si="110"/>
        <v>28584.463843885656</v>
      </c>
      <c r="GZ78" s="32">
        <f t="shared" si="110"/>
        <v>28870.308482324512</v>
      </c>
      <c r="HA78" s="32">
        <f t="shared" si="110"/>
        <v>29159.011567147758</v>
      </c>
      <c r="HB78" s="32">
        <f t="shared" si="110"/>
        <v>29450.601682819237</v>
      </c>
      <c r="HC78" s="32">
        <f t="shared" si="110"/>
        <v>29745.107699647429</v>
      </c>
      <c r="HD78" s="32">
        <f t="shared" si="110"/>
        <v>30042.558776643906</v>
      </c>
      <c r="HE78" s="32">
        <f t="shared" si="110"/>
        <v>30342.984364410346</v>
      </c>
      <c r="HF78" s="32">
        <f t="shared" si="110"/>
        <v>30646.414208054448</v>
      </c>
      <c r="HG78" s="32">
        <f t="shared" si="110"/>
        <v>30952.878350134994</v>
      </c>
      <c r="HH78" s="32">
        <f t="shared" si="110"/>
        <v>31262.407133636345</v>
      </c>
      <c r="HI78" s="32">
        <f t="shared" si="110"/>
        <v>31575.031204972707</v>
      </c>
      <c r="HJ78" s="32">
        <f t="shared" si="110"/>
        <v>31890.781517022435</v>
      </c>
      <c r="HK78" s="32">
        <f t="shared" ref="HK78:HW78" si="111">HJ78*(1+$FB$85)</f>
        <v>32209.689332192658</v>
      </c>
      <c r="HL78" s="32">
        <f t="shared" si="111"/>
        <v>32531.786225514585</v>
      </c>
      <c r="HM78" s="32">
        <f t="shared" si="111"/>
        <v>32857.104087769731</v>
      </c>
      <c r="HN78" s="32">
        <f t="shared" si="111"/>
        <v>33185.675128647425</v>
      </c>
      <c r="HO78" s="32">
        <f t="shared" si="111"/>
        <v>33517.5318799339</v>
      </c>
      <c r="HP78" s="32">
        <f t="shared" si="111"/>
        <v>33852.707198733238</v>
      </c>
      <c r="HQ78" s="32">
        <f t="shared" si="111"/>
        <v>34191.234270720568</v>
      </c>
      <c r="HR78" s="32">
        <f t="shared" si="111"/>
        <v>34533.146613427773</v>
      </c>
      <c r="HS78" s="32">
        <f t="shared" si="111"/>
        <v>34878.478079562054</v>
      </c>
      <c r="HT78" s="32">
        <f t="shared" si="111"/>
        <v>35227.262860357674</v>
      </c>
      <c r="HU78" s="32">
        <f t="shared" si="111"/>
        <v>35579.53548896125</v>
      </c>
      <c r="HV78" s="32">
        <f t="shared" si="111"/>
        <v>35935.330843850861</v>
      </c>
      <c r="HW78" s="32">
        <f t="shared" si="111"/>
        <v>36294.684152289366</v>
      </c>
    </row>
    <row r="79" spans="2:231" s="17" customFormat="1" x14ac:dyDescent="0.2">
      <c r="B79" s="17" t="s">
        <v>21</v>
      </c>
      <c r="C79" s="50">
        <v>1.9072573266926225</v>
      </c>
      <c r="D79" s="50">
        <v>2.0566674424016758</v>
      </c>
      <c r="E79" s="50">
        <v>2.7278037383177569</v>
      </c>
      <c r="F79" s="50">
        <v>2.3449074074074074</v>
      </c>
      <c r="G79" s="50">
        <v>2.6395520047522396</v>
      </c>
      <c r="H79" s="50">
        <v>2.4104238397498516</v>
      </c>
      <c r="I79" s="50">
        <f t="shared" ref="I79:N79" si="112">I78/I80</f>
        <v>4.3591034019903718</v>
      </c>
      <c r="J79" s="50">
        <f t="shared" si="112"/>
        <v>4.8332718305579414</v>
      </c>
      <c r="K79" s="50">
        <f t="shared" si="112"/>
        <v>5.1590452496960513</v>
      </c>
      <c r="L79" s="50">
        <f t="shared" si="112"/>
        <v>5.3120776031701817</v>
      </c>
      <c r="M79" s="50">
        <f t="shared" si="112"/>
        <v>6.9873181393074386</v>
      </c>
      <c r="N79" s="50">
        <f t="shared" si="112"/>
        <v>6.1340468350880464</v>
      </c>
      <c r="O79" s="50">
        <f t="shared" ref="O79:T79" si="113">O78/O80</f>
        <v>5.2228087303102724</v>
      </c>
      <c r="P79" s="50">
        <f t="shared" si="113"/>
        <v>7.1646965490160897</v>
      </c>
      <c r="Q79" s="50">
        <f t="shared" si="113"/>
        <v>5.9856518256585876</v>
      </c>
      <c r="R79" s="50">
        <f t="shared" si="113"/>
        <v>5.5138020691133525</v>
      </c>
      <c r="S79" s="50">
        <f t="shared" si="113"/>
        <v>6.5537264711307364</v>
      </c>
      <c r="T79" s="50">
        <f t="shared" si="113"/>
        <v>3.4119258808663999</v>
      </c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94"/>
      <c r="DB79" s="94"/>
      <c r="DC79" s="94"/>
      <c r="DD79" s="94"/>
      <c r="DE79" s="94"/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94"/>
      <c r="DY79" s="94"/>
      <c r="DZ79" s="94"/>
      <c r="EA79" s="94"/>
      <c r="EB79" s="94"/>
      <c r="EC79" s="94"/>
      <c r="ED79" s="5"/>
      <c r="EE79" s="50"/>
      <c r="EF79" s="50">
        <v>5.3184322359227147</v>
      </c>
      <c r="EG79" s="50">
        <v>3.9639115250291037</v>
      </c>
      <c r="EH79" s="50">
        <v>5.0502424081454445</v>
      </c>
      <c r="EI79" s="50">
        <v>6.1026426057431324</v>
      </c>
      <c r="EJ79" s="50">
        <f t="shared" ref="EJ79:ER79" si="114">EJ78/EJ80</f>
        <v>11.873919426379091</v>
      </c>
      <c r="EK79" s="50">
        <f t="shared" si="114"/>
        <v>13.121364974395485</v>
      </c>
      <c r="EL79" s="50">
        <f>EL78/EL80</f>
        <v>11.345262205286643</v>
      </c>
      <c r="EM79" s="50">
        <f>EM78/EM80</f>
        <v>11.499453894771941</v>
      </c>
      <c r="EN79" s="50">
        <f>EN78/EN80</f>
        <v>9.8763834791372265</v>
      </c>
      <c r="EO79" s="50">
        <f t="shared" si="114"/>
        <v>10.831676352339372</v>
      </c>
      <c r="EP79" s="50">
        <f t="shared" si="114"/>
        <v>-9.1228526343650156</v>
      </c>
      <c r="EQ79" s="50">
        <f t="shared" si="114"/>
        <v>-9.3788819609287533</v>
      </c>
      <c r="ER79" s="50">
        <f t="shared" si="114"/>
        <v>-9.6455467926373348</v>
      </c>
      <c r="ES79" s="50"/>
      <c r="ET79" s="50"/>
      <c r="EU79" s="50"/>
      <c r="EV79" s="50"/>
      <c r="EW79" s="50"/>
      <c r="EX79" s="50"/>
      <c r="EY79" s="49"/>
      <c r="FA79" s="49"/>
      <c r="FB79" s="49"/>
    </row>
    <row r="80" spans="2:231" s="17" customFormat="1" x14ac:dyDescent="0.2">
      <c r="B80" s="15" t="s">
        <v>42</v>
      </c>
      <c r="C80" s="25">
        <v>858.56269999999995</v>
      </c>
      <c r="D80" s="25">
        <v>859.4</v>
      </c>
      <c r="E80" s="25">
        <v>856</v>
      </c>
      <c r="F80" s="25">
        <v>864</v>
      </c>
      <c r="G80" s="25">
        <v>860.56269999999995</v>
      </c>
      <c r="H80" s="25">
        <v>858.56269999999995</v>
      </c>
      <c r="I80" s="25">
        <v>862.56269999999995</v>
      </c>
      <c r="J80" s="25">
        <v>862.56269999999995</v>
      </c>
      <c r="K80" s="25">
        <v>862.56269999999995</v>
      </c>
      <c r="L80" s="25">
        <v>862.56269999999995</v>
      </c>
      <c r="M80" s="25">
        <v>862.56269999999995</v>
      </c>
      <c r="N80" s="25">
        <v>862.56269999999995</v>
      </c>
      <c r="O80" s="25">
        <v>862.56269999999995</v>
      </c>
      <c r="P80" s="25">
        <f>O80</f>
        <v>862.56269999999995</v>
      </c>
      <c r="Q80" s="25">
        <f>P80</f>
        <v>862.56269999999995</v>
      </c>
      <c r="R80" s="25">
        <f>+Q80</f>
        <v>862.56269999999995</v>
      </c>
      <c r="S80" s="25">
        <f>+R80</f>
        <v>862.56269999999995</v>
      </c>
      <c r="T80" s="25">
        <f>+S80</f>
        <v>862.56269999999995</v>
      </c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96"/>
      <c r="AX80" s="96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4"/>
      <c r="CU80" s="94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4"/>
      <c r="DS80" s="94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5"/>
      <c r="EE80" s="25"/>
      <c r="EF80" s="25">
        <v>838.56269999999995</v>
      </c>
      <c r="EG80" s="25">
        <v>859</v>
      </c>
      <c r="EH80" s="25">
        <v>859.56269999999995</v>
      </c>
      <c r="EI80" s="25">
        <v>858</v>
      </c>
      <c r="EJ80" s="25">
        <f>AVERAGE(M80:N80)</f>
        <v>862.56269999999995</v>
      </c>
      <c r="EK80" s="25">
        <f t="shared" ref="EK80:ER80" si="115">EJ80</f>
        <v>862.56269999999995</v>
      </c>
      <c r="EL80" s="25">
        <f t="shared" si="115"/>
        <v>862.56269999999995</v>
      </c>
      <c r="EM80" s="25">
        <f t="shared" si="115"/>
        <v>862.56269999999995</v>
      </c>
      <c r="EN80" s="25">
        <f>EM80</f>
        <v>862.56269999999995</v>
      </c>
      <c r="EO80" s="25">
        <f t="shared" si="115"/>
        <v>862.56269999999995</v>
      </c>
      <c r="EP80" s="25">
        <f t="shared" si="115"/>
        <v>862.56269999999995</v>
      </c>
      <c r="EQ80" s="25">
        <f t="shared" si="115"/>
        <v>862.56269999999995</v>
      </c>
      <c r="ER80" s="25">
        <f t="shared" si="115"/>
        <v>862.56269999999995</v>
      </c>
      <c r="ES80" s="25"/>
      <c r="ET80" s="25"/>
      <c r="EU80" s="25"/>
      <c r="EV80" s="25"/>
      <c r="EW80" s="25"/>
      <c r="EX80" s="25"/>
      <c r="EY80" s="49"/>
      <c r="FA80" s="49"/>
      <c r="FB80" s="49"/>
    </row>
    <row r="81" spans="2:160" s="17" customFormat="1" x14ac:dyDescent="0.2">
      <c r="B81" s="1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96"/>
      <c r="AX81" s="96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  <c r="CY81" s="94"/>
      <c r="CZ81" s="94"/>
      <c r="DA81" s="94"/>
      <c r="DB81" s="94"/>
      <c r="DC81" s="94"/>
      <c r="DD81" s="94"/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94"/>
      <c r="DQ81" s="94"/>
      <c r="DR81" s="94"/>
      <c r="DS81" s="94"/>
      <c r="DT81" s="94"/>
      <c r="DU81" s="94"/>
      <c r="DV81" s="94"/>
      <c r="DW81" s="94"/>
      <c r="DX81" s="94"/>
      <c r="DY81" s="94"/>
      <c r="DZ81" s="94"/>
      <c r="EA81" s="94"/>
      <c r="EB81" s="94"/>
      <c r="EC81" s="94"/>
      <c r="ED81" s="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49"/>
      <c r="FA81" s="49"/>
      <c r="FB81" s="49"/>
    </row>
    <row r="82" spans="2:160" x14ac:dyDescent="0.2">
      <c r="B82" s="15" t="s">
        <v>182</v>
      </c>
      <c r="C82" s="51"/>
      <c r="D82" s="51"/>
      <c r="E82" s="51"/>
      <c r="F82" s="51"/>
      <c r="G82" s="51"/>
      <c r="H82" s="51"/>
      <c r="I82" s="51"/>
      <c r="J82" s="51"/>
      <c r="K82" s="51"/>
      <c r="L82" s="25">
        <v>16088</v>
      </c>
      <c r="M82" s="25">
        <v>15626</v>
      </c>
      <c r="N82" s="25">
        <v>17336</v>
      </c>
      <c r="O82" s="25">
        <v>11171</v>
      </c>
      <c r="P82" s="25"/>
      <c r="Q82" s="25">
        <v>-31000</v>
      </c>
      <c r="R82" s="25">
        <f>Q82+R78</f>
        <v>-26244</v>
      </c>
      <c r="S82" s="25">
        <v>-27520</v>
      </c>
      <c r="T82" s="25">
        <v>-19200</v>
      </c>
      <c r="U82" s="25"/>
      <c r="V82" s="25"/>
      <c r="W82" s="25"/>
      <c r="X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32"/>
      <c r="EE82" s="25"/>
      <c r="EF82" s="25"/>
      <c r="EG82" s="25"/>
      <c r="EH82" s="25"/>
      <c r="EI82" s="25"/>
      <c r="EJ82" s="25"/>
      <c r="EK82" s="25"/>
      <c r="EL82" s="25">
        <f>N82</f>
        <v>17336</v>
      </c>
      <c r="EM82" s="25">
        <f>Q82+4000</f>
        <v>-27000</v>
      </c>
      <c r="EN82" s="25">
        <f>+T82</f>
        <v>-19200</v>
      </c>
      <c r="EO82" s="25">
        <f>EN82+EN78</f>
        <v>-10681</v>
      </c>
      <c r="EP82" s="25">
        <f t="shared" ref="EP82:EQ82" si="116">EO82+EO78</f>
        <v>-1338</v>
      </c>
      <c r="EQ82" s="25">
        <f t="shared" si="116"/>
        <v>-9207.0324000000001</v>
      </c>
      <c r="ER82" s="25">
        <f t="shared" ref="ER82:EW82" si="117">EQ82+EQ78</f>
        <v>-17296.906147199999</v>
      </c>
      <c r="ES82" s="25">
        <f t="shared" si="117"/>
        <v>-25616.795031633599</v>
      </c>
      <c r="ET82" s="25">
        <f t="shared" si="117"/>
        <v>-34176.21362916728</v>
      </c>
      <c r="EU82" s="25">
        <f t="shared" si="117"/>
        <v>-42985.030329543923</v>
      </c>
      <c r="EV82" s="25">
        <f t="shared" si="117"/>
        <v>-52053.480858710194</v>
      </c>
      <c r="EW82" s="25">
        <f t="shared" si="117"/>
        <v>-61392.182314218349</v>
      </c>
      <c r="EX82" s="25"/>
      <c r="EY82" s="25"/>
      <c r="FA82" s="15"/>
      <c r="FB82" s="15"/>
    </row>
    <row r="83" spans="2:160" x14ac:dyDescent="0.2">
      <c r="C83" s="51"/>
      <c r="D83" s="51"/>
      <c r="E83" s="51"/>
      <c r="F83" s="51"/>
      <c r="G83" s="51"/>
      <c r="H83" s="51"/>
      <c r="I83" s="51"/>
      <c r="J83" s="51"/>
      <c r="K83" s="51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32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FA83" s="15"/>
      <c r="FB83" s="15"/>
    </row>
    <row r="84" spans="2:160" s="17" customFormat="1" x14ac:dyDescent="0.2">
      <c r="B84" s="17" t="s">
        <v>8</v>
      </c>
      <c r="C84" s="29">
        <v>0.77400468384074939</v>
      </c>
      <c r="D84" s="29">
        <v>0.77732962447844223</v>
      </c>
      <c r="E84" s="29">
        <v>0.7801872504474735</v>
      </c>
      <c r="F84" s="29">
        <v>0.77574019738596955</v>
      </c>
      <c r="G84" s="29">
        <v>0.74115379319840291</v>
      </c>
      <c r="H84" s="29">
        <v>0.73606295012003198</v>
      </c>
      <c r="I84" s="74">
        <v>0.73841896282035857</v>
      </c>
      <c r="J84" s="74">
        <v>0.74</v>
      </c>
      <c r="K84" s="29">
        <f t="shared" ref="K84:P84" si="118">K65/K62</f>
        <v>0.78804977580734548</v>
      </c>
      <c r="L84" s="29">
        <f t="shared" si="118"/>
        <v>0.77726207642393652</v>
      </c>
      <c r="M84" s="29">
        <f t="shared" si="118"/>
        <v>0.77973452490471806</v>
      </c>
      <c r="N84" s="29">
        <f t="shared" si="118"/>
        <v>0.6776366600875311</v>
      </c>
      <c r="O84" s="29">
        <f t="shared" si="118"/>
        <v>0.75477185966187965</v>
      </c>
      <c r="P84" s="29">
        <f t="shared" si="118"/>
        <v>0.74683437089738702</v>
      </c>
      <c r="Q84" s="29">
        <f>Q65/Q62</f>
        <v>0.75072898442056157</v>
      </c>
      <c r="R84" s="29">
        <f>R65/R62</f>
        <v>0.74099777918781728</v>
      </c>
      <c r="S84" s="29">
        <f>S65/S62</f>
        <v>0.75677869784055851</v>
      </c>
      <c r="T84" s="29">
        <f>T65/T62</f>
        <v>0.75372249308209249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  <c r="DS84" s="49"/>
      <c r="DT84" s="49"/>
      <c r="DU84" s="49"/>
      <c r="DV84" s="49"/>
      <c r="DW84" s="49"/>
      <c r="DX84" s="49"/>
      <c r="DY84" s="49"/>
      <c r="DZ84" s="49"/>
      <c r="EA84" s="49"/>
      <c r="EB84" s="49"/>
      <c r="EC84" s="49"/>
      <c r="EE84" s="29"/>
      <c r="EF84" s="29">
        <f t="shared" ref="EF84:EL84" si="119">EF65/EF62</f>
        <v>0.77042891122535107</v>
      </c>
      <c r="EG84" s="29">
        <f t="shared" si="119"/>
        <v>0.77576314821625603</v>
      </c>
      <c r="EH84" s="29">
        <f t="shared" si="119"/>
        <v>0.73856784770679496</v>
      </c>
      <c r="EI84" s="29">
        <f t="shared" si="119"/>
        <v>0.77874461434485087</v>
      </c>
      <c r="EJ84" s="29">
        <f t="shared" si="119"/>
        <v>0.78235531980685524</v>
      </c>
      <c r="EK84" s="29">
        <f t="shared" si="119"/>
        <v>0.72815555025686607</v>
      </c>
      <c r="EL84" s="29">
        <f t="shared" si="119"/>
        <v>0.75520306480425281</v>
      </c>
      <c r="EM84" s="114">
        <v>0.75800000000000001</v>
      </c>
      <c r="EN84" s="114">
        <f>+EM84+0.25%</f>
        <v>0.76049999999999995</v>
      </c>
      <c r="EO84" s="29">
        <f t="shared" ref="EO84" si="120">EO65/EO62</f>
        <v>0.75641296936352309</v>
      </c>
      <c r="EP84" s="29"/>
      <c r="EQ84" s="29"/>
      <c r="ER84" s="29"/>
      <c r="ES84" s="29"/>
      <c r="ET84" s="29"/>
      <c r="EU84" s="29"/>
      <c r="EV84" s="29"/>
      <c r="EW84" s="29"/>
      <c r="EX84" s="29">
        <f>EX65/EX62</f>
        <v>0.78487046276769024</v>
      </c>
      <c r="EY84" s="29">
        <f t="shared" ref="EY84" si="121">EY65/EY62</f>
        <v>0.75973312526870596</v>
      </c>
      <c r="FA84" s="89" t="s">
        <v>683</v>
      </c>
      <c r="FB84" s="52">
        <v>0.05</v>
      </c>
    </row>
    <row r="85" spans="2:160" x14ac:dyDescent="0.2">
      <c r="B85" s="15" t="s">
        <v>186</v>
      </c>
      <c r="C85" s="28">
        <v>0.2855581576893052</v>
      </c>
      <c r="D85" s="28">
        <v>0.289221140472879</v>
      </c>
      <c r="E85" s="28">
        <v>0.27419798981137272</v>
      </c>
      <c r="F85" s="28">
        <v>0.28620965590824221</v>
      </c>
      <c r="G85" s="28">
        <v>0.27536830510808208</v>
      </c>
      <c r="H85" s="28">
        <v>0.28927714057081888</v>
      </c>
      <c r="I85" s="28">
        <f t="shared" ref="I85:Q85" si="122">I66/I62</f>
        <v>0.26525087233786548</v>
      </c>
      <c r="J85" s="28">
        <f t="shared" si="122"/>
        <v>0.27613955212028163</v>
      </c>
      <c r="K85" s="28">
        <f t="shared" si="122"/>
        <v>0.26238097637160562</v>
      </c>
      <c r="L85" s="28">
        <f t="shared" si="122"/>
        <v>0.25450612833453495</v>
      </c>
      <c r="M85" s="28">
        <f t="shared" si="122"/>
        <v>0.24322074736058177</v>
      </c>
      <c r="N85" s="28">
        <f t="shared" si="122"/>
        <v>0.16197545696387197</v>
      </c>
      <c r="O85" s="28">
        <f t="shared" si="122"/>
        <v>0.19864570078167607</v>
      </c>
      <c r="P85" s="28">
        <f t="shared" si="122"/>
        <v>0.20323550586541311</v>
      </c>
      <c r="Q85" s="28">
        <f t="shared" si="122"/>
        <v>0.19024410564025659</v>
      </c>
      <c r="R85" s="28">
        <f>R66/R62</f>
        <v>0.19463832487309646</v>
      </c>
      <c r="S85" s="28">
        <f>S66/S62</f>
        <v>0.1845267088813119</v>
      </c>
      <c r="T85" s="28">
        <f>T66/T62</f>
        <v>0.21706856414986603</v>
      </c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EE85" s="28"/>
      <c r="EF85" s="28">
        <v>0.3015038747794061</v>
      </c>
      <c r="EG85" s="28">
        <v>0.2874954027215888</v>
      </c>
      <c r="EH85" s="28">
        <v>0.28243343946887067</v>
      </c>
      <c r="EI85" s="28">
        <v>0.27400024467646372</v>
      </c>
      <c r="EJ85" s="28">
        <v>0.27083787651550573</v>
      </c>
      <c r="EK85" s="28">
        <v>0.25664542132384005</v>
      </c>
      <c r="EL85" s="28">
        <f>EL66/EL62</f>
        <v>0.19736134128231064</v>
      </c>
      <c r="EM85" s="28">
        <f>EM66/EM62</f>
        <v>0.19104748462546628</v>
      </c>
      <c r="EN85" s="28">
        <f t="shared" ref="EN85:EX85" si="123">EN66/EN62</f>
        <v>0.20048176478045895</v>
      </c>
      <c r="EO85" s="28">
        <f t="shared" si="123"/>
        <v>0.18925019397615855</v>
      </c>
      <c r="EP85" s="28">
        <f t="shared" si="123"/>
        <v>0.2618464116719243</v>
      </c>
      <c r="EQ85" s="28">
        <f t="shared" si="123"/>
        <v>0.16863670158187261</v>
      </c>
      <c r="ER85" s="28">
        <f t="shared" si="123"/>
        <v>0.16455136005646626</v>
      </c>
      <c r="ES85" s="28">
        <f t="shared" si="123"/>
        <v>0.16249841921123978</v>
      </c>
      <c r="ET85" s="28">
        <f t="shared" si="123"/>
        <v>0.15897565705715799</v>
      </c>
      <c r="EU85" s="28">
        <f t="shared" si="123"/>
        <v>0.1680111236814617</v>
      </c>
      <c r="EV85" s="28">
        <f t="shared" si="123"/>
        <v>0.16212897338195845</v>
      </c>
      <c r="EW85" s="28">
        <f t="shared" si="123"/>
        <v>0.14327935732103186</v>
      </c>
      <c r="EX85" s="28">
        <f t="shared" si="123"/>
        <v>0.16050271762426488</v>
      </c>
      <c r="EY85" s="28">
        <f t="shared" ref="EY85" si="124">EY66/EY62</f>
        <v>0.1503797710227544</v>
      </c>
      <c r="FA85" s="89" t="s">
        <v>288</v>
      </c>
      <c r="FB85" s="52">
        <v>0.01</v>
      </c>
      <c r="FD85" s="104" t="s">
        <v>682</v>
      </c>
    </row>
    <row r="86" spans="2:160" s="17" customFormat="1" x14ac:dyDescent="0.2">
      <c r="B86" s="15" t="s">
        <v>185</v>
      </c>
      <c r="C86" s="28">
        <v>0.33497267759562843</v>
      </c>
      <c r="D86" s="28">
        <v>0.33977746870653686</v>
      </c>
      <c r="E86" s="28">
        <v>0.3208040754509156</v>
      </c>
      <c r="F86" s="28">
        <v>0.33428914377167246</v>
      </c>
      <c r="G86" s="28">
        <v>0.34827206388544679</v>
      </c>
      <c r="H86" s="28">
        <v>0.35769538543611629</v>
      </c>
      <c r="I86" s="28">
        <v>0.33413548309469376</v>
      </c>
      <c r="J86" s="28">
        <v>0.35242098296664276</v>
      </c>
      <c r="K86" s="28">
        <f t="shared" ref="K86:Q86" si="125">K67/K62</f>
        <v>5.40077585772583E-2</v>
      </c>
      <c r="L86" s="28">
        <f t="shared" si="125"/>
        <v>6.6240086517664026E-2</v>
      </c>
      <c r="M86" s="28">
        <f t="shared" si="125"/>
        <v>5.4190213343847202E-2</v>
      </c>
      <c r="N86" s="28">
        <f t="shared" si="125"/>
        <v>5.2175405474984983E-2</v>
      </c>
      <c r="O86" s="28">
        <f t="shared" si="125"/>
        <v>4.9491001636066172E-2</v>
      </c>
      <c r="P86" s="28">
        <f t="shared" si="125"/>
        <v>5.2640494642781518E-2</v>
      </c>
      <c r="Q86" s="28">
        <f t="shared" si="125"/>
        <v>4.0281596267599765E-2</v>
      </c>
      <c r="R86" s="28">
        <f>R67/R62</f>
        <v>4.7906091370558374E-2</v>
      </c>
      <c r="S86" s="28">
        <f>S67/S62</f>
        <v>3.5354765383990905E-2</v>
      </c>
      <c r="T86" s="28">
        <f>T67/T62</f>
        <v>8.7978214081785036E-2</v>
      </c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  <c r="BY86" s="94"/>
      <c r="BZ86" s="94"/>
      <c r="CA86" s="94"/>
      <c r="CB86" s="94"/>
      <c r="CC86" s="94"/>
      <c r="CD86" s="94"/>
      <c r="CE86" s="94"/>
      <c r="CF86" s="94"/>
      <c r="CG86" s="94"/>
      <c r="CH86" s="94"/>
      <c r="CI86" s="94"/>
      <c r="CJ86" s="94"/>
      <c r="CK86" s="94"/>
      <c r="CL86" s="94"/>
      <c r="CM86" s="94"/>
      <c r="CN86" s="94"/>
      <c r="CO86" s="94"/>
      <c r="CP86" s="94"/>
      <c r="CQ86" s="94"/>
      <c r="CR86" s="94"/>
      <c r="CS86" s="94"/>
      <c r="CT86" s="94"/>
      <c r="CU86" s="94"/>
      <c r="CV86" s="94"/>
      <c r="CW86" s="94"/>
      <c r="CX86" s="94"/>
      <c r="CY86" s="94"/>
      <c r="CZ86" s="94"/>
      <c r="DA86" s="94"/>
      <c r="DB86" s="94"/>
      <c r="DC86" s="94"/>
      <c r="DD86" s="94"/>
      <c r="DE86" s="94"/>
      <c r="DF86" s="94"/>
      <c r="DG86" s="94"/>
      <c r="DH86" s="94"/>
      <c r="DI86" s="94"/>
      <c r="DJ86" s="94"/>
      <c r="DK86" s="94"/>
      <c r="DL86" s="94"/>
      <c r="DM86" s="94"/>
      <c r="DN86" s="94"/>
      <c r="DO86" s="94"/>
      <c r="DP86" s="94"/>
      <c r="DQ86" s="94"/>
      <c r="DR86" s="94"/>
      <c r="DS86" s="94"/>
      <c r="DT86" s="94"/>
      <c r="DU86" s="94"/>
      <c r="DV86" s="94"/>
      <c r="DW86" s="94"/>
      <c r="DX86" s="94"/>
      <c r="DY86" s="94"/>
      <c r="DZ86" s="94"/>
      <c r="EA86" s="94"/>
      <c r="EB86" s="94"/>
      <c r="EC86" s="94"/>
      <c r="ED86" s="5"/>
      <c r="EE86" s="28"/>
      <c r="EF86" s="28">
        <v>0.34727230875469961</v>
      </c>
      <c r="EG86" s="28">
        <v>0.33751379183523356</v>
      </c>
      <c r="EH86" s="28">
        <v>0.35305873585800418</v>
      </c>
      <c r="EI86" s="28">
        <v>0.34502251241079884</v>
      </c>
      <c r="EJ86" s="28">
        <v>0.33891166000207307</v>
      </c>
      <c r="EK86" s="28">
        <v>0.32326238327340828</v>
      </c>
      <c r="EL86" s="28">
        <f>EL67/EL62</f>
        <v>5.019047414071412E-2</v>
      </c>
      <c r="EM86" s="28">
        <f>EM67/EM62</f>
        <v>4.3855227341465873E-2</v>
      </c>
      <c r="EN86" s="28">
        <f t="shared" ref="EN86:EX86" si="126">EN67/EN62</f>
        <v>6.0727718378903776E-2</v>
      </c>
      <c r="EO86" s="28">
        <f t="shared" si="126"/>
        <v>5.5065716771296229E-2</v>
      </c>
      <c r="EP86" s="28">
        <f t="shared" si="126"/>
        <v>7.6188880126182967E-2</v>
      </c>
      <c r="EQ86" s="28">
        <f t="shared" si="126"/>
        <v>4.9067853783668229E-2</v>
      </c>
      <c r="ER86" s="28">
        <f t="shared" si="126"/>
        <v>4.787915085752812E-2</v>
      </c>
      <c r="ES86" s="28">
        <f t="shared" si="126"/>
        <v>4.7281811130913592E-2</v>
      </c>
      <c r="ET86" s="28">
        <f t="shared" si="126"/>
        <v>4.6256800699200393E-2</v>
      </c>
      <c r="EU86" s="28">
        <f t="shared" si="126"/>
        <v>4.8885830744438225E-2</v>
      </c>
      <c r="EV86" s="28">
        <f t="shared" si="126"/>
        <v>4.7174314282587483E-2</v>
      </c>
      <c r="EW86" s="28">
        <f t="shared" si="126"/>
        <v>4.1689682550112642E-2</v>
      </c>
      <c r="EX86" s="28">
        <f t="shared" si="126"/>
        <v>4.6739708176877046E-2</v>
      </c>
      <c r="EY86" s="28">
        <f t="shared" ref="EY86" si="127">EY67/EY62</f>
        <v>4.2403783379245552E-2</v>
      </c>
      <c r="FA86" s="89" t="s">
        <v>289</v>
      </c>
      <c r="FB86" s="52">
        <v>0.11</v>
      </c>
      <c r="FD86" s="3" t="s">
        <v>678</v>
      </c>
    </row>
    <row r="87" spans="2:160" x14ac:dyDescent="0.2">
      <c r="B87" s="30" t="s">
        <v>1</v>
      </c>
      <c r="C87" s="28">
        <v>0.16963309914129587</v>
      </c>
      <c r="D87" s="28">
        <v>0.17044506258692629</v>
      </c>
      <c r="E87" s="28">
        <v>0.16060856395428885</v>
      </c>
      <c r="F87" s="28">
        <v>0.18138170178714325</v>
      </c>
      <c r="G87" s="28">
        <v>0.16253614209004544</v>
      </c>
      <c r="H87" s="28">
        <v>0.18624966657775407</v>
      </c>
      <c r="I87" s="28">
        <v>0.1539525929491036</v>
      </c>
      <c r="J87" s="28">
        <v>0.18283130835135153</v>
      </c>
      <c r="K87" s="28">
        <f t="shared" ref="K87:Q87" si="128">K68/K62</f>
        <v>0.15431507884528187</v>
      </c>
      <c r="L87" s="28">
        <f t="shared" si="128"/>
        <v>0.15888608507570295</v>
      </c>
      <c r="M87" s="28">
        <f t="shared" si="128"/>
        <v>0.15924124939764314</v>
      </c>
      <c r="N87" s="28">
        <f t="shared" si="128"/>
        <v>0.20381017763666009</v>
      </c>
      <c r="O87" s="28">
        <f t="shared" si="128"/>
        <v>0.18664788220323578</v>
      </c>
      <c r="P87" s="28">
        <f t="shared" si="128"/>
        <v>0.20065218311946809</v>
      </c>
      <c r="Q87" s="28">
        <f t="shared" si="128"/>
        <v>0.18820294926268433</v>
      </c>
      <c r="R87" s="28">
        <f>R68/R62</f>
        <v>0.21240482233502539</v>
      </c>
      <c r="S87" s="28">
        <f>S68/S62</f>
        <v>0.18148238350381554</v>
      </c>
      <c r="T87" s="28">
        <f>T68/T62</f>
        <v>0.24399349936311326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EE87" s="28"/>
      <c r="EF87" s="28">
        <v>0.15852067827821684</v>
      </c>
      <c r="EG87" s="28">
        <v>0.17006252298639205</v>
      </c>
      <c r="EH87" s="28">
        <v>0.17458166790867827</v>
      </c>
      <c r="EI87" s="28">
        <v>0.16883613144566781</v>
      </c>
      <c r="EJ87" s="28">
        <v>0.17008854048286479</v>
      </c>
      <c r="EK87" s="28">
        <v>0.16445100677776556</v>
      </c>
      <c r="EL87" s="28">
        <f>EL68/EL62</f>
        <v>0.19036652820523858</v>
      </c>
      <c r="EM87" s="28">
        <f>EM68/EM62</f>
        <v>0.19909265046879726</v>
      </c>
      <c r="EN87" s="28">
        <f t="shared" ref="EN87:EX87" si="129">EN68/EN62</f>
        <v>0.21184972319655157</v>
      </c>
      <c r="EO87" s="28">
        <f t="shared" si="129"/>
        <v>0.19576309045167054</v>
      </c>
      <c r="EP87" s="28">
        <f t="shared" si="129"/>
        <v>0</v>
      </c>
      <c r="EQ87" s="28">
        <f t="shared" si="129"/>
        <v>0</v>
      </c>
      <c r="ER87" s="28">
        <f t="shared" si="129"/>
        <v>0</v>
      </c>
      <c r="ES87" s="28">
        <f t="shared" si="129"/>
        <v>0</v>
      </c>
      <c r="ET87" s="28">
        <f t="shared" si="129"/>
        <v>0</v>
      </c>
      <c r="EU87" s="28">
        <f t="shared" si="129"/>
        <v>0</v>
      </c>
      <c r="EV87" s="28">
        <f t="shared" si="129"/>
        <v>0</v>
      </c>
      <c r="EW87" s="28">
        <f t="shared" si="129"/>
        <v>0</v>
      </c>
      <c r="EX87" s="28">
        <f t="shared" si="129"/>
        <v>0.20837405483257035</v>
      </c>
      <c r="EY87" s="28">
        <f t="shared" ref="EY87" si="130">EY68/EY62</f>
        <v>0.21827677903218101</v>
      </c>
      <c r="FA87" s="115" t="s">
        <v>707</v>
      </c>
      <c r="FB87" s="25">
        <f>NPV(FB86,EQ78:HZ78)+Main!J5-Main!J6+EP78</f>
        <v>13928.006012798654</v>
      </c>
      <c r="FD87" s="3" t="s">
        <v>679</v>
      </c>
    </row>
    <row r="88" spans="2:160" s="17" customFormat="1" x14ac:dyDescent="0.2">
      <c r="B88" s="17" t="s">
        <v>149</v>
      </c>
      <c r="C88" s="29">
        <v>0.22115534738485559</v>
      </c>
      <c r="D88" s="29">
        <v>0.20584144645340752</v>
      </c>
      <c r="E88" s="29">
        <v>0.25478452430125292</v>
      </c>
      <c r="F88" s="29">
        <v>0.21665777540677514</v>
      </c>
      <c r="G88" s="29">
        <v>0.24280600302905136</v>
      </c>
      <c r="H88" s="29">
        <v>0.21599093091491064</v>
      </c>
      <c r="I88" s="29">
        <v>0.26308506798219228</v>
      </c>
      <c r="J88" s="29">
        <v>0.22392567642135672</v>
      </c>
      <c r="K88" s="29">
        <f t="shared" ref="K88:R88" si="131">K71/K62</f>
        <v>0.31734596201319965</v>
      </c>
      <c r="L88" s="29">
        <f t="shared" si="131"/>
        <v>0.29762977649603461</v>
      </c>
      <c r="M88" s="29">
        <f t="shared" si="131"/>
        <v>0.37608971831602928</v>
      </c>
      <c r="N88" s="29">
        <f t="shared" si="131"/>
        <v>0.31931691409937357</v>
      </c>
      <c r="O88" s="29">
        <f t="shared" si="131"/>
        <v>0.31998727504090163</v>
      </c>
      <c r="P88" s="29">
        <f t="shared" si="131"/>
        <v>0.29030618726972429</v>
      </c>
      <c r="Q88" s="29">
        <f t="shared" si="131"/>
        <v>0.33200033325002082</v>
      </c>
      <c r="R88" s="29">
        <f t="shared" si="131"/>
        <v>0.28604854060913704</v>
      </c>
      <c r="S88" s="29">
        <f t="shared" ref="S88:T88" si="132">S71/S62</f>
        <v>0.35541484007144014</v>
      </c>
      <c r="T88" s="29">
        <f t="shared" si="132"/>
        <v>0.20468221548732815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/>
      <c r="CD88" s="94"/>
      <c r="CE88" s="94"/>
      <c r="CF88" s="94"/>
      <c r="CG88" s="94"/>
      <c r="CH88" s="94"/>
      <c r="CI88" s="94"/>
      <c r="CJ88" s="94"/>
      <c r="CK88" s="94"/>
      <c r="CL88" s="94"/>
      <c r="CM88" s="94"/>
      <c r="CN88" s="94"/>
      <c r="CO88" s="94"/>
      <c r="CP88" s="94"/>
      <c r="CQ88" s="94"/>
      <c r="CR88" s="94"/>
      <c r="CS88" s="94"/>
      <c r="CT88" s="94"/>
      <c r="CU88" s="94"/>
      <c r="CV88" s="94"/>
      <c r="CW88" s="94"/>
      <c r="CX88" s="94"/>
      <c r="CY88" s="94"/>
      <c r="CZ88" s="94"/>
      <c r="DA88" s="94"/>
      <c r="DB88" s="94"/>
      <c r="DC88" s="94"/>
      <c r="DD88" s="94"/>
      <c r="DE88" s="94"/>
      <c r="DF88" s="94"/>
      <c r="DG88" s="94"/>
      <c r="DH88" s="94"/>
      <c r="DI88" s="94"/>
      <c r="DJ88" s="94"/>
      <c r="DK88" s="94"/>
      <c r="DL88" s="94"/>
      <c r="DM88" s="94"/>
      <c r="DN88" s="94"/>
      <c r="DO88" s="94"/>
      <c r="DP88" s="94"/>
      <c r="DQ88" s="94"/>
      <c r="DR88" s="94"/>
      <c r="DS88" s="94"/>
      <c r="DT88" s="94"/>
      <c r="DU88" s="94"/>
      <c r="DV88" s="94"/>
      <c r="DW88" s="94"/>
      <c r="DX88" s="94"/>
      <c r="DY88" s="94"/>
      <c r="DZ88" s="94"/>
      <c r="EA88" s="94"/>
      <c r="EB88" s="94"/>
      <c r="EC88" s="94"/>
      <c r="ED88" s="5"/>
      <c r="EE88" s="29"/>
      <c r="EF88" s="29">
        <v>0.20037596869485153</v>
      </c>
      <c r="EG88" s="29">
        <v>0.21305627068775285</v>
      </c>
      <c r="EH88" s="29">
        <v>0.22918501456540885</v>
      </c>
      <c r="EI88" s="29">
        <v>0.2429030652968388</v>
      </c>
      <c r="EJ88" s="29">
        <f>EJ71/EJ62</f>
        <v>0.33571989248590661</v>
      </c>
      <c r="EK88" s="29">
        <f>EK71/EK62</f>
        <v>0.34740857954175969</v>
      </c>
      <c r="EL88" s="29">
        <f>EL71/EL62</f>
        <v>0.31728472117598949</v>
      </c>
      <c r="EM88" s="29">
        <f>EM71/EM62</f>
        <v>0.30613973182780524</v>
      </c>
      <c r="EN88" s="29">
        <f t="shared" ref="EN88:EX88" si="133">EN71/EN62</f>
        <v>0.28185352660271312</v>
      </c>
      <c r="EO88" s="29">
        <f t="shared" si="133"/>
        <v>0.31633396816439774</v>
      </c>
      <c r="EP88" s="29">
        <f t="shared" si="133"/>
        <v>-0.33803529179810726</v>
      </c>
      <c r="EQ88" s="29">
        <f t="shared" si="133"/>
        <v>-0.21770455536554084</v>
      </c>
      <c r="ER88" s="29">
        <f t="shared" si="133"/>
        <v>-0.21243051091399437</v>
      </c>
      <c r="ES88" s="29">
        <f t="shared" si="133"/>
        <v>-0.20978023034215337</v>
      </c>
      <c r="ET88" s="29">
        <f t="shared" si="133"/>
        <v>-0.20523245775635837</v>
      </c>
      <c r="EU88" s="29">
        <f t="shared" si="133"/>
        <v>-0.21689695442589996</v>
      </c>
      <c r="EV88" s="29">
        <f t="shared" si="133"/>
        <v>-0.20930328766454592</v>
      </c>
      <c r="EW88" s="29">
        <f t="shared" si="133"/>
        <v>-0.18496903987114449</v>
      </c>
      <c r="EX88" s="29">
        <f t="shared" si="133"/>
        <v>0.36925398213397803</v>
      </c>
      <c r="EY88" s="29">
        <f t="shared" ref="EY88" si="134">EY71/EY62</f>
        <v>0.34867279183452493</v>
      </c>
      <c r="FA88" s="115" t="s">
        <v>708</v>
      </c>
      <c r="FB88" s="51">
        <f>FB87/Main!J3</f>
        <v>17.401241640521906</v>
      </c>
      <c r="FD88" s="3" t="s">
        <v>680</v>
      </c>
    </row>
    <row r="89" spans="2:160" x14ac:dyDescent="0.2">
      <c r="B89" s="15" t="s">
        <v>10</v>
      </c>
      <c r="C89" s="28">
        <v>0.1923497267759563</v>
      </c>
      <c r="D89" s="28">
        <v>0.18463143254520167</v>
      </c>
      <c r="E89" s="28">
        <v>0.23647253201156546</v>
      </c>
      <c r="F89" s="28">
        <v>0.20892237930114696</v>
      </c>
      <c r="G89" s="28">
        <v>0.22924411400247832</v>
      </c>
      <c r="H89" s="28">
        <v>0.20905574819951986</v>
      </c>
      <c r="I89" s="28">
        <v>0.26633377451570206</v>
      </c>
      <c r="J89" s="28">
        <v>0.21662116376542248</v>
      </c>
      <c r="K89" s="28"/>
      <c r="L89" s="28"/>
      <c r="M89" s="28"/>
      <c r="N89" s="28"/>
      <c r="O89" s="28"/>
      <c r="P89" s="28"/>
      <c r="Q89" s="28"/>
      <c r="R89" s="28">
        <f>R74/R62</f>
        <v>0.24175126903553298</v>
      </c>
      <c r="S89" s="28">
        <f>S74/S62</f>
        <v>0.30646208800129893</v>
      </c>
      <c r="T89" s="28">
        <f>T74/T62</f>
        <v>0.15772829094742391</v>
      </c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EE89" s="28"/>
      <c r="EF89" s="28">
        <v>0.23098438178172287</v>
      </c>
      <c r="EG89" s="28">
        <v>0.18826774549466715</v>
      </c>
      <c r="EH89" s="28">
        <v>0.2189892283720615</v>
      </c>
      <c r="EI89" s="28">
        <v>0.24071284416750166</v>
      </c>
      <c r="EJ89" s="28">
        <v>0.27114359566035856</v>
      </c>
      <c r="EK89" s="28">
        <v>0.30398791565649136</v>
      </c>
      <c r="EL89" s="28">
        <f t="shared" ref="EL89:EX89" si="135">EL74/EL62</f>
        <v>0.32236403159503263</v>
      </c>
      <c r="EM89" s="28">
        <f t="shared" si="135"/>
        <v>0.2725073092045569</v>
      </c>
      <c r="EN89" s="28">
        <f t="shared" si="135"/>
        <v>0.23378269872797194</v>
      </c>
      <c r="EO89" s="28">
        <f t="shared" si="135"/>
        <v>0.27944322964425949</v>
      </c>
      <c r="EP89" s="28">
        <f t="shared" si="135"/>
        <v>-0.34023363564668768</v>
      </c>
      <c r="EQ89" s="28">
        <f t="shared" si="135"/>
        <v>-0.2275453339033775</v>
      </c>
      <c r="ER89" s="28">
        <f t="shared" si="135"/>
        <v>-0.23065235802031098</v>
      </c>
      <c r="ES89" s="28">
        <f t="shared" si="135"/>
        <v>-0.23669937352076836</v>
      </c>
      <c r="ET89" s="28">
        <f t="shared" si="135"/>
        <v>-0.24072251323951199</v>
      </c>
      <c r="EU89" s="28">
        <f t="shared" si="135"/>
        <v>-0.26454797243931771</v>
      </c>
      <c r="EV89" s="28">
        <f t="shared" si="135"/>
        <v>-0.26554935001052543</v>
      </c>
      <c r="EW89" s="28">
        <f t="shared" si="135"/>
        <v>-0.24418560556188507</v>
      </c>
      <c r="EX89" s="28">
        <f t="shared" si="135"/>
        <v>0.35958369768358966</v>
      </c>
      <c r="EY89" s="28">
        <f t="shared" ref="EY89" si="136">EY74/EY62</f>
        <v>0.33671438352892469</v>
      </c>
      <c r="FA89" s="115" t="s">
        <v>709</v>
      </c>
      <c r="FB89" s="105">
        <f>FB88/Main!J2-1</f>
        <v>-0.94618450087978379</v>
      </c>
      <c r="FD89" s="3" t="s">
        <v>681</v>
      </c>
    </row>
    <row r="90" spans="2:160" x14ac:dyDescent="0.2">
      <c r="B90" s="15" t="s">
        <v>11</v>
      </c>
      <c r="C90" s="28">
        <v>0.26704545454545453</v>
      </c>
      <c r="D90" s="28">
        <v>0.24896421845574387</v>
      </c>
      <c r="E90" s="28">
        <v>0.2430858806404658</v>
      </c>
      <c r="F90" s="28">
        <v>0.25853814235556977</v>
      </c>
      <c r="G90" s="28">
        <v>0.24204204204204205</v>
      </c>
      <c r="H90" s="28">
        <v>0.25486443381180224</v>
      </c>
      <c r="I90" s="28">
        <v>0.24734583239213914</v>
      </c>
      <c r="J90" s="28">
        <v>0.25700000000000001</v>
      </c>
      <c r="K90" s="28">
        <f t="shared" ref="K90:R90" si="137">K75/K74</f>
        <v>0.25301204819277107</v>
      </c>
      <c r="L90" s="28">
        <f t="shared" si="137"/>
        <v>0.24658897100625354</v>
      </c>
      <c r="M90" s="28">
        <f t="shared" si="137"/>
        <v>0.23280132085855806</v>
      </c>
      <c r="N90" s="28">
        <f t="shared" si="137"/>
        <v>0.22530864197530864</v>
      </c>
      <c r="O90" s="28">
        <f t="shared" si="137"/>
        <v>0.25570211596592468</v>
      </c>
      <c r="P90" s="28">
        <f t="shared" si="137"/>
        <v>0</v>
      </c>
      <c r="Q90" s="28">
        <f t="shared" si="137"/>
        <v>0.2261760345059981</v>
      </c>
      <c r="R90" s="28">
        <f t="shared" si="137"/>
        <v>0.19553805774278216</v>
      </c>
      <c r="S90" s="28">
        <f t="shared" ref="S90:T90" si="138">S75/S74</f>
        <v>0.23841059602649006</v>
      </c>
      <c r="T90" s="28">
        <f t="shared" si="138"/>
        <v>0.14480646059593427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EE90" s="28"/>
      <c r="EF90" s="28">
        <v>0.2649132500765265</v>
      </c>
      <c r="EG90" s="28">
        <v>0.25766751318616915</v>
      </c>
      <c r="EH90" s="28">
        <v>0.24825986078886311</v>
      </c>
      <c r="EI90" s="28">
        <v>0.25182342708389949</v>
      </c>
      <c r="EJ90" s="28">
        <v>0.27200000000000002</v>
      </c>
      <c r="EK90" s="28">
        <v>0.28000000000000003</v>
      </c>
      <c r="EL90" s="28">
        <f>EL75/EL74</f>
        <v>0.22145813860328481</v>
      </c>
      <c r="EM90" s="28">
        <f>EM75/EM74</f>
        <v>0.21235664076951535</v>
      </c>
      <c r="EN90" s="28">
        <f>EN75/EN74</f>
        <v>0.2096890817064353</v>
      </c>
      <c r="EO90" s="28">
        <f t="shared" ref="EO90:EW90" si="139">EO75/EO74</f>
        <v>0.19697097181320994</v>
      </c>
      <c r="EP90" s="28">
        <f t="shared" si="139"/>
        <v>0.24</v>
      </c>
      <c r="EQ90" s="28">
        <f t="shared" si="139"/>
        <v>0.24</v>
      </c>
      <c r="ER90" s="28">
        <f t="shared" si="139"/>
        <v>0.24</v>
      </c>
      <c r="ES90" s="28">
        <f t="shared" si="139"/>
        <v>0.23999999999999996</v>
      </c>
      <c r="ET90" s="28">
        <f t="shared" si="139"/>
        <v>0.24</v>
      </c>
      <c r="EU90" s="28">
        <f t="shared" si="139"/>
        <v>0.24</v>
      </c>
      <c r="EV90" s="28">
        <f t="shared" si="139"/>
        <v>0.24</v>
      </c>
      <c r="EW90" s="28">
        <f t="shared" si="139"/>
        <v>0.24</v>
      </c>
      <c r="EX90" s="28">
        <f>EX75/EX74</f>
        <v>0.17137135227922945</v>
      </c>
      <c r="EY90" s="28">
        <f t="shared" ref="EY90" si="140">EY75/EY74</f>
        <v>0.14541757306346353</v>
      </c>
    </row>
    <row r="91" spans="2:160" s="17" customFormat="1" x14ac:dyDescent="0.2">
      <c r="B91" s="17" t="s">
        <v>20</v>
      </c>
      <c r="C91" s="29">
        <v>0.12782982045277128</v>
      </c>
      <c r="D91" s="29">
        <v>0.12291376912378303</v>
      </c>
      <c r="E91" s="29">
        <v>0.1607462481068429</v>
      </c>
      <c r="F91" s="29">
        <v>0.13510269405174713</v>
      </c>
      <c r="G91" s="29">
        <v>0.15637477626325211</v>
      </c>
      <c r="H91" s="29">
        <v>0.1380034675913577</v>
      </c>
      <c r="I91" s="29">
        <v>0.17350499338226447</v>
      </c>
      <c r="J91" s="29">
        <v>0.1330572899949157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4"/>
      <c r="CF91" s="94"/>
      <c r="CG91" s="94"/>
      <c r="CH91" s="94"/>
      <c r="CI91" s="94"/>
      <c r="CJ91" s="94"/>
      <c r="CK91" s="94"/>
      <c r="CL91" s="94"/>
      <c r="CM91" s="94"/>
      <c r="CN91" s="94"/>
      <c r="CO91" s="94"/>
      <c r="CP91" s="94"/>
      <c r="CQ91" s="94"/>
      <c r="CR91" s="94"/>
      <c r="CS91" s="94"/>
      <c r="CT91" s="94"/>
      <c r="CU91" s="94"/>
      <c r="CV91" s="94"/>
      <c r="CW91" s="94"/>
      <c r="CX91" s="94"/>
      <c r="CY91" s="94"/>
      <c r="CZ91" s="94"/>
      <c r="DA91" s="94"/>
      <c r="DB91" s="94"/>
      <c r="DC91" s="94"/>
      <c r="DD91" s="94"/>
      <c r="DE91" s="94"/>
      <c r="DF91" s="94"/>
      <c r="DG91" s="94"/>
      <c r="DH91" s="94"/>
      <c r="DI91" s="94"/>
      <c r="DJ91" s="94"/>
      <c r="DK91" s="94"/>
      <c r="DL91" s="94"/>
      <c r="DM91" s="94"/>
      <c r="DN91" s="94"/>
      <c r="DO91" s="94"/>
      <c r="DP91" s="94"/>
      <c r="DQ91" s="94"/>
      <c r="DR91" s="94"/>
      <c r="DS91" s="94"/>
      <c r="DT91" s="94"/>
      <c r="DU91" s="94"/>
      <c r="DV91" s="94"/>
      <c r="DW91" s="94"/>
      <c r="DX91" s="94"/>
      <c r="DY91" s="94"/>
      <c r="DZ91" s="94"/>
      <c r="EA91" s="94"/>
      <c r="EB91" s="94"/>
      <c r="EC91" s="94"/>
      <c r="ED91" s="5"/>
      <c r="EE91" s="29"/>
      <c r="EF91" s="29">
        <v>0.17109793967322903</v>
      </c>
      <c r="EG91" s="29">
        <v>0.12522986392055904</v>
      </c>
      <c r="EH91" s="29">
        <v>0.14704288327349097</v>
      </c>
      <c r="EI91" s="29">
        <v>0.15265901938106788</v>
      </c>
      <c r="EJ91" s="29">
        <v>0.16483039249577047</v>
      </c>
      <c r="EK91" s="29">
        <v>0.17561949193815188</v>
      </c>
      <c r="EL91" s="29">
        <f t="shared" ref="EL91:EW91" si="141">EL78/EL62</f>
        <v>0.2106192023760842</v>
      </c>
      <c r="EM91" s="29">
        <f t="shared" si="141"/>
        <v>0.2</v>
      </c>
      <c r="EN91" s="29">
        <f t="shared" si="141"/>
        <v>0.1800067616109538</v>
      </c>
      <c r="EO91" s="29">
        <f t="shared" si="141"/>
        <v>0.21967506054407374</v>
      </c>
      <c r="EP91" s="29">
        <f t="shared" si="141"/>
        <v>-0.25857756309148267</v>
      </c>
      <c r="EQ91" s="29">
        <f t="shared" si="141"/>
        <v>-0.17293445376656688</v>
      </c>
      <c r="ER91" s="29">
        <f t="shared" si="141"/>
        <v>-0.17529579209543633</v>
      </c>
      <c r="ES91" s="29">
        <f t="shared" si="141"/>
        <v>-0.17989152387578397</v>
      </c>
      <c r="ET91" s="29">
        <f t="shared" si="141"/>
        <v>-0.1829491100620291</v>
      </c>
      <c r="EU91" s="29">
        <f t="shared" si="141"/>
        <v>-0.20105645905388148</v>
      </c>
      <c r="EV91" s="29">
        <f t="shared" si="141"/>
        <v>-0.20181750600799933</v>
      </c>
      <c r="EW91" s="29">
        <f t="shared" si="141"/>
        <v>-0.18558106022703266</v>
      </c>
      <c r="EX91" s="29">
        <f>EX78/EX62</f>
        <v>0.28422749172710593</v>
      </c>
      <c r="EY91" s="29">
        <f>EY78/EY62</f>
        <v>0.27130141239789174</v>
      </c>
      <c r="FA91" s="49"/>
      <c r="FB91" s="49"/>
    </row>
    <row r="92" spans="2:160" x14ac:dyDescent="0.2">
      <c r="B92" s="15" t="s">
        <v>7</v>
      </c>
      <c r="C92" s="28">
        <v>0.11280249804839969</v>
      </c>
      <c r="D92" s="28">
        <v>0.11328233657858136</v>
      </c>
      <c r="E92" s="28">
        <v>0.19454770755885997</v>
      </c>
      <c r="F92" s="28">
        <v>0.10089357161909843</v>
      </c>
      <c r="G92" s="28">
        <v>0.18718160539721879</v>
      </c>
      <c r="H92" s="28">
        <v>9.8826353694318483E-2</v>
      </c>
      <c r="I92" s="28">
        <v>0.16827096618938756</v>
      </c>
      <c r="J92" s="28">
        <v>0.13251987160344253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EE92" s="28"/>
      <c r="EF92" s="28">
        <v>-4.0346087028221136E-2</v>
      </c>
      <c r="EG92" s="28">
        <v>0.11305627068775286</v>
      </c>
      <c r="EH92" s="28">
        <v>0.14230065713705034</v>
      </c>
      <c r="EI92" s="28">
        <v>0.15410220583112316</v>
      </c>
      <c r="EJ92" s="28">
        <v>0.16469033218166365</v>
      </c>
      <c r="EK92" s="28">
        <v>0.17550225150897455</v>
      </c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</row>
    <row r="93" spans="2:160" x14ac:dyDescent="0.2">
      <c r="G93" s="23"/>
      <c r="H93" s="23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</row>
    <row r="94" spans="2:160" s="17" customFormat="1" x14ac:dyDescent="0.2">
      <c r="B94" s="17" t="s">
        <v>184</v>
      </c>
      <c r="C94" s="76" t="s">
        <v>12</v>
      </c>
      <c r="D94" s="76" t="s">
        <v>12</v>
      </c>
      <c r="E94" s="29">
        <v>0.13395784543325528</v>
      </c>
      <c r="F94" s="29">
        <v>4.2837273991655156E-2</v>
      </c>
      <c r="G94" s="76" t="s">
        <v>12</v>
      </c>
      <c r="H94" s="76" t="s">
        <v>12</v>
      </c>
      <c r="I94" s="29">
        <v>0.14429299187663491</v>
      </c>
      <c r="J94" s="29">
        <v>7.3267007224671055E-2</v>
      </c>
      <c r="K94" s="29">
        <f t="shared" ref="K94:T94" si="142">K62/I62-1</f>
        <v>0.19414029599326188</v>
      </c>
      <c r="L94" s="29">
        <f t="shared" si="142"/>
        <v>0.17486367727248653</v>
      </c>
      <c r="M94" s="29">
        <f t="shared" si="142"/>
        <v>0.1500327472416747</v>
      </c>
      <c r="N94" s="29">
        <f t="shared" si="142"/>
        <v>5.0198269646719584E-2</v>
      </c>
      <c r="O94" s="29">
        <f t="shared" si="142"/>
        <v>-3.6053795943400413E-2</v>
      </c>
      <c r="P94" s="29">
        <f t="shared" si="142"/>
        <v>1.3172573586200942E-2</v>
      </c>
      <c r="Q94" s="29">
        <f t="shared" si="142"/>
        <v>9.0983457553172054E-2</v>
      </c>
      <c r="R94" s="29">
        <f t="shared" si="142"/>
        <v>6.7886333799178411E-2</v>
      </c>
      <c r="S94" s="29">
        <f t="shared" si="142"/>
        <v>2.6243439140214875E-2</v>
      </c>
      <c r="T94" s="29">
        <f t="shared" si="142"/>
        <v>-9.7120875634517767E-2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80"/>
      <c r="BH94" s="80"/>
      <c r="BI94" s="80"/>
      <c r="BJ94" s="80"/>
      <c r="BK94" s="80"/>
      <c r="BL94" s="80"/>
      <c r="BM94" s="80"/>
      <c r="BN94" s="80"/>
      <c r="BO94" s="80"/>
      <c r="BP94" s="80">
        <f t="shared" ref="BP94:BQ94" si="143">BP62/BL62-1</f>
        <v>2.3527361449982021E-3</v>
      </c>
      <c r="BQ94" s="80">
        <f t="shared" si="143"/>
        <v>-1.7546658159196538E-3</v>
      </c>
      <c r="BR94" s="80">
        <f t="shared" ref="BR94:BW94" si="144">BR62/BN62-1</f>
        <v>6.0909583107742193E-2</v>
      </c>
      <c r="BS94" s="80">
        <f t="shared" si="144"/>
        <v>0.1108959690195388</v>
      </c>
      <c r="BT94" s="80">
        <f t="shared" si="144"/>
        <v>9.2236807789272346E-2</v>
      </c>
      <c r="BU94" s="80">
        <f t="shared" si="144"/>
        <v>1.0866091403004097E-2</v>
      </c>
      <c r="BV94" s="80">
        <f t="shared" si="144"/>
        <v>-6.1835502253976382E-2</v>
      </c>
      <c r="BW94" s="80">
        <f t="shared" si="144"/>
        <v>-1.8301378545396929E-2</v>
      </c>
      <c r="BX94" s="80">
        <f t="shared" ref="BX94" si="145">BX62/BT62-1</f>
        <v>-8.5402737981534527E-2</v>
      </c>
      <c r="BY94" s="80">
        <f t="shared" ref="BY94" si="146">BY62/BU62-1</f>
        <v>-0.10322478659500478</v>
      </c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E94" s="29"/>
      <c r="EF94" s="29"/>
      <c r="EG94" s="29">
        <v>4.3121307450318502E-2</v>
      </c>
      <c r="EH94" s="29"/>
      <c r="EI94" s="29">
        <f t="shared" ref="EI94:EJ94" si="147">EI62/EH62-1</f>
        <v>0.20286565950816349</v>
      </c>
      <c r="EJ94" s="29">
        <f t="shared" si="147"/>
        <v>0.18388668299963395</v>
      </c>
      <c r="EK94" s="29">
        <f>EK62/EJ62-1</f>
        <v>9.733355533883592E-2</v>
      </c>
      <c r="EL94" s="29">
        <f>EL62/EK62-1</f>
        <v>7.1532308759456598E-3</v>
      </c>
      <c r="EM94" s="29">
        <f>EM62/EL62-1</f>
        <v>6.7408475561199221E-2</v>
      </c>
      <c r="EN94" s="29">
        <f>EN62/EM62-1</f>
        <v>-4.5750579695533866E-2</v>
      </c>
      <c r="EO94" s="29">
        <f t="shared" ref="EO94:EQ94" si="148">EO62/EN62-1</f>
        <v>-0.10131851413599291</v>
      </c>
      <c r="EP94" s="29">
        <f t="shared" si="148"/>
        <v>-0.28447485363617131</v>
      </c>
      <c r="EQ94" s="29">
        <f t="shared" si="148"/>
        <v>0.53719768664563627</v>
      </c>
      <c r="ER94" s="29">
        <f t="shared" ref="ER94" si="149">ER62/EQ62-1</f>
        <v>1.4578879863189398E-2</v>
      </c>
      <c r="ES94" s="29">
        <f t="shared" ref="ES94" si="150">ES62/ER62-1</f>
        <v>2.5072689730731845E-3</v>
      </c>
      <c r="ET94" s="29">
        <f t="shared" ref="ET94" si="151">ET62/ES62-1</f>
        <v>1.1937538092936295E-2</v>
      </c>
      <c r="EU94" s="29">
        <f t="shared" ref="EU94" si="152">EU62/ET62-1</f>
        <v>-6.3241188809736393E-2</v>
      </c>
      <c r="EV94" s="29">
        <f t="shared" ref="EV94" si="153">EV62/EU62-1</f>
        <v>2.5917878680383089E-2</v>
      </c>
      <c r="EW94" s="29">
        <f t="shared" ref="EW94" si="154">EW62/EV62-1</f>
        <v>0.12024290623041511</v>
      </c>
      <c r="EX94" s="29">
        <f t="shared" ref="EX94" si="155">EX62/EW62-1</f>
        <v>0.12512298165403091</v>
      </c>
      <c r="EY94" s="29">
        <f t="shared" ref="EY94" si="156">EY62/EX62-1</f>
        <v>7.6779315192976982E-2</v>
      </c>
      <c r="FA94" s="49"/>
      <c r="FB94" s="49"/>
    </row>
    <row r="95" spans="2:160" s="17" customFormat="1" x14ac:dyDescent="0.2">
      <c r="B95" s="17" t="s">
        <v>338</v>
      </c>
      <c r="C95" s="76"/>
      <c r="D95" s="76"/>
      <c r="E95" s="29"/>
      <c r="F95" s="29"/>
      <c r="G95" s="76"/>
      <c r="H95" s="76"/>
      <c r="I95" s="29"/>
      <c r="J95" s="29"/>
      <c r="K95" s="29"/>
      <c r="L95" s="29"/>
      <c r="M95" s="29"/>
      <c r="N95" s="29"/>
      <c r="O95" s="29"/>
      <c r="P95" s="29"/>
      <c r="Q95" s="29">
        <v>0.1</v>
      </c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80"/>
      <c r="BS95" s="49"/>
      <c r="BT95" s="80">
        <v>0.14000000000000001</v>
      </c>
      <c r="BU95" s="49"/>
      <c r="BV95" s="80">
        <v>0.09</v>
      </c>
      <c r="BW95" s="80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  <c r="DS95" s="49"/>
      <c r="DT95" s="49"/>
      <c r="DU95" s="49"/>
      <c r="DV95" s="49"/>
      <c r="DW95" s="49"/>
      <c r="DX95" s="49"/>
      <c r="DY95" s="49"/>
      <c r="DZ95" s="49"/>
      <c r="EA95" s="49"/>
      <c r="EB95" s="49"/>
      <c r="EC95" s="49"/>
      <c r="EE95" s="29"/>
      <c r="EF95" s="29"/>
      <c r="EG95" s="29"/>
      <c r="EH95" s="29"/>
      <c r="EI95" s="29"/>
      <c r="EJ95" s="29">
        <v>0.17399999999999999</v>
      </c>
      <c r="EK95" s="29">
        <v>0.10199999999999999</v>
      </c>
      <c r="EL95" s="29">
        <v>5.8999999999999997E-2</v>
      </c>
      <c r="EM95" s="29">
        <v>0.1</v>
      </c>
      <c r="EN95" s="29">
        <v>0</v>
      </c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49"/>
      <c r="FA95" s="49"/>
      <c r="FB95" s="49"/>
    </row>
    <row r="96" spans="2:160" s="17" customFormat="1" x14ac:dyDescent="0.2">
      <c r="B96" s="17" t="s">
        <v>339</v>
      </c>
      <c r="C96" s="76"/>
      <c r="D96" s="76"/>
      <c r="E96" s="29"/>
      <c r="F96" s="29"/>
      <c r="G96" s="76"/>
      <c r="H96" s="76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80"/>
      <c r="BS96" s="49"/>
      <c r="BT96" s="80">
        <v>0.15</v>
      </c>
      <c r="BU96" s="49"/>
      <c r="BV96" s="80">
        <v>0.1</v>
      </c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E96" s="29"/>
      <c r="EF96" s="29"/>
      <c r="EG96" s="29"/>
      <c r="EH96" s="29"/>
      <c r="EI96" s="29"/>
      <c r="EJ96" s="29"/>
      <c r="EK96" s="29">
        <v>0.114</v>
      </c>
      <c r="EL96" s="29">
        <v>4.7E-2</v>
      </c>
      <c r="EM96" s="29">
        <v>0.11</v>
      </c>
      <c r="EN96" s="29">
        <v>-0.02</v>
      </c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49"/>
      <c r="FA96" s="49"/>
      <c r="FB96" s="49"/>
    </row>
    <row r="97" spans="2:158" s="17" customFormat="1" x14ac:dyDescent="0.2">
      <c r="B97" s="17" t="s">
        <v>727</v>
      </c>
      <c r="C97" s="76"/>
      <c r="D97" s="76"/>
      <c r="E97" s="29"/>
      <c r="F97" s="29"/>
      <c r="G97" s="76"/>
      <c r="H97" s="76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80"/>
      <c r="BS97" s="49"/>
      <c r="BT97" s="80"/>
      <c r="BU97" s="49"/>
      <c r="BV97" s="80"/>
      <c r="BW97" s="49"/>
      <c r="BX97" s="49"/>
      <c r="BY97" s="80">
        <v>0.1</v>
      </c>
      <c r="BZ97" s="80">
        <v>7.0000000000000007E-2</v>
      </c>
      <c r="CA97" s="80">
        <v>0.06</v>
      </c>
      <c r="CB97" s="80">
        <v>7.0000000000000007E-2</v>
      </c>
      <c r="CC97" s="80">
        <v>0.1</v>
      </c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49"/>
      <c r="FA97" s="49"/>
      <c r="FB97" s="49"/>
    </row>
    <row r="98" spans="2:158" s="17" customFormat="1" x14ac:dyDescent="0.2">
      <c r="B98" s="17" t="s">
        <v>728</v>
      </c>
      <c r="C98" s="76"/>
      <c r="D98" s="76"/>
      <c r="E98" s="29"/>
      <c r="F98" s="29"/>
      <c r="G98" s="76"/>
      <c r="H98" s="76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80"/>
      <c r="BS98" s="49"/>
      <c r="BT98" s="80"/>
      <c r="BU98" s="49"/>
      <c r="BV98" s="80"/>
      <c r="BW98" s="49"/>
      <c r="BX98" s="49"/>
      <c r="BY98" s="80">
        <v>0.02</v>
      </c>
      <c r="BZ98" s="80">
        <v>-0.06</v>
      </c>
      <c r="CA98" s="80">
        <v>-0.09</v>
      </c>
      <c r="CB98" s="80">
        <v>-0.1</v>
      </c>
      <c r="CC98" s="80">
        <v>-0.02</v>
      </c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49"/>
      <c r="FA98" s="49"/>
      <c r="FB98" s="49"/>
    </row>
    <row r="99" spans="2:158" s="17" customFormat="1" x14ac:dyDescent="0.2">
      <c r="B99" s="17" t="s">
        <v>729</v>
      </c>
      <c r="C99" s="76"/>
      <c r="D99" s="76"/>
      <c r="E99" s="29"/>
      <c r="F99" s="29"/>
      <c r="G99" s="76"/>
      <c r="H99" s="76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80"/>
      <c r="BS99" s="49"/>
      <c r="BT99" s="80"/>
      <c r="BU99" s="49"/>
      <c r="BV99" s="80"/>
      <c r="BW99" s="49"/>
      <c r="BX99" s="49"/>
      <c r="BY99" s="80">
        <v>0.05</v>
      </c>
      <c r="BZ99" s="80">
        <v>0.08</v>
      </c>
      <c r="CA99" s="80">
        <v>0.12</v>
      </c>
      <c r="CB99" s="80">
        <v>0.04</v>
      </c>
      <c r="CC99" s="80">
        <v>0.14000000000000001</v>
      </c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49"/>
      <c r="FA99" s="49"/>
      <c r="FB99" s="49"/>
    </row>
    <row r="100" spans="2:158" s="17" customFormat="1" x14ac:dyDescent="0.2">
      <c r="B100" s="3" t="s">
        <v>704</v>
      </c>
      <c r="C100" s="76"/>
      <c r="D100" s="76"/>
      <c r="E100" s="29"/>
      <c r="F100" s="29"/>
      <c r="G100" s="76"/>
      <c r="H100" s="76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80"/>
      <c r="BS100" s="49"/>
      <c r="BT100" s="80"/>
      <c r="BU100" s="49"/>
      <c r="BV100" s="80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E100" s="29"/>
      <c r="EF100" s="29"/>
      <c r="EG100" s="29"/>
      <c r="EH100" s="29"/>
      <c r="EI100" s="29"/>
      <c r="EJ100" s="29"/>
      <c r="EK100" s="82">
        <f t="shared" ref="EK100:EY100" si="157">EK6/EJ6-1</f>
        <v>6.8937921573110739E-2</v>
      </c>
      <c r="EL100" s="82">
        <f t="shared" si="157"/>
        <v>3.2727272727272716E-2</v>
      </c>
      <c r="EM100" s="82">
        <f t="shared" si="157"/>
        <v>4.1321458160729074E-2</v>
      </c>
      <c r="EN100" s="82">
        <f t="shared" si="157"/>
        <v>3.5803083043262074E-2</v>
      </c>
      <c r="EO100" s="82">
        <f t="shared" si="157"/>
        <v>-6.5098415746519422E-2</v>
      </c>
      <c r="EP100" s="82">
        <f t="shared" si="157"/>
        <v>-1</v>
      </c>
      <c r="EQ100" s="82" t="e">
        <f t="shared" si="157"/>
        <v>#DIV/0!</v>
      </c>
      <c r="ER100" s="82" t="e">
        <f t="shared" si="157"/>
        <v>#DIV/0!</v>
      </c>
      <c r="ES100" s="82" t="e">
        <f t="shared" si="157"/>
        <v>#DIV/0!</v>
      </c>
      <c r="ET100" s="82" t="e">
        <f t="shared" si="157"/>
        <v>#DIV/0!</v>
      </c>
      <c r="EU100" s="82" t="e">
        <f t="shared" si="157"/>
        <v>#DIV/0!</v>
      </c>
      <c r="EV100" s="82">
        <f t="shared" si="157"/>
        <v>6.6230648232469491E-2</v>
      </c>
      <c r="EW100" s="82">
        <f t="shared" si="157"/>
        <v>5.5128503765820014E-3</v>
      </c>
      <c r="EX100" s="82">
        <f t="shared" si="157"/>
        <v>6.4942084942084977E-2</v>
      </c>
      <c r="EY100" s="82">
        <f t="shared" si="157"/>
        <v>0.2877963889493147</v>
      </c>
      <c r="FA100" s="49"/>
      <c r="FB100" s="49"/>
    </row>
    <row r="101" spans="2:158" s="3" customFormat="1" x14ac:dyDescent="0.2">
      <c r="B101" s="3" t="s">
        <v>340</v>
      </c>
      <c r="C101" s="81"/>
      <c r="D101" s="81"/>
      <c r="E101" s="82"/>
      <c r="F101" s="82"/>
      <c r="G101" s="81"/>
      <c r="H101" s="81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83"/>
      <c r="BS101" s="53"/>
      <c r="BT101" s="83">
        <v>0.1</v>
      </c>
      <c r="BU101" s="53"/>
      <c r="BV101" s="83">
        <v>0.09</v>
      </c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E101" s="82"/>
      <c r="EF101" s="82"/>
      <c r="EG101" s="82"/>
      <c r="EH101" s="82"/>
      <c r="EI101" s="82"/>
      <c r="EJ101" s="82"/>
      <c r="EK101" s="82">
        <v>5.6000000000000001E-2</v>
      </c>
      <c r="EL101" s="82">
        <v>0.105</v>
      </c>
      <c r="EM101" s="82">
        <v>0.09</v>
      </c>
      <c r="EN101" s="82">
        <v>0.08</v>
      </c>
      <c r="EO101" s="82"/>
      <c r="EP101" s="82"/>
      <c r="EQ101" s="82"/>
      <c r="ER101" s="82"/>
      <c r="ES101" s="82"/>
      <c r="ET101" s="82"/>
      <c r="EU101" s="82"/>
      <c r="EV101" s="82"/>
      <c r="EW101" s="82"/>
      <c r="EX101" s="82"/>
      <c r="EY101" s="53"/>
      <c r="FA101" s="53"/>
      <c r="FB101" s="53"/>
    </row>
    <row r="102" spans="2:158" x14ac:dyDescent="0.2">
      <c r="B102" s="15" t="s">
        <v>187</v>
      </c>
      <c r="C102" s="75" t="s">
        <v>12</v>
      </c>
      <c r="D102" s="75" t="s">
        <v>12</v>
      </c>
      <c r="E102" s="28">
        <v>8.8846364133406297E-2</v>
      </c>
      <c r="F102" s="28">
        <v>3.1978841067564323E-2</v>
      </c>
      <c r="G102" s="75" t="s">
        <v>12</v>
      </c>
      <c r="H102" s="75" t="s">
        <v>12</v>
      </c>
      <c r="I102" s="28">
        <v>0.10224999999999995</v>
      </c>
      <c r="J102" s="28">
        <v>6.1689216876127606E-2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EE102" s="28"/>
      <c r="EF102" s="28"/>
      <c r="EG102" s="28">
        <v>-5.3441913729481705E-3</v>
      </c>
      <c r="EH102" s="28"/>
      <c r="EI102" s="28">
        <f t="shared" ref="EI102:EK104" si="158">EI66/EH66-1</f>
        <v>0.14020148716718639</v>
      </c>
      <c r="EJ102" s="28">
        <f t="shared" si="158"/>
        <v>0.14189544546123911</v>
      </c>
      <c r="EK102" s="28">
        <f t="shared" si="158"/>
        <v>-0.14084377302873985</v>
      </c>
      <c r="EL102" s="28">
        <v>0.10866670124251376</v>
      </c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</row>
    <row r="103" spans="2:158" s="17" customFormat="1" x14ac:dyDescent="0.2">
      <c r="B103" s="15" t="s">
        <v>188</v>
      </c>
      <c r="C103" s="76" t="s">
        <v>12</v>
      </c>
      <c r="D103" s="76" t="s">
        <v>12</v>
      </c>
      <c r="E103" s="29">
        <v>8.599394080633882E-2</v>
      </c>
      <c r="F103" s="29">
        <v>2.5992632009824046E-2</v>
      </c>
      <c r="G103" s="76" t="s">
        <v>12</v>
      </c>
      <c r="H103" s="76" t="s">
        <v>12</v>
      </c>
      <c r="I103" s="29">
        <v>9.7845423996837377E-2</v>
      </c>
      <c r="J103" s="29">
        <v>5.8237668615354954E-2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  <c r="DX103" s="94"/>
      <c r="DY103" s="94"/>
      <c r="DZ103" s="94"/>
      <c r="EA103" s="94"/>
      <c r="EB103" s="94"/>
      <c r="EC103" s="94"/>
      <c r="ED103" s="5"/>
      <c r="EE103" s="28"/>
      <c r="EF103" s="28"/>
      <c r="EG103" s="28">
        <v>1.3809102960671726E-2</v>
      </c>
      <c r="EH103" s="28"/>
      <c r="EI103" s="28">
        <f t="shared" si="158"/>
        <v>0.10743405275779372</v>
      </c>
      <c r="EJ103" s="28">
        <f t="shared" si="158"/>
        <v>0.10090948462537885</v>
      </c>
      <c r="EK103" s="28">
        <f t="shared" si="158"/>
        <v>-3.5011801730920555E-2</v>
      </c>
      <c r="EL103" s="29">
        <v>0.11175549765689508</v>
      </c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49"/>
      <c r="FA103" s="49"/>
      <c r="FB103" s="49"/>
    </row>
    <row r="104" spans="2:158" s="17" customFormat="1" x14ac:dyDescent="0.2">
      <c r="B104" s="30" t="s">
        <v>189</v>
      </c>
      <c r="C104" s="76" t="s">
        <v>12</v>
      </c>
      <c r="D104" s="76" t="s">
        <v>12</v>
      </c>
      <c r="E104" s="29">
        <v>7.3630924988495217E-2</v>
      </c>
      <c r="F104" s="29">
        <v>0.1097511219910241</v>
      </c>
      <c r="G104" s="76" t="s">
        <v>12</v>
      </c>
      <c r="H104" s="76" t="s">
        <v>12</v>
      </c>
      <c r="I104" s="29">
        <v>8.3862770012706589E-2</v>
      </c>
      <c r="J104" s="29">
        <v>5.0101322750746524E-2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  <c r="DX104" s="94"/>
      <c r="DY104" s="94"/>
      <c r="DZ104" s="94"/>
      <c r="EA104" s="94"/>
      <c r="EB104" s="94"/>
      <c r="EC104" s="94"/>
      <c r="ED104" s="5"/>
      <c r="EE104" s="28"/>
      <c r="EF104" s="28"/>
      <c r="EG104" s="28">
        <v>0.11907066795740562</v>
      </c>
      <c r="EH104" s="28"/>
      <c r="EI104" s="28">
        <f t="shared" si="158"/>
        <v>0.10690725649980592</v>
      </c>
      <c r="EJ104" s="28">
        <f t="shared" si="158"/>
        <v>0.15495179666958814</v>
      </c>
      <c r="EK104" s="28">
        <f t="shared" si="158"/>
        <v>0.2725755046289271</v>
      </c>
      <c r="EL104" s="29">
        <v>0.11157806678724591</v>
      </c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49"/>
      <c r="FA104" s="49"/>
      <c r="FB104" s="49"/>
    </row>
    <row r="105" spans="2:158" s="17" customFormat="1" x14ac:dyDescent="0.2">
      <c r="B105" s="17" t="s">
        <v>149</v>
      </c>
      <c r="C105" s="75" t="s">
        <v>12</v>
      </c>
      <c r="D105" s="75" t="s">
        <v>12</v>
      </c>
      <c r="E105" s="29">
        <v>0.3063889869396399</v>
      </c>
      <c r="F105" s="29">
        <v>9.763513513513522E-2</v>
      </c>
      <c r="G105" s="75" t="s">
        <v>12</v>
      </c>
      <c r="H105" s="75" t="s">
        <v>12</v>
      </c>
      <c r="I105" s="29">
        <v>0.23986390700311877</v>
      </c>
      <c r="J105" s="29">
        <v>0.10487106107533983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5"/>
      <c r="EE105" s="29"/>
      <c r="EF105" s="29"/>
      <c r="EG105" s="29">
        <v>0.10913268236645601</v>
      </c>
      <c r="EH105" s="29"/>
      <c r="EI105" s="29">
        <f>EI71/EI62</f>
        <v>0.28534820196558813</v>
      </c>
      <c r="EJ105" s="29"/>
      <c r="EK105" s="29"/>
      <c r="EL105" s="29">
        <f>EL71/EK71-1</f>
        <v>-8.0177200973357454E-2</v>
      </c>
      <c r="EM105" s="29">
        <f>EM71/EL71-1</f>
        <v>2.9914529914529808E-2</v>
      </c>
      <c r="EN105" s="29">
        <f>EN71/EM71-1</f>
        <v>-0.12145162352631234</v>
      </c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49"/>
      <c r="FA105" s="49"/>
      <c r="FB105" s="49"/>
    </row>
    <row r="106" spans="2:158" x14ac:dyDescent="0.2">
      <c r="B106" s="15" t="s">
        <v>194</v>
      </c>
      <c r="C106" s="75" t="s">
        <v>12</v>
      </c>
      <c r="D106" s="75" t="s">
        <v>12</v>
      </c>
      <c r="E106" s="28">
        <v>0.5</v>
      </c>
      <c r="F106" s="28">
        <v>-0.38461538461538458</v>
      </c>
      <c r="G106" s="75" t="s">
        <v>12</v>
      </c>
      <c r="H106" s="75" t="s">
        <v>12</v>
      </c>
      <c r="I106" s="28" t="s">
        <v>22</v>
      </c>
      <c r="J106" s="28">
        <v>0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EE106" s="28"/>
      <c r="EF106" s="28"/>
      <c r="EG106" s="28">
        <v>0.18918918918918926</v>
      </c>
      <c r="EH106" s="28"/>
      <c r="EI106" s="28">
        <v>-0.62790697674418605</v>
      </c>
      <c r="EJ106" s="28">
        <v>0</v>
      </c>
      <c r="EK106" s="28">
        <v>0</v>
      </c>
      <c r="EL106" s="28">
        <v>0</v>
      </c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</row>
    <row r="107" spans="2:158" x14ac:dyDescent="0.2">
      <c r="B107" s="15" t="s">
        <v>14</v>
      </c>
      <c r="C107" s="75" t="s">
        <v>12</v>
      </c>
      <c r="D107" s="75" t="s">
        <v>12</v>
      </c>
      <c r="E107" s="28">
        <v>-0.31908831908831914</v>
      </c>
      <c r="F107" s="28">
        <v>-0.64157706093189959</v>
      </c>
      <c r="G107" s="75" t="s">
        <v>12</v>
      </c>
      <c r="H107" s="75" t="s">
        <v>12</v>
      </c>
      <c r="I107" s="28" t="s">
        <v>12</v>
      </c>
      <c r="J107" s="28">
        <v>-0.58432078257659692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EE107" s="28"/>
      <c r="EF107" s="28"/>
      <c r="EG107" s="28">
        <v>-1.7546366171712531</v>
      </c>
      <c r="EH107" s="28"/>
      <c r="EI107" s="28">
        <v>-0.77084256183093414</v>
      </c>
      <c r="EJ107" s="28">
        <v>-0.74361496486317979</v>
      </c>
      <c r="EK107" s="28">
        <v>-2.1573365350255624</v>
      </c>
      <c r="EL107" s="28">
        <v>1.8537461678109746</v>
      </c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</row>
    <row r="108" spans="2:158" x14ac:dyDescent="0.2">
      <c r="B108" s="15" t="s">
        <v>15</v>
      </c>
      <c r="C108" s="75" t="s">
        <v>12</v>
      </c>
      <c r="D108" s="75" t="s">
        <v>12</v>
      </c>
      <c r="E108" s="28">
        <v>0.39407467532467533</v>
      </c>
      <c r="F108" s="28">
        <v>0.18003766478342742</v>
      </c>
      <c r="G108" s="75" t="s">
        <v>12</v>
      </c>
      <c r="H108" s="75" t="s">
        <v>12</v>
      </c>
      <c r="I108" s="28">
        <v>0.32942942942942932</v>
      </c>
      <c r="J108" s="28">
        <v>0.13307229097301021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EE108" s="28"/>
      <c r="EF108" s="28"/>
      <c r="EG108" s="28">
        <v>-0.1497862525757121</v>
      </c>
      <c r="EH108" s="28"/>
      <c r="EI108" s="28">
        <v>0.27706643758613492</v>
      </c>
      <c r="EJ108" s="28">
        <v>0.2896293957283107</v>
      </c>
      <c r="EK108" s="28">
        <v>0.33935179791748182</v>
      </c>
      <c r="EL108" s="28">
        <v>0.22525526811705765</v>
      </c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</row>
    <row r="109" spans="2:158" x14ac:dyDescent="0.2">
      <c r="B109" s="15" t="s">
        <v>4</v>
      </c>
      <c r="C109" s="75" t="s">
        <v>12</v>
      </c>
      <c r="D109" s="75" t="s">
        <v>12</v>
      </c>
      <c r="E109" s="28">
        <v>0.47708894878706198</v>
      </c>
      <c r="F109" s="28">
        <v>0.25667351129363447</v>
      </c>
      <c r="G109" s="75" t="s">
        <v>12</v>
      </c>
      <c r="H109" s="75" t="s">
        <v>12</v>
      </c>
      <c r="I109" s="28">
        <v>0.69465648854961826</v>
      </c>
      <c r="J109" s="28">
        <v>-0.10639136046998865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EE109" s="28"/>
      <c r="EF109" s="28"/>
      <c r="EG109" s="28">
        <v>-13.617647058823529</v>
      </c>
      <c r="EH109" s="28"/>
      <c r="EI109" s="28">
        <v>0.75939385108773849</v>
      </c>
      <c r="EJ109" s="28">
        <v>0.35668583556657008</v>
      </c>
      <c r="EK109" s="28">
        <v>0.5843113747061166</v>
      </c>
      <c r="EL109" s="28">
        <v>0.29449709369533661</v>
      </c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</row>
    <row r="110" spans="2:158" s="17" customFormat="1" x14ac:dyDescent="0.2">
      <c r="B110" s="17" t="s">
        <v>20</v>
      </c>
      <c r="C110" s="75" t="s">
        <v>12</v>
      </c>
      <c r="D110" s="75" t="s">
        <v>12</v>
      </c>
      <c r="E110" s="29">
        <v>0.42595419847328242</v>
      </c>
      <c r="F110" s="29">
        <v>0.14625176803394635</v>
      </c>
      <c r="G110" s="75" t="s">
        <v>12</v>
      </c>
      <c r="H110" s="75" t="s">
        <v>12</v>
      </c>
      <c r="I110" s="29">
        <v>0.26964560862865938</v>
      </c>
      <c r="J110" s="29">
        <v>0.14267721422019086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  <c r="DX110" s="94"/>
      <c r="DY110" s="94"/>
      <c r="DZ110" s="94"/>
      <c r="EA110" s="94"/>
      <c r="EB110" s="94"/>
      <c r="EC110" s="94"/>
      <c r="ED110" s="5"/>
      <c r="EE110" s="29"/>
      <c r="EF110" s="29"/>
      <c r="EG110" s="29">
        <v>-0.23651950669819721</v>
      </c>
      <c r="EH110" s="29"/>
      <c r="EI110" s="29">
        <v>0.20618920887528391</v>
      </c>
      <c r="EJ110" s="29">
        <v>0.23617416138624936</v>
      </c>
      <c r="EK110" s="29">
        <v>0.27283796353628231</v>
      </c>
      <c r="EL110" s="29">
        <v>0.19103888723838436</v>
      </c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49"/>
      <c r="FA110" s="49"/>
      <c r="FB110" s="49"/>
    </row>
    <row r="111" spans="2:158" x14ac:dyDescent="0.2">
      <c r="B111" s="15" t="s">
        <v>16</v>
      </c>
      <c r="C111" s="75" t="s">
        <v>12</v>
      </c>
      <c r="D111" s="75" t="s">
        <v>12</v>
      </c>
      <c r="E111" s="28">
        <v>0.95570934256055362</v>
      </c>
      <c r="F111" s="28">
        <v>-7.1209330877839205E-2</v>
      </c>
      <c r="G111" s="75" t="s">
        <v>12</v>
      </c>
      <c r="H111" s="75" t="s">
        <v>12</v>
      </c>
      <c r="I111" s="28">
        <v>2.8687017285766725E-2</v>
      </c>
      <c r="J111" s="28">
        <v>0.15407772178764811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EE111" s="28"/>
      <c r="EF111" s="28"/>
      <c r="EG111" s="28">
        <v>-3.9229948572900177</v>
      </c>
      <c r="EH111" s="28"/>
      <c r="EI111" s="28">
        <v>0.25816885401752154</v>
      </c>
      <c r="EJ111" s="28">
        <v>0.22355666613924408</v>
      </c>
      <c r="EK111" s="28">
        <v>0.27306999762332884</v>
      </c>
      <c r="EL111" s="28">
        <v>0.19116650657623802</v>
      </c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</row>
    <row r="112" spans="2:158" s="17" customFormat="1" x14ac:dyDescent="0.2">
      <c r="B112" s="17" t="s">
        <v>21</v>
      </c>
      <c r="C112" s="75" t="s">
        <v>12</v>
      </c>
      <c r="D112" s="75" t="s">
        <v>12</v>
      </c>
      <c r="E112" s="29">
        <v>0.43022323214667901</v>
      </c>
      <c r="F112" s="29">
        <v>0.14014903871339501</v>
      </c>
      <c r="G112" s="75" t="s">
        <v>12</v>
      </c>
      <c r="H112" s="75" t="s">
        <v>12</v>
      </c>
      <c r="I112" s="29">
        <v>0.27343782401471151</v>
      </c>
      <c r="J112" s="29">
        <v>0.14267721422019086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  <c r="DX112" s="94"/>
      <c r="DY112" s="94"/>
      <c r="DZ112" s="94"/>
      <c r="EA112" s="94"/>
      <c r="EB112" s="94"/>
      <c r="EC112" s="94"/>
      <c r="ED112" s="5"/>
      <c r="EE112" s="29"/>
      <c r="EF112" s="29"/>
      <c r="EG112" s="29">
        <v>-0.25468420970839167</v>
      </c>
      <c r="EH112" s="29"/>
      <c r="EI112" s="29">
        <v>0.20838607586445579</v>
      </c>
      <c r="EJ112" s="29">
        <v>0.23617416138624936</v>
      </c>
      <c r="EK112" s="29">
        <v>0.27283796353628231</v>
      </c>
      <c r="EL112" s="29">
        <f>EL79/EK79-1</f>
        <v>-0.13535960417034809</v>
      </c>
      <c r="EM112" s="29">
        <f>EM79/EL79-1</f>
        <v>1.3590844062947083E-2</v>
      </c>
      <c r="EN112" s="29">
        <f>EN79/EM79-1</f>
        <v>-0.14114326040931557</v>
      </c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49"/>
      <c r="FA112" s="49"/>
      <c r="FB112" s="49"/>
    </row>
    <row r="113" spans="2:158" x14ac:dyDescent="0.2">
      <c r="B113" s="15" t="s">
        <v>42</v>
      </c>
      <c r="C113" s="75" t="s">
        <v>12</v>
      </c>
      <c r="D113" s="75" t="s">
        <v>12</v>
      </c>
      <c r="E113" s="28"/>
      <c r="F113" s="28"/>
      <c r="G113" s="75" t="s">
        <v>12</v>
      </c>
      <c r="H113" s="75" t="s">
        <v>12</v>
      </c>
      <c r="I113" s="28">
        <v>0.30643115658155562</v>
      </c>
      <c r="J113" s="28">
        <v>0.17124789823043063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EE113" s="28"/>
      <c r="EF113" s="28"/>
      <c r="EG113" s="28"/>
      <c r="EH113" s="28"/>
      <c r="EI113" s="28">
        <v>0.24010160092268173</v>
      </c>
      <c r="EJ113" s="28">
        <v>0.22959823690009884</v>
      </c>
      <c r="EK113" s="28">
        <v>0.26006430673578218</v>
      </c>
      <c r="EL113" s="28">
        <v>0.18389813893782847</v>
      </c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</row>
    <row r="114" spans="2:158" x14ac:dyDescent="0.2">
      <c r="B114" s="15" t="s">
        <v>17</v>
      </c>
      <c r="C114" s="75" t="s">
        <v>12</v>
      </c>
      <c r="D114" s="75" t="s">
        <v>12</v>
      </c>
      <c r="E114" s="28">
        <v>0.94492985420368969</v>
      </c>
      <c r="F114" s="28">
        <v>-8.0257132892308958E-2</v>
      </c>
      <c r="G114" s="75" t="s">
        <v>12</v>
      </c>
      <c r="H114" s="75" t="s">
        <v>12</v>
      </c>
      <c r="I114" s="28">
        <v>2.6696798876403083E-2</v>
      </c>
      <c r="J114" s="28">
        <v>0.15339148720865947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EE114" s="28"/>
      <c r="EF114" s="28"/>
      <c r="EG114" s="28">
        <v>-3.885011675710488</v>
      </c>
      <c r="EH114" s="28"/>
      <c r="EI114" s="28">
        <v>0.25609102568827624</v>
      </c>
      <c r="EJ114" s="28">
        <v>0.22332428171071594</v>
      </c>
      <c r="EK114" s="28">
        <v>0.27283796353628231</v>
      </c>
      <c r="EL114" s="28">
        <v>0.19103888723838436</v>
      </c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</row>
    <row r="115" spans="2:158" x14ac:dyDescent="0.2">
      <c r="C115" s="45"/>
      <c r="D115" s="45"/>
      <c r="E115" s="45"/>
      <c r="F115" s="4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</row>
    <row r="116" spans="2:158" x14ac:dyDescent="0.2">
      <c r="B116" s="3" t="s">
        <v>487</v>
      </c>
      <c r="E116" s="45"/>
      <c r="F116" s="4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</row>
    <row r="117" spans="2:158" s="26" customFormat="1" x14ac:dyDescent="0.2">
      <c r="B117" s="17" t="s">
        <v>138</v>
      </c>
      <c r="C117" s="24"/>
      <c r="D117" s="24"/>
      <c r="E117" s="24"/>
      <c r="F117" s="24"/>
      <c r="G117" s="24"/>
      <c r="H117" s="2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9"/>
      <c r="AX117" s="49"/>
      <c r="AY117" s="49"/>
      <c r="AZ117" s="49"/>
      <c r="BA117" s="49"/>
      <c r="BB117" s="80">
        <f t="shared" ref="BB117:BK118" si="159">BB15/AX15-1</f>
        <v>0.18797953964194369</v>
      </c>
      <c r="BC117" s="80">
        <f t="shared" si="159"/>
        <v>0.20546318289786214</v>
      </c>
      <c r="BD117" s="80">
        <f t="shared" si="159"/>
        <v>0.20113636363636367</v>
      </c>
      <c r="BE117" s="80">
        <f t="shared" si="159"/>
        <v>0.31922196796338675</v>
      </c>
      <c r="BF117" s="80">
        <f t="shared" si="159"/>
        <v>0.23358449946178683</v>
      </c>
      <c r="BG117" s="80">
        <f t="shared" si="159"/>
        <v>0.18423645320197046</v>
      </c>
      <c r="BH117" s="80">
        <f t="shared" si="159"/>
        <v>0.11352885525070966</v>
      </c>
      <c r="BI117" s="80">
        <f t="shared" si="159"/>
        <v>0.1396357328707718</v>
      </c>
      <c r="BJ117" s="80">
        <f t="shared" si="159"/>
        <v>0.14223385689354284</v>
      </c>
      <c r="BK117" s="80">
        <f t="shared" si="159"/>
        <v>0.16056572379367728</v>
      </c>
      <c r="BL117" s="80">
        <f t="shared" ref="BL117:BU118" si="160">BL15/BH15-1</f>
        <v>0.1724723874256584</v>
      </c>
      <c r="BM117" s="80">
        <f t="shared" si="160"/>
        <v>8.9802130898021248E-2</v>
      </c>
      <c r="BN117" s="80">
        <f t="shared" si="160"/>
        <v>7.4866310160427885E-2</v>
      </c>
      <c r="BO117" s="80">
        <f t="shared" si="160"/>
        <v>4.6594982078853153E-2</v>
      </c>
      <c r="BP117" s="80">
        <f t="shared" si="160"/>
        <v>6.6666666666666652E-2</v>
      </c>
      <c r="BQ117" s="80">
        <f t="shared" si="160"/>
        <v>0.1061452513966481</v>
      </c>
      <c r="BR117" s="80">
        <f t="shared" si="160"/>
        <v>5.2594171997156991E-2</v>
      </c>
      <c r="BS117" s="80">
        <f t="shared" si="160"/>
        <v>0.10753424657534238</v>
      </c>
      <c r="BT117" s="80">
        <f t="shared" si="160"/>
        <v>2.4456521739130377E-2</v>
      </c>
      <c r="BU117" s="80">
        <f t="shared" si="160"/>
        <v>-6.5025252525252486E-2</v>
      </c>
      <c r="BV117" s="80">
        <f t="shared" ref="BV117:CC118" si="161">BV15/BR15-1</f>
        <v>8.4402430790006644E-2</v>
      </c>
      <c r="BW117" s="80">
        <f t="shared" si="161"/>
        <v>4.8237476808905333E-2</v>
      </c>
      <c r="BX117" s="80">
        <f t="shared" si="161"/>
        <v>7.9575596816976457E-3</v>
      </c>
      <c r="BY117" s="80">
        <f t="shared" si="161"/>
        <v>3.6461850101283E-2</v>
      </c>
      <c r="BZ117" s="80">
        <f t="shared" si="161"/>
        <v>-3.1133250311332517E-2</v>
      </c>
      <c r="CA117" s="80">
        <f t="shared" si="161"/>
        <v>-0.11504424778761058</v>
      </c>
      <c r="CB117" s="80">
        <f t="shared" si="161"/>
        <v>-0.10460526315789476</v>
      </c>
      <c r="CC117" s="80">
        <f t="shared" si="161"/>
        <v>3.4527687296416865E-2</v>
      </c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80"/>
      <c r="CR117" s="80"/>
      <c r="CS117" s="80"/>
      <c r="CT117" s="80"/>
      <c r="CU117" s="80"/>
      <c r="CV117" s="80"/>
      <c r="CW117" s="80"/>
      <c r="CX117" s="80"/>
      <c r="CY117" s="80"/>
      <c r="CZ117" s="80"/>
      <c r="DA117" s="80"/>
      <c r="DB117" s="80"/>
      <c r="DC117" s="80"/>
      <c r="DD117" s="80"/>
      <c r="DE117" s="80"/>
      <c r="DF117" s="80"/>
      <c r="DG117" s="80"/>
      <c r="DH117" s="80"/>
      <c r="DI117" s="80"/>
      <c r="DJ117" s="80"/>
      <c r="DK117" s="80"/>
      <c r="DL117" s="80"/>
      <c r="DM117" s="80"/>
      <c r="DN117" s="80"/>
      <c r="DO117" s="80"/>
      <c r="DP117" s="80"/>
      <c r="DQ117" s="80"/>
      <c r="DR117" s="80"/>
      <c r="DS117" s="80"/>
      <c r="DT117" s="80"/>
      <c r="DU117" s="80"/>
      <c r="DV117" s="80"/>
      <c r="DW117" s="80"/>
      <c r="DX117" s="80"/>
      <c r="DY117" s="80"/>
      <c r="DZ117" s="80"/>
      <c r="EA117" s="80"/>
      <c r="EB117" s="80"/>
      <c r="EC117" s="80"/>
      <c r="ED117" s="17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7"/>
      <c r="EZ117" s="16"/>
      <c r="FA117" s="47"/>
      <c r="FB117" s="47"/>
    </row>
    <row r="118" spans="2:158" s="26" customFormat="1" x14ac:dyDescent="0.2">
      <c r="B118" s="17" t="s">
        <v>24</v>
      </c>
      <c r="C118" s="24"/>
      <c r="D118" s="24"/>
      <c r="E118" s="24"/>
      <c r="F118" s="24"/>
      <c r="G118" s="24"/>
      <c r="H118" s="2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9"/>
      <c r="AX118" s="49"/>
      <c r="AY118" s="49"/>
      <c r="AZ118" s="49"/>
      <c r="BA118" s="49"/>
      <c r="BB118" s="80">
        <f t="shared" si="159"/>
        <v>0.19207317073170738</v>
      </c>
      <c r="BC118" s="80">
        <f t="shared" si="159"/>
        <v>0.2921348314606742</v>
      </c>
      <c r="BD118" s="80">
        <f t="shared" si="159"/>
        <v>0.58445040214477206</v>
      </c>
      <c r="BE118" s="80">
        <f t="shared" si="159"/>
        <v>0.86387535984716535</v>
      </c>
      <c r="BF118" s="80">
        <f t="shared" si="159"/>
        <v>1.2020460358056266</v>
      </c>
      <c r="BG118" s="80">
        <f t="shared" si="159"/>
        <v>1.0695652173913044</v>
      </c>
      <c r="BH118" s="80">
        <f t="shared" si="159"/>
        <v>0.7072758037225042</v>
      </c>
      <c r="BI118" s="80">
        <f t="shared" si="159"/>
        <v>0.56960227272727271</v>
      </c>
      <c r="BJ118" s="80">
        <f t="shared" si="159"/>
        <v>0.35656213704994189</v>
      </c>
      <c r="BK118" s="80">
        <f t="shared" si="159"/>
        <v>0.27521008403361336</v>
      </c>
      <c r="BL118" s="80">
        <f t="shared" si="160"/>
        <v>0.19821605550049548</v>
      </c>
      <c r="BM118" s="80">
        <f t="shared" si="160"/>
        <v>0.14117647058823524</v>
      </c>
      <c r="BN118" s="80">
        <f t="shared" si="160"/>
        <v>4.8801369863013644E-2</v>
      </c>
      <c r="BO118" s="80">
        <f t="shared" si="160"/>
        <v>2.883031301482708E-2</v>
      </c>
      <c r="BP118" s="80">
        <f t="shared" si="160"/>
        <v>7.1133167907361461E-2</v>
      </c>
      <c r="BQ118" s="80">
        <f t="shared" si="160"/>
        <v>4.9167327517843029E-2</v>
      </c>
      <c r="BR118" s="80">
        <f t="shared" si="160"/>
        <v>6.6938775510203996E-2</v>
      </c>
      <c r="BS118" s="80">
        <f t="shared" si="160"/>
        <v>7.125700560448367E-2</v>
      </c>
      <c r="BT118" s="80">
        <f t="shared" si="160"/>
        <v>2.4710424710424617E-2</v>
      </c>
      <c r="BU118" s="80">
        <f t="shared" si="160"/>
        <v>-2.1919879062736181E-2</v>
      </c>
      <c r="BV118" s="80">
        <f t="shared" si="161"/>
        <v>8.4162203519510426E-2</v>
      </c>
      <c r="BW118" s="80">
        <f t="shared" si="161"/>
        <v>3.811659192825112E-2</v>
      </c>
      <c r="BX118" s="80">
        <f t="shared" si="161"/>
        <v>2.2607385079125741E-2</v>
      </c>
      <c r="BY118" s="80">
        <f t="shared" si="161"/>
        <v>-2.1638330757341562E-2</v>
      </c>
      <c r="BZ118" s="80">
        <f t="shared" si="161"/>
        <v>-2.1877205363443841E-2</v>
      </c>
      <c r="CA118" s="80">
        <f t="shared" si="161"/>
        <v>-4.2476601871850206E-2</v>
      </c>
      <c r="CB118" s="80">
        <f t="shared" si="161"/>
        <v>-0.12380250552689753</v>
      </c>
      <c r="CC118" s="80">
        <f t="shared" si="161"/>
        <v>6.4770932069510234E-2</v>
      </c>
      <c r="CD118" s="80"/>
      <c r="CE118" s="80"/>
      <c r="CF118" s="80"/>
      <c r="CG118" s="80"/>
      <c r="CH118" s="80"/>
      <c r="CI118" s="80"/>
      <c r="CJ118" s="80"/>
      <c r="CK118" s="80"/>
      <c r="CL118" s="80"/>
      <c r="CM118" s="80"/>
      <c r="CN118" s="80"/>
      <c r="CO118" s="80"/>
      <c r="CP118" s="80"/>
      <c r="CQ118" s="80"/>
      <c r="CR118" s="80"/>
      <c r="CS118" s="80"/>
      <c r="CT118" s="80"/>
      <c r="CU118" s="80"/>
      <c r="CV118" s="80"/>
      <c r="CW118" s="80"/>
      <c r="CX118" s="80"/>
      <c r="CY118" s="80"/>
      <c r="CZ118" s="80"/>
      <c r="DA118" s="80"/>
      <c r="DB118" s="80"/>
      <c r="DC118" s="80"/>
      <c r="DD118" s="80"/>
      <c r="DE118" s="80"/>
      <c r="DF118" s="80"/>
      <c r="DG118" s="80"/>
      <c r="DH118" s="80"/>
      <c r="DI118" s="80"/>
      <c r="DJ118" s="80"/>
      <c r="DK118" s="80"/>
      <c r="DL118" s="80"/>
      <c r="DM118" s="80"/>
      <c r="DN118" s="80"/>
      <c r="DO118" s="80"/>
      <c r="DP118" s="80"/>
      <c r="DQ118" s="80"/>
      <c r="DR118" s="80"/>
      <c r="DS118" s="80"/>
      <c r="DT118" s="80"/>
      <c r="DU118" s="80"/>
      <c r="DV118" s="80"/>
      <c r="DW118" s="80"/>
      <c r="DX118" s="80"/>
      <c r="DY118" s="80"/>
      <c r="DZ118" s="80"/>
      <c r="EA118" s="80"/>
      <c r="EB118" s="80"/>
      <c r="EC118" s="80"/>
      <c r="ED118" s="17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7"/>
      <c r="EZ118" s="16"/>
      <c r="FA118" s="47"/>
      <c r="FB118" s="47"/>
    </row>
    <row r="119" spans="2:158" s="26" customFormat="1" x14ac:dyDescent="0.2">
      <c r="B119" s="17" t="s">
        <v>23</v>
      </c>
      <c r="C119" s="24"/>
      <c r="D119" s="24"/>
      <c r="E119" s="24"/>
      <c r="F119" s="24"/>
      <c r="G119" s="24"/>
      <c r="H119" s="2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9"/>
      <c r="AX119" s="49"/>
      <c r="AY119" s="49"/>
      <c r="AZ119" s="49"/>
      <c r="BA119" s="49"/>
      <c r="BB119" s="80">
        <f t="shared" ref="BB119:CC119" si="162">BB14/AX14-1</f>
        <v>4.416666666666667</v>
      </c>
      <c r="BC119" s="80">
        <f t="shared" si="162"/>
        <v>1.0532544378698225</v>
      </c>
      <c r="BD119" s="80">
        <f t="shared" si="162"/>
        <v>1.0680851063829788</v>
      </c>
      <c r="BE119" s="80">
        <f t="shared" si="162"/>
        <v>1.403361344537815</v>
      </c>
      <c r="BF119" s="80">
        <f t="shared" si="162"/>
        <v>1.6</v>
      </c>
      <c r="BG119" s="80">
        <f t="shared" si="162"/>
        <v>1.0547550432276656</v>
      </c>
      <c r="BH119" s="80">
        <f t="shared" si="162"/>
        <v>0.52469135802469147</v>
      </c>
      <c r="BI119" s="80">
        <f t="shared" si="162"/>
        <v>0.45454545454545459</v>
      </c>
      <c r="BJ119" s="80">
        <f t="shared" si="162"/>
        <v>0.36538461538461542</v>
      </c>
      <c r="BK119" s="80">
        <f t="shared" si="162"/>
        <v>0.38288920056100983</v>
      </c>
      <c r="BL119" s="80">
        <f t="shared" si="162"/>
        <v>0.4331983805668016</v>
      </c>
      <c r="BM119" s="80">
        <f t="shared" si="162"/>
        <v>0.36418269230769229</v>
      </c>
      <c r="BN119" s="80">
        <f t="shared" si="162"/>
        <v>0.22535211267605626</v>
      </c>
      <c r="BO119" s="80">
        <f t="shared" si="162"/>
        <v>0.23732251521298164</v>
      </c>
      <c r="BP119" s="80">
        <f t="shared" si="162"/>
        <v>0.27212806026365355</v>
      </c>
      <c r="BQ119" s="80">
        <f t="shared" si="162"/>
        <v>0.32599118942731287</v>
      </c>
      <c r="BR119" s="80">
        <f t="shared" si="162"/>
        <v>0.31299734748010599</v>
      </c>
      <c r="BS119" s="80">
        <f t="shared" si="162"/>
        <v>0.31557377049180335</v>
      </c>
      <c r="BT119" s="80">
        <f t="shared" si="162"/>
        <v>0.17986676535899337</v>
      </c>
      <c r="BU119" s="80">
        <f t="shared" si="162"/>
        <v>2.1926910299003399E-2</v>
      </c>
      <c r="BV119" s="80">
        <f t="shared" si="162"/>
        <v>0.12188552188552193</v>
      </c>
      <c r="BW119" s="80">
        <f t="shared" si="162"/>
        <v>7.6012461059190128E-2</v>
      </c>
      <c r="BX119" s="80">
        <f t="shared" si="162"/>
        <v>8.7829360100375453E-3</v>
      </c>
      <c r="BY119" s="80">
        <f t="shared" si="162"/>
        <v>-5.0715214564369338E-2</v>
      </c>
      <c r="BZ119" s="80">
        <f t="shared" si="162"/>
        <v>-0.1494597839135654</v>
      </c>
      <c r="CA119" s="80">
        <f t="shared" si="162"/>
        <v>-0.2420382165605095</v>
      </c>
      <c r="CB119" s="80">
        <f t="shared" si="162"/>
        <v>-0.24378109452736318</v>
      </c>
      <c r="CC119" s="80">
        <f t="shared" si="162"/>
        <v>-7.5342465753424626E-2</v>
      </c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  <c r="CR119" s="80"/>
      <c r="CS119" s="80"/>
      <c r="CT119" s="80"/>
      <c r="CU119" s="80"/>
      <c r="CV119" s="80"/>
      <c r="CW119" s="80"/>
      <c r="CX119" s="80"/>
      <c r="CY119" s="80"/>
      <c r="CZ119" s="80"/>
      <c r="DA119" s="80"/>
      <c r="DB119" s="80"/>
      <c r="DC119" s="80"/>
      <c r="DD119" s="80"/>
      <c r="DE119" s="80"/>
      <c r="DF119" s="80"/>
      <c r="DG119" s="80"/>
      <c r="DH119" s="80"/>
      <c r="DI119" s="80"/>
      <c r="DJ119" s="80"/>
      <c r="DK119" s="80"/>
      <c r="DL119" s="80"/>
      <c r="DM119" s="80"/>
      <c r="DN119" s="80"/>
      <c r="DO119" s="80"/>
      <c r="DP119" s="80"/>
      <c r="DQ119" s="80"/>
      <c r="DR119" s="80"/>
      <c r="DS119" s="80"/>
      <c r="DT119" s="80"/>
      <c r="DU119" s="80"/>
      <c r="DV119" s="80"/>
      <c r="DW119" s="80"/>
      <c r="DX119" s="80"/>
      <c r="DY119" s="80"/>
      <c r="DZ119" s="80"/>
      <c r="EA119" s="80"/>
      <c r="EB119" s="80"/>
      <c r="EC119" s="80"/>
      <c r="ED119" s="17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7"/>
      <c r="EZ119" s="16"/>
      <c r="FA119" s="47"/>
      <c r="FB119" s="47"/>
    </row>
    <row r="120" spans="2:158" s="26" customFormat="1" x14ac:dyDescent="0.2">
      <c r="B120" s="15" t="s">
        <v>139</v>
      </c>
      <c r="C120" s="23"/>
      <c r="D120" s="23"/>
      <c r="E120" s="23"/>
      <c r="F120" s="23"/>
      <c r="G120" s="23"/>
      <c r="H120" s="23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94"/>
      <c r="AX120" s="94"/>
      <c r="AY120" s="94"/>
      <c r="AZ120" s="94"/>
      <c r="BA120" s="94"/>
      <c r="BB120" s="95">
        <f t="shared" ref="BB120:BV120" si="163">BB38/AX38-1</f>
        <v>5.5214723926380271E-2</v>
      </c>
      <c r="BC120" s="95">
        <f t="shared" si="163"/>
        <v>7.344632768361592E-2</v>
      </c>
      <c r="BD120" s="95">
        <f t="shared" si="163"/>
        <v>6.8181818181818121E-2</v>
      </c>
      <c r="BE120" s="95">
        <f t="shared" si="163"/>
        <v>0.12734082397003754</v>
      </c>
      <c r="BF120" s="95">
        <f t="shared" si="163"/>
        <v>3.6821705426356655E-2</v>
      </c>
      <c r="BG120" s="95">
        <f t="shared" si="163"/>
        <v>-8.7719298245614308E-3</v>
      </c>
      <c r="BH120" s="95">
        <f t="shared" si="163"/>
        <v>-5.1418439716312103E-2</v>
      </c>
      <c r="BI120" s="95">
        <f t="shared" si="163"/>
        <v>-1.6611295681063121E-2</v>
      </c>
      <c r="BJ120" s="95">
        <f t="shared" si="163"/>
        <v>-2.4299065420560706E-2</v>
      </c>
      <c r="BK120" s="95">
        <f t="shared" si="163"/>
        <v>-3.7168141592920367E-2</v>
      </c>
      <c r="BL120" s="95">
        <f t="shared" si="163"/>
        <v>-3.1775700934579487E-2</v>
      </c>
      <c r="BM120" s="95">
        <f t="shared" si="163"/>
        <v>-0.13851351351351349</v>
      </c>
      <c r="BN120" s="95">
        <f t="shared" si="163"/>
        <v>-0.15325670498084287</v>
      </c>
      <c r="BO120" s="95">
        <f t="shared" si="163"/>
        <v>-0.17279411764705888</v>
      </c>
      <c r="BP120" s="95">
        <f t="shared" si="163"/>
        <v>-0.17567567567567566</v>
      </c>
      <c r="BQ120" s="95">
        <f t="shared" si="163"/>
        <v>-0.10784313725490191</v>
      </c>
      <c r="BR120" s="95">
        <f t="shared" si="163"/>
        <v>-0.14479638009049778</v>
      </c>
      <c r="BS120" s="95">
        <f t="shared" si="163"/>
        <v>-8.666666666666667E-2</v>
      </c>
      <c r="BT120" s="95">
        <f t="shared" si="163"/>
        <v>-8.4309133489461341E-2</v>
      </c>
      <c r="BU120" s="95">
        <f t="shared" si="163"/>
        <v>-0.1648351648351648</v>
      </c>
      <c r="BV120" s="95">
        <f t="shared" si="163"/>
        <v>-0.10317460317460314</v>
      </c>
      <c r="BW120" s="95"/>
      <c r="BX120" s="95"/>
      <c r="BY120" s="95"/>
      <c r="BZ120" s="95"/>
      <c r="CA120" s="95"/>
      <c r="CB120" s="95"/>
      <c r="CC120" s="95"/>
      <c r="CD120" s="95"/>
      <c r="CE120" s="95"/>
      <c r="CF120" s="95"/>
      <c r="CG120" s="95"/>
      <c r="CH120" s="95"/>
      <c r="CI120" s="95"/>
      <c r="CJ120" s="95"/>
      <c r="CK120" s="95"/>
      <c r="CL120" s="95"/>
      <c r="CM120" s="95"/>
      <c r="CN120" s="95"/>
      <c r="CO120" s="95"/>
      <c r="CP120" s="95"/>
      <c r="CQ120" s="95"/>
      <c r="CR120" s="95"/>
      <c r="CS120" s="95"/>
      <c r="CT120" s="95"/>
      <c r="CU120" s="95"/>
      <c r="CV120" s="95"/>
      <c r="CW120" s="95"/>
      <c r="CX120" s="95"/>
      <c r="CY120" s="95"/>
      <c r="CZ120" s="95"/>
      <c r="DA120" s="95"/>
      <c r="DB120" s="95"/>
      <c r="DC120" s="95"/>
      <c r="DD120" s="95"/>
      <c r="DE120" s="95"/>
      <c r="DF120" s="95"/>
      <c r="DG120" s="95"/>
      <c r="DH120" s="95"/>
      <c r="DI120" s="95"/>
      <c r="DJ120" s="95"/>
      <c r="DK120" s="95"/>
      <c r="DL120" s="95"/>
      <c r="DM120" s="95"/>
      <c r="DN120" s="95"/>
      <c r="DO120" s="95"/>
      <c r="DP120" s="95"/>
      <c r="DQ120" s="95"/>
      <c r="DR120" s="95"/>
      <c r="DS120" s="95"/>
      <c r="DT120" s="95"/>
      <c r="DU120" s="95"/>
      <c r="DV120" s="95"/>
      <c r="DW120" s="95"/>
      <c r="DX120" s="95"/>
      <c r="DY120" s="95"/>
      <c r="DZ120" s="95"/>
      <c r="EA120" s="95"/>
      <c r="EB120" s="95"/>
      <c r="EC120" s="95"/>
      <c r="ED120" s="5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7"/>
      <c r="EZ120" s="16"/>
      <c r="FA120" s="47"/>
      <c r="FB120" s="47"/>
    </row>
    <row r="121" spans="2:158" s="26" customFormat="1" x14ac:dyDescent="0.2">
      <c r="B121" s="15" t="s">
        <v>33</v>
      </c>
      <c r="C121" s="23"/>
      <c r="D121" s="23"/>
      <c r="E121" s="23"/>
      <c r="F121" s="23"/>
      <c r="G121" s="23"/>
      <c r="H121" s="23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94"/>
      <c r="AX121" s="94"/>
      <c r="AY121" s="94"/>
      <c r="AZ121" s="94"/>
      <c r="BA121" s="94"/>
      <c r="BB121" s="95">
        <f t="shared" ref="BB121:BV121" si="164">BB43/AX43-1</f>
        <v>2.925925925925926</v>
      </c>
      <c r="BC121" s="95">
        <f t="shared" si="164"/>
        <v>7.2105263157894743</v>
      </c>
      <c r="BD121" s="95">
        <f t="shared" si="164"/>
        <v>1.5363636363636362</v>
      </c>
      <c r="BE121" s="95">
        <f t="shared" si="164"/>
        <v>6.5161290322580649</v>
      </c>
      <c r="BF121" s="95">
        <f t="shared" si="164"/>
        <v>0.41745283018867929</v>
      </c>
      <c r="BG121" s="95">
        <f t="shared" si="164"/>
        <v>1.3076923076923075</v>
      </c>
      <c r="BH121" s="95">
        <f t="shared" si="164"/>
        <v>1.3978494623655915</v>
      </c>
      <c r="BI121" s="95">
        <f t="shared" si="164"/>
        <v>0.42632331902718179</v>
      </c>
      <c r="BJ121" s="95">
        <f t="shared" si="164"/>
        <v>0.43926788685524132</v>
      </c>
      <c r="BK121" s="95">
        <f t="shared" si="164"/>
        <v>0.25277777777777777</v>
      </c>
      <c r="BL121" s="95">
        <f t="shared" si="164"/>
        <v>-0.61584454409566525</v>
      </c>
      <c r="BM121" s="95">
        <f t="shared" si="164"/>
        <v>-0.48645937813440321</v>
      </c>
      <c r="BN121" s="95">
        <f t="shared" si="164"/>
        <v>-0.67861271676300583</v>
      </c>
      <c r="BO121" s="95">
        <f t="shared" si="164"/>
        <v>-0.89135254988913526</v>
      </c>
      <c r="BP121" s="95">
        <f t="shared" si="164"/>
        <v>-0.60700389105058372</v>
      </c>
      <c r="BQ121" s="95">
        <f t="shared" si="164"/>
        <v>-0.646484375</v>
      </c>
      <c r="BR121" s="95">
        <f t="shared" si="164"/>
        <v>0.44244604316546754</v>
      </c>
      <c r="BS121" s="95">
        <f t="shared" si="164"/>
        <v>11.428571428571429</v>
      </c>
      <c r="BT121" s="95">
        <f t="shared" si="164"/>
        <v>8.8415841584158414</v>
      </c>
      <c r="BU121" s="95">
        <f t="shared" si="164"/>
        <v>5.6077348066298338</v>
      </c>
      <c r="BV121" s="95">
        <f t="shared" si="164"/>
        <v>0.28927680798004984</v>
      </c>
      <c r="BW121" s="95"/>
      <c r="BX121" s="95"/>
      <c r="BY121" s="95"/>
      <c r="BZ121" s="95"/>
      <c r="CA121" s="95"/>
      <c r="CB121" s="95"/>
      <c r="CC121" s="95"/>
      <c r="CD121" s="95"/>
      <c r="CE121" s="95"/>
      <c r="CF121" s="95"/>
      <c r="CG121" s="95"/>
      <c r="CH121" s="95"/>
      <c r="CI121" s="95"/>
      <c r="CJ121" s="95"/>
      <c r="CK121" s="95"/>
      <c r="CL121" s="95"/>
      <c r="CM121" s="95"/>
      <c r="CN121" s="95"/>
      <c r="CO121" s="95"/>
      <c r="CP121" s="95"/>
      <c r="CQ121" s="95"/>
      <c r="CR121" s="95"/>
      <c r="CS121" s="95"/>
      <c r="CT121" s="95"/>
      <c r="CU121" s="95"/>
      <c r="CV121" s="95"/>
      <c r="CW121" s="95"/>
      <c r="CX121" s="95"/>
      <c r="CY121" s="95"/>
      <c r="CZ121" s="95"/>
      <c r="DA121" s="95"/>
      <c r="DB121" s="95"/>
      <c r="DC121" s="95"/>
      <c r="DD121" s="95"/>
      <c r="DE121" s="95"/>
      <c r="DF121" s="95"/>
      <c r="DG121" s="95"/>
      <c r="DH121" s="95"/>
      <c r="DI121" s="95"/>
      <c r="DJ121" s="95"/>
      <c r="DK121" s="95"/>
      <c r="DL121" s="95"/>
      <c r="DM121" s="95"/>
      <c r="DN121" s="95"/>
      <c r="DO121" s="95"/>
      <c r="DP121" s="95"/>
      <c r="DQ121" s="95"/>
      <c r="DR121" s="95"/>
      <c r="DS121" s="95"/>
      <c r="DT121" s="95"/>
      <c r="DU121" s="95"/>
      <c r="DV121" s="95"/>
      <c r="DW121" s="95"/>
      <c r="DX121" s="95"/>
      <c r="DY121" s="95"/>
      <c r="DZ121" s="95"/>
      <c r="EA121" s="95"/>
      <c r="EB121" s="95"/>
      <c r="EC121" s="95"/>
      <c r="ED121" s="5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7"/>
      <c r="EZ121" s="16"/>
      <c r="FA121" s="47"/>
      <c r="FB121" s="47"/>
    </row>
    <row r="122" spans="2:158" s="26" customFormat="1" x14ac:dyDescent="0.2">
      <c r="B122" s="15" t="s">
        <v>40</v>
      </c>
      <c r="C122" s="23"/>
      <c r="D122" s="23"/>
      <c r="E122" s="23"/>
      <c r="F122" s="23"/>
      <c r="G122" s="23"/>
      <c r="H122" s="23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94"/>
      <c r="AX122" s="94"/>
      <c r="AY122" s="94"/>
      <c r="AZ122" s="94"/>
      <c r="BA122" s="94"/>
      <c r="BB122" s="95">
        <f t="shared" ref="BB122:BV122" si="165">BB28/AX28-1</f>
        <v>2.7100271002709064E-3</v>
      </c>
      <c r="BC122" s="95">
        <f t="shared" si="165"/>
        <v>0.22857142857142865</v>
      </c>
      <c r="BD122" s="95">
        <f t="shared" si="165"/>
        <v>0.3086053412462908</v>
      </c>
      <c r="BE122" s="95">
        <f t="shared" si="165"/>
        <v>0.33717579250720453</v>
      </c>
      <c r="BF122" s="95">
        <f t="shared" si="165"/>
        <v>0.22702702702702693</v>
      </c>
      <c r="BG122" s="95">
        <f t="shared" si="165"/>
        <v>1.6279069767441756E-2</v>
      </c>
      <c r="BH122" s="95">
        <f t="shared" si="165"/>
        <v>5.6689342403628107E-2</v>
      </c>
      <c r="BI122" s="95">
        <f t="shared" si="165"/>
        <v>4.5258620689655249E-2</v>
      </c>
      <c r="BJ122" s="95">
        <f t="shared" si="165"/>
        <v>4.8458149779735615E-2</v>
      </c>
      <c r="BK122" s="95">
        <f t="shared" si="165"/>
        <v>0.15102974828375282</v>
      </c>
      <c r="BL122" s="95">
        <f t="shared" si="165"/>
        <v>4.0772532188841248E-2</v>
      </c>
      <c r="BM122" s="95">
        <f t="shared" si="165"/>
        <v>0.12989690721649483</v>
      </c>
      <c r="BN122" s="95">
        <f t="shared" si="165"/>
        <v>2.3109243697478909E-2</v>
      </c>
      <c r="BO122" s="95">
        <f t="shared" si="165"/>
        <v>3.9761431411530879E-2</v>
      </c>
      <c r="BP122" s="95">
        <f t="shared" si="165"/>
        <v>5.7731958762886615E-2</v>
      </c>
      <c r="BQ122" s="95">
        <f t="shared" si="165"/>
        <v>5.1094890510948954E-2</v>
      </c>
      <c r="BR122" s="95">
        <f t="shared" si="165"/>
        <v>6.1601642710472193E-2</v>
      </c>
      <c r="BS122" s="95">
        <f t="shared" si="165"/>
        <v>-0.21606118546845121</v>
      </c>
      <c r="BT122" s="95">
        <f t="shared" si="165"/>
        <v>-0.29434697855750491</v>
      </c>
      <c r="BU122" s="95">
        <f t="shared" si="165"/>
        <v>-0.50173611111111116</v>
      </c>
      <c r="BV122" s="95">
        <f t="shared" si="165"/>
        <v>-0.30947775628626695</v>
      </c>
      <c r="BW122" s="95"/>
      <c r="BX122" s="95"/>
      <c r="BY122" s="95"/>
      <c r="BZ122" s="95"/>
      <c r="CA122" s="95"/>
      <c r="CB122" s="95"/>
      <c r="CC122" s="95"/>
      <c r="CD122" s="95"/>
      <c r="CE122" s="95"/>
      <c r="CF122" s="95"/>
      <c r="CG122" s="95"/>
      <c r="CH122" s="95"/>
      <c r="CI122" s="95"/>
      <c r="CJ122" s="95"/>
      <c r="CK122" s="95"/>
      <c r="CL122" s="95"/>
      <c r="CM122" s="95"/>
      <c r="CN122" s="95"/>
      <c r="CO122" s="95"/>
      <c r="CP122" s="95"/>
      <c r="CQ122" s="95"/>
      <c r="CR122" s="95"/>
      <c r="CS122" s="95"/>
      <c r="CT122" s="95"/>
      <c r="CU122" s="95"/>
      <c r="CV122" s="95"/>
      <c r="CW122" s="95"/>
      <c r="CX122" s="95"/>
      <c r="CY122" s="95"/>
      <c r="CZ122" s="95"/>
      <c r="DA122" s="95"/>
      <c r="DB122" s="95"/>
      <c r="DC122" s="95"/>
      <c r="DD122" s="95"/>
      <c r="DE122" s="95"/>
      <c r="DF122" s="95"/>
      <c r="DG122" s="95"/>
      <c r="DH122" s="95"/>
      <c r="DI122" s="95"/>
      <c r="DJ122" s="95"/>
      <c r="DK122" s="95"/>
      <c r="DL122" s="95"/>
      <c r="DM122" s="95"/>
      <c r="DN122" s="95"/>
      <c r="DO122" s="95"/>
      <c r="DP122" s="95"/>
      <c r="DQ122" s="95"/>
      <c r="DR122" s="95"/>
      <c r="DS122" s="95"/>
      <c r="DT122" s="95"/>
      <c r="DU122" s="95"/>
      <c r="DV122" s="95"/>
      <c r="DW122" s="95"/>
      <c r="DX122" s="95"/>
      <c r="DY122" s="95"/>
      <c r="DZ122" s="95"/>
      <c r="EA122" s="95"/>
      <c r="EB122" s="95"/>
      <c r="EC122" s="95"/>
      <c r="ED122" s="5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7"/>
      <c r="EZ122" s="16"/>
      <c r="FA122" s="47"/>
      <c r="FB122" s="47"/>
    </row>
    <row r="123" spans="2:158" s="26" customFormat="1" x14ac:dyDescent="0.2">
      <c r="B123" s="15" t="s">
        <v>34</v>
      </c>
      <c r="C123" s="23"/>
      <c r="D123" s="23"/>
      <c r="E123" s="23"/>
      <c r="F123" s="23"/>
      <c r="G123" s="23"/>
      <c r="H123" s="23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94"/>
      <c r="AX123" s="94"/>
      <c r="AY123" s="94"/>
      <c r="AZ123" s="94"/>
      <c r="BA123" s="94"/>
      <c r="BB123" s="95">
        <f t="shared" ref="BB123:BK124" si="166">BB39/AX39-1</f>
        <v>0.12456747404844282</v>
      </c>
      <c r="BC123" s="95">
        <f t="shared" si="166"/>
        <v>0.20338983050847448</v>
      </c>
      <c r="BD123" s="95">
        <f t="shared" si="166"/>
        <v>0.18243243243243246</v>
      </c>
      <c r="BE123" s="95">
        <f t="shared" si="166"/>
        <v>0.24749163879598668</v>
      </c>
      <c r="BF123" s="95">
        <f t="shared" si="166"/>
        <v>7.6923076923076872E-2</v>
      </c>
      <c r="BG123" s="95">
        <f t="shared" si="166"/>
        <v>5.3521126760563309E-2</v>
      </c>
      <c r="BH123" s="95">
        <f t="shared" si="166"/>
        <v>0</v>
      </c>
      <c r="BI123" s="95">
        <f t="shared" si="166"/>
        <v>5.3619302949061698E-2</v>
      </c>
      <c r="BJ123" s="95">
        <f t="shared" si="166"/>
        <v>0.14285714285714279</v>
      </c>
      <c r="BK123" s="95">
        <f t="shared" si="166"/>
        <v>8.8235294117646967E-2</v>
      </c>
      <c r="BL123" s="95">
        <f t="shared" ref="BL123:BU124" si="167">BL39/BH39-1</f>
        <v>9.4285714285714306E-2</v>
      </c>
      <c r="BM123" s="95">
        <f t="shared" si="167"/>
        <v>0.13740458015267176</v>
      </c>
      <c r="BN123" s="95">
        <f t="shared" si="167"/>
        <v>-7.7500000000000013E-2</v>
      </c>
      <c r="BO123" s="95">
        <f t="shared" si="167"/>
        <v>2.2113022113022129E-2</v>
      </c>
      <c r="BP123" s="95">
        <f t="shared" si="167"/>
        <v>5.7441253263707637E-2</v>
      </c>
      <c r="BQ123" s="95">
        <f t="shared" si="167"/>
        <v>-4.4742729306487261E-3</v>
      </c>
      <c r="BR123" s="95">
        <f t="shared" si="167"/>
        <v>6.5040650406503975E-2</v>
      </c>
      <c r="BS123" s="95">
        <f t="shared" si="167"/>
        <v>7.9326923076923128E-2</v>
      </c>
      <c r="BT123" s="95">
        <f t="shared" si="167"/>
        <v>8.1481481481481488E-2</v>
      </c>
      <c r="BU123" s="95">
        <f t="shared" si="167"/>
        <v>-0.15730337078651691</v>
      </c>
      <c r="BV123" s="95">
        <f t="shared" ref="BV123:BV124" si="168">BV39/BR39-1</f>
        <v>0.12213740458015265</v>
      </c>
      <c r="BW123" s="95"/>
      <c r="BX123" s="95"/>
      <c r="BY123" s="95"/>
      <c r="BZ123" s="95"/>
      <c r="CA123" s="95"/>
      <c r="CB123" s="95"/>
      <c r="CC123" s="95"/>
      <c r="CD123" s="95"/>
      <c r="CE123" s="95"/>
      <c r="CF123" s="95"/>
      <c r="CG123" s="95"/>
      <c r="CH123" s="95"/>
      <c r="CI123" s="95"/>
      <c r="CJ123" s="95"/>
      <c r="CK123" s="95"/>
      <c r="CL123" s="95"/>
      <c r="CM123" s="95"/>
      <c r="CN123" s="95"/>
      <c r="CO123" s="95"/>
      <c r="CP123" s="95"/>
      <c r="CQ123" s="95"/>
      <c r="CR123" s="95"/>
      <c r="CS123" s="95"/>
      <c r="CT123" s="95"/>
      <c r="CU123" s="95"/>
      <c r="CV123" s="95"/>
      <c r="CW123" s="95"/>
      <c r="CX123" s="95"/>
      <c r="CY123" s="95"/>
      <c r="CZ123" s="95"/>
      <c r="DA123" s="95"/>
      <c r="DB123" s="95"/>
      <c r="DC123" s="95"/>
      <c r="DD123" s="95"/>
      <c r="DE123" s="95"/>
      <c r="DF123" s="95"/>
      <c r="DG123" s="95"/>
      <c r="DH123" s="95"/>
      <c r="DI123" s="95"/>
      <c r="DJ123" s="95"/>
      <c r="DK123" s="95"/>
      <c r="DL123" s="95"/>
      <c r="DM123" s="95"/>
      <c r="DN123" s="95"/>
      <c r="DO123" s="95"/>
      <c r="DP123" s="95"/>
      <c r="DQ123" s="95"/>
      <c r="DR123" s="95"/>
      <c r="DS123" s="95"/>
      <c r="DT123" s="95"/>
      <c r="DU123" s="95"/>
      <c r="DV123" s="95"/>
      <c r="DW123" s="95"/>
      <c r="DX123" s="95"/>
      <c r="DY123" s="95"/>
      <c r="DZ123" s="95"/>
      <c r="EA123" s="95"/>
      <c r="EB123" s="95"/>
      <c r="EC123" s="95"/>
      <c r="ED123" s="5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7"/>
      <c r="EZ123" s="16"/>
      <c r="FA123" s="47"/>
      <c r="FB123" s="47"/>
    </row>
    <row r="124" spans="2:158" s="26" customFormat="1" x14ac:dyDescent="0.2">
      <c r="B124" s="15" t="s">
        <v>31</v>
      </c>
      <c r="C124" s="23"/>
      <c r="D124" s="23"/>
      <c r="E124" s="23"/>
      <c r="F124" s="23"/>
      <c r="G124" s="23"/>
      <c r="H124" s="23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94"/>
      <c r="AX124" s="94"/>
      <c r="AY124" s="94"/>
      <c r="AZ124" s="94"/>
      <c r="BA124" s="94"/>
      <c r="BB124" s="95">
        <f t="shared" si="166"/>
        <v>0.43478260869565211</v>
      </c>
      <c r="BC124" s="95">
        <f t="shared" si="166"/>
        <v>0.484375</v>
      </c>
      <c r="BD124" s="95">
        <f t="shared" si="166"/>
        <v>0.46896551724137936</v>
      </c>
      <c r="BE124" s="95">
        <f t="shared" si="166"/>
        <v>0.56164383561643838</v>
      </c>
      <c r="BF124" s="95">
        <f t="shared" si="166"/>
        <v>0.44242424242424239</v>
      </c>
      <c r="BG124" s="95">
        <f t="shared" si="166"/>
        <v>0.23157894736842111</v>
      </c>
      <c r="BH124" s="95">
        <f t="shared" si="166"/>
        <v>0.1220657276995305</v>
      </c>
      <c r="BI124" s="95">
        <f t="shared" si="166"/>
        <v>0.14035087719298245</v>
      </c>
      <c r="BJ124" s="95">
        <f t="shared" si="166"/>
        <v>0.12184873949579833</v>
      </c>
      <c r="BK124" s="95">
        <f t="shared" si="166"/>
        <v>0.20512820512820507</v>
      </c>
      <c r="BL124" s="95">
        <f t="shared" si="167"/>
        <v>0.21338912133891208</v>
      </c>
      <c r="BM124" s="95">
        <f t="shared" si="167"/>
        <v>0.19999999999999996</v>
      </c>
      <c r="BN124" s="95">
        <f t="shared" si="167"/>
        <v>5.2434456928838857E-2</v>
      </c>
      <c r="BO124" s="95">
        <f t="shared" si="167"/>
        <v>3.5460992907801359E-2</v>
      </c>
      <c r="BP124" s="95">
        <f t="shared" si="167"/>
        <v>5.862068965517242E-2</v>
      </c>
      <c r="BQ124" s="95">
        <f t="shared" si="167"/>
        <v>6.0897435897435903E-2</v>
      </c>
      <c r="BR124" s="95">
        <f t="shared" si="167"/>
        <v>5.3380782918149405E-2</v>
      </c>
      <c r="BS124" s="95">
        <f t="shared" si="167"/>
        <v>0.13013698630136994</v>
      </c>
      <c r="BT124" s="95">
        <f t="shared" si="167"/>
        <v>6.1889250814332275E-2</v>
      </c>
      <c r="BU124" s="95">
        <f t="shared" si="167"/>
        <v>-6.9486404833836835E-2</v>
      </c>
      <c r="BV124" s="95">
        <f t="shared" si="168"/>
        <v>0.18918918918918926</v>
      </c>
      <c r="BW124" s="95"/>
      <c r="BX124" s="95"/>
      <c r="BY124" s="95"/>
      <c r="BZ124" s="95"/>
      <c r="CA124" s="95"/>
      <c r="CB124" s="95"/>
      <c r="CC124" s="95"/>
      <c r="CD124" s="95"/>
      <c r="CE124" s="95"/>
      <c r="CF124" s="95"/>
      <c r="CG124" s="95"/>
      <c r="CH124" s="95"/>
      <c r="CI124" s="95"/>
      <c r="CJ124" s="95"/>
      <c r="CK124" s="95"/>
      <c r="CL124" s="95"/>
      <c r="CM124" s="95"/>
      <c r="CN124" s="95"/>
      <c r="CO124" s="95"/>
      <c r="CP124" s="95"/>
      <c r="CQ124" s="95"/>
      <c r="CR124" s="95"/>
      <c r="CS124" s="95"/>
      <c r="CT124" s="95"/>
      <c r="CU124" s="95"/>
      <c r="CV124" s="95"/>
      <c r="CW124" s="95"/>
      <c r="CX124" s="95"/>
      <c r="CY124" s="95"/>
      <c r="CZ124" s="95"/>
      <c r="DA124" s="95"/>
      <c r="DB124" s="95"/>
      <c r="DC124" s="95"/>
      <c r="DD124" s="95"/>
      <c r="DE124" s="95"/>
      <c r="DF124" s="95"/>
      <c r="DG124" s="95"/>
      <c r="DH124" s="95"/>
      <c r="DI124" s="95"/>
      <c r="DJ124" s="95"/>
      <c r="DK124" s="95"/>
      <c r="DL124" s="95"/>
      <c r="DM124" s="95"/>
      <c r="DN124" s="95"/>
      <c r="DO124" s="95"/>
      <c r="DP124" s="95"/>
      <c r="DQ124" s="95"/>
      <c r="DR124" s="95"/>
      <c r="DS124" s="95"/>
      <c r="DT124" s="95"/>
      <c r="DU124" s="95"/>
      <c r="DV124" s="95"/>
      <c r="DW124" s="95"/>
      <c r="DX124" s="95"/>
      <c r="DY124" s="95"/>
      <c r="DZ124" s="95"/>
      <c r="EA124" s="95"/>
      <c r="EB124" s="95"/>
      <c r="EC124" s="95"/>
      <c r="ED124" s="5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7"/>
      <c r="EZ124" s="16"/>
      <c r="FA124" s="47"/>
      <c r="FB124" s="47"/>
    </row>
    <row r="125" spans="2:158" s="26" customFormat="1" x14ac:dyDescent="0.2">
      <c r="B125" s="15" t="s">
        <v>25</v>
      </c>
      <c r="C125" s="23"/>
      <c r="D125" s="23"/>
      <c r="E125" s="23"/>
      <c r="F125" s="23"/>
      <c r="G125" s="23"/>
      <c r="H125" s="23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94"/>
      <c r="AX125" s="94"/>
      <c r="AY125" s="94"/>
      <c r="AZ125" s="94"/>
      <c r="BA125" s="94"/>
      <c r="BB125" s="95"/>
      <c r="BC125" s="95"/>
      <c r="BD125" s="95"/>
      <c r="BE125" s="95">
        <f t="shared" ref="BE125:BV125" si="169">BE41/BA41-1</f>
        <v>7.2941176470588243</v>
      </c>
      <c r="BF125" s="95">
        <f t="shared" si="169"/>
        <v>2.0175438596491229</v>
      </c>
      <c r="BG125" s="95">
        <f t="shared" si="169"/>
        <v>1.2159090909090908</v>
      </c>
      <c r="BH125" s="95">
        <f t="shared" si="169"/>
        <v>1.0891089108910892</v>
      </c>
      <c r="BI125" s="95">
        <f t="shared" si="169"/>
        <v>0.66666666666666674</v>
      </c>
      <c r="BJ125" s="95">
        <f t="shared" si="169"/>
        <v>0.41279069767441867</v>
      </c>
      <c r="BK125" s="95">
        <f t="shared" si="169"/>
        <v>0.33333333333333326</v>
      </c>
      <c r="BL125" s="95">
        <f t="shared" si="169"/>
        <v>0.28436018957345977</v>
      </c>
      <c r="BM125" s="95">
        <f t="shared" si="169"/>
        <v>0.22553191489361701</v>
      </c>
      <c r="BN125" s="95">
        <f t="shared" si="169"/>
        <v>0.17695473251028804</v>
      </c>
      <c r="BO125" s="95">
        <f t="shared" si="169"/>
        <v>0.1576923076923078</v>
      </c>
      <c r="BP125" s="95">
        <f t="shared" si="169"/>
        <v>9.9630996309963082E-2</v>
      </c>
      <c r="BQ125" s="95">
        <f t="shared" si="169"/>
        <v>0.14583333333333326</v>
      </c>
      <c r="BR125" s="95">
        <f t="shared" si="169"/>
        <v>0.11888111888111896</v>
      </c>
      <c r="BS125" s="95">
        <f t="shared" si="169"/>
        <v>7.3089700996677776E-2</v>
      </c>
      <c r="BT125" s="95">
        <f t="shared" si="169"/>
        <v>7.0469798657718075E-2</v>
      </c>
      <c r="BU125" s="95">
        <f t="shared" si="169"/>
        <v>3.6363636363636376E-2</v>
      </c>
      <c r="BV125" s="95">
        <f t="shared" si="169"/>
        <v>1.8750000000000044E-2</v>
      </c>
      <c r="BW125" s="95"/>
      <c r="BX125" s="95"/>
      <c r="BY125" s="95"/>
      <c r="BZ125" s="95"/>
      <c r="CA125" s="95"/>
      <c r="CB125" s="95"/>
      <c r="CC125" s="95"/>
      <c r="CD125" s="95"/>
      <c r="CE125" s="95"/>
      <c r="CF125" s="95"/>
      <c r="CG125" s="95"/>
      <c r="CH125" s="95"/>
      <c r="CI125" s="95"/>
      <c r="CJ125" s="95"/>
      <c r="CK125" s="95"/>
      <c r="CL125" s="95"/>
      <c r="CM125" s="95"/>
      <c r="CN125" s="95"/>
      <c r="CO125" s="95"/>
      <c r="CP125" s="95"/>
      <c r="CQ125" s="95"/>
      <c r="CR125" s="95"/>
      <c r="CS125" s="95"/>
      <c r="CT125" s="95"/>
      <c r="CU125" s="95"/>
      <c r="CV125" s="95"/>
      <c r="CW125" s="95"/>
      <c r="CX125" s="95"/>
      <c r="CY125" s="95"/>
      <c r="CZ125" s="95"/>
      <c r="DA125" s="95"/>
      <c r="DB125" s="95"/>
      <c r="DC125" s="95"/>
      <c r="DD125" s="95"/>
      <c r="DE125" s="95"/>
      <c r="DF125" s="95"/>
      <c r="DG125" s="95"/>
      <c r="DH125" s="95"/>
      <c r="DI125" s="95"/>
      <c r="DJ125" s="95"/>
      <c r="DK125" s="95"/>
      <c r="DL125" s="95"/>
      <c r="DM125" s="95"/>
      <c r="DN125" s="95"/>
      <c r="DO125" s="95"/>
      <c r="DP125" s="95"/>
      <c r="DQ125" s="95"/>
      <c r="DR125" s="95"/>
      <c r="DS125" s="95"/>
      <c r="DT125" s="95"/>
      <c r="DU125" s="95"/>
      <c r="DV125" s="95"/>
      <c r="DW125" s="95"/>
      <c r="DX125" s="95"/>
      <c r="DY125" s="95"/>
      <c r="DZ125" s="95"/>
      <c r="EA125" s="95"/>
      <c r="EB125" s="95"/>
      <c r="EC125" s="95"/>
      <c r="ED125" s="5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7"/>
      <c r="EZ125" s="16"/>
      <c r="FA125" s="47"/>
      <c r="FB125" s="47"/>
    </row>
    <row r="126" spans="2:158" s="26" customFormat="1" x14ac:dyDescent="0.2">
      <c r="B126" s="15" t="s">
        <v>29</v>
      </c>
      <c r="C126" s="23"/>
      <c r="D126" s="23"/>
      <c r="E126" s="23"/>
      <c r="F126" s="23"/>
      <c r="G126" s="23"/>
      <c r="H126" s="23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67"/>
      <c r="BI126" s="67"/>
      <c r="BJ126" s="67"/>
      <c r="BK126" s="67"/>
      <c r="BL126" s="95">
        <f t="shared" ref="BL126:BV126" si="170">BL21/BH21-1</f>
        <v>0.24479166666666674</v>
      </c>
      <c r="BM126" s="95">
        <f t="shared" si="170"/>
        <v>-0.1648351648351648</v>
      </c>
      <c r="BN126" s="95">
        <f t="shared" si="170"/>
        <v>-0.18250950570342206</v>
      </c>
      <c r="BO126" s="95">
        <f t="shared" si="170"/>
        <v>-0.13793103448275867</v>
      </c>
      <c r="BP126" s="95">
        <f t="shared" si="170"/>
        <v>2.9288702928870203E-2</v>
      </c>
      <c r="BQ126" s="95">
        <f t="shared" si="170"/>
        <v>0.20175438596491224</v>
      </c>
      <c r="BR126" s="95">
        <f t="shared" si="170"/>
        <v>0.29767441860465116</v>
      </c>
      <c r="BS126" s="95">
        <f t="shared" si="170"/>
        <v>0.30666666666666664</v>
      </c>
      <c r="BT126" s="95">
        <f t="shared" si="170"/>
        <v>0.20325203252032531</v>
      </c>
      <c r="BU126" s="95">
        <f t="shared" si="170"/>
        <v>0.2007299270072993</v>
      </c>
      <c r="BV126" s="95">
        <f t="shared" si="170"/>
        <v>0.17204301075268824</v>
      </c>
      <c r="BW126" s="95"/>
      <c r="BX126" s="95"/>
      <c r="BY126" s="95"/>
      <c r="BZ126" s="95"/>
      <c r="CA126" s="95"/>
      <c r="CB126" s="95"/>
      <c r="CC126" s="95"/>
      <c r="CD126" s="95"/>
      <c r="CE126" s="95"/>
      <c r="CF126" s="95"/>
      <c r="CG126" s="95"/>
      <c r="CH126" s="95"/>
      <c r="CI126" s="95"/>
      <c r="CJ126" s="95"/>
      <c r="CK126" s="95"/>
      <c r="CL126" s="95"/>
      <c r="CM126" s="95"/>
      <c r="CN126" s="95"/>
      <c r="CO126" s="95"/>
      <c r="CP126" s="95"/>
      <c r="CQ126" s="95"/>
      <c r="CR126" s="95"/>
      <c r="CS126" s="95"/>
      <c r="CT126" s="95"/>
      <c r="CU126" s="95"/>
      <c r="CV126" s="95"/>
      <c r="CW126" s="95"/>
      <c r="CX126" s="95"/>
      <c r="CY126" s="95"/>
      <c r="CZ126" s="95"/>
      <c r="DA126" s="95"/>
      <c r="DB126" s="95"/>
      <c r="DC126" s="95"/>
      <c r="DD126" s="95"/>
      <c r="DE126" s="95"/>
      <c r="DF126" s="95"/>
      <c r="DG126" s="95"/>
      <c r="DH126" s="95"/>
      <c r="DI126" s="95"/>
      <c r="DJ126" s="95"/>
      <c r="DK126" s="95"/>
      <c r="DL126" s="95"/>
      <c r="DM126" s="95"/>
      <c r="DN126" s="95"/>
      <c r="DO126" s="95"/>
      <c r="DP126" s="95"/>
      <c r="DQ126" s="95"/>
      <c r="DR126" s="95"/>
      <c r="DS126" s="95"/>
      <c r="DT126" s="95"/>
      <c r="DU126" s="95"/>
      <c r="DV126" s="95"/>
      <c r="DW126" s="95"/>
      <c r="DX126" s="95"/>
      <c r="DY126" s="95"/>
      <c r="DZ126" s="95"/>
      <c r="EA126" s="95"/>
      <c r="EB126" s="95"/>
      <c r="EC126" s="95"/>
      <c r="ED126" s="5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7"/>
      <c r="EZ126" s="16"/>
      <c r="FA126" s="47"/>
      <c r="FB126" s="47"/>
    </row>
    <row r="127" spans="2:158" s="26" customFormat="1" x14ac:dyDescent="0.2">
      <c r="B127" s="15" t="s">
        <v>140</v>
      </c>
      <c r="C127" s="23"/>
      <c r="D127" s="23"/>
      <c r="E127" s="23"/>
      <c r="F127" s="23"/>
      <c r="G127" s="23"/>
      <c r="H127" s="23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94"/>
      <c r="AX127" s="94"/>
      <c r="AY127" s="94"/>
      <c r="AZ127" s="94"/>
      <c r="BA127" s="94"/>
      <c r="BB127" s="95"/>
      <c r="BC127" s="95"/>
      <c r="BD127" s="95"/>
      <c r="BE127" s="95"/>
      <c r="BF127" s="95"/>
      <c r="BG127" s="95">
        <f t="shared" ref="BG127:BV127" si="171">BG42/BC42-1</f>
        <v>3.3809523809523814</v>
      </c>
      <c r="BH127" s="95">
        <f t="shared" si="171"/>
        <v>9.1428571428571423</v>
      </c>
      <c r="BI127" s="95">
        <f t="shared" si="171"/>
        <v>2.5098039215686274</v>
      </c>
      <c r="BJ127" s="95">
        <f t="shared" si="171"/>
        <v>1.2666666666666666</v>
      </c>
      <c r="BK127" s="95">
        <f t="shared" si="171"/>
        <v>1.2173913043478262</v>
      </c>
      <c r="BL127" s="95">
        <f t="shared" si="171"/>
        <v>0.61971830985915499</v>
      </c>
      <c r="BM127" s="95">
        <f t="shared" si="171"/>
        <v>0.58100558659217882</v>
      </c>
      <c r="BN127" s="95">
        <f t="shared" si="171"/>
        <v>0.41764705882352948</v>
      </c>
      <c r="BO127" s="95">
        <f t="shared" si="171"/>
        <v>0.30392156862745101</v>
      </c>
      <c r="BP127" s="95">
        <f t="shared" si="171"/>
        <v>0.16521739130434776</v>
      </c>
      <c r="BQ127" s="95">
        <f t="shared" si="171"/>
        <v>0.1766784452296819</v>
      </c>
      <c r="BR127" s="95">
        <f t="shared" si="171"/>
        <v>3.3195020746888071E-2</v>
      </c>
      <c r="BS127" s="95">
        <f t="shared" si="171"/>
        <v>3.7593984962406068E-2</v>
      </c>
      <c r="BT127" s="95">
        <f t="shared" si="171"/>
        <v>-4.8507462686567138E-2</v>
      </c>
      <c r="BU127" s="95">
        <f t="shared" si="171"/>
        <v>-0.16516516516516522</v>
      </c>
      <c r="BV127" s="95">
        <f t="shared" si="171"/>
        <v>0.11244979919678721</v>
      </c>
      <c r="BW127" s="95"/>
      <c r="BX127" s="95"/>
      <c r="BY127" s="95"/>
      <c r="BZ127" s="95"/>
      <c r="CA127" s="95"/>
      <c r="CB127" s="95"/>
      <c r="CC127" s="95"/>
      <c r="CD127" s="95"/>
      <c r="CE127" s="95"/>
      <c r="CF127" s="95"/>
      <c r="CG127" s="95"/>
      <c r="CH127" s="95"/>
      <c r="CI127" s="95"/>
      <c r="CJ127" s="95"/>
      <c r="CK127" s="95"/>
      <c r="CL127" s="95"/>
      <c r="CM127" s="95"/>
      <c r="CN127" s="95"/>
      <c r="CO127" s="95"/>
      <c r="CP127" s="95"/>
      <c r="CQ127" s="95"/>
      <c r="CR127" s="95"/>
      <c r="CS127" s="95"/>
      <c r="CT127" s="95"/>
      <c r="CU127" s="95"/>
      <c r="CV127" s="95"/>
      <c r="CW127" s="95"/>
      <c r="CX127" s="95"/>
      <c r="CY127" s="95"/>
      <c r="CZ127" s="95"/>
      <c r="DA127" s="95"/>
      <c r="DB127" s="95"/>
      <c r="DC127" s="95"/>
      <c r="DD127" s="95"/>
      <c r="DE127" s="95"/>
      <c r="DF127" s="95"/>
      <c r="DG127" s="95"/>
      <c r="DH127" s="95"/>
      <c r="DI127" s="95"/>
      <c r="DJ127" s="95"/>
      <c r="DK127" s="95"/>
      <c r="DL127" s="95"/>
      <c r="DM127" s="95"/>
      <c r="DN127" s="95"/>
      <c r="DO127" s="95"/>
      <c r="DP127" s="95"/>
      <c r="DQ127" s="95"/>
      <c r="DR127" s="95"/>
      <c r="DS127" s="95"/>
      <c r="DT127" s="95"/>
      <c r="DU127" s="95"/>
      <c r="DV127" s="95"/>
      <c r="DW127" s="95"/>
      <c r="DX127" s="95"/>
      <c r="DY127" s="95"/>
      <c r="DZ127" s="95"/>
      <c r="EA127" s="95"/>
      <c r="EB127" s="95"/>
      <c r="EC127" s="95"/>
      <c r="ED127" s="5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7"/>
      <c r="EZ127" s="16"/>
      <c r="FA127" s="47"/>
      <c r="FB127" s="47"/>
    </row>
    <row r="128" spans="2:158" s="26" customFormat="1" x14ac:dyDescent="0.2">
      <c r="B128" s="15" t="s">
        <v>39</v>
      </c>
      <c r="C128" s="23"/>
      <c r="D128" s="23"/>
      <c r="E128" s="23"/>
      <c r="F128" s="23"/>
      <c r="G128" s="23"/>
      <c r="H128" s="2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94"/>
      <c r="AX128" s="94"/>
      <c r="AY128" s="94"/>
      <c r="AZ128" s="94"/>
      <c r="BA128" s="94"/>
      <c r="BB128" s="95">
        <f t="shared" ref="BB128:BV128" si="172">BB49/AX49-1</f>
        <v>6.8493150684931781E-3</v>
      </c>
      <c r="BC128" s="95">
        <f t="shared" si="172"/>
        <v>0</v>
      </c>
      <c r="BD128" s="95">
        <f t="shared" si="172"/>
        <v>0.11724137931034484</v>
      </c>
      <c r="BE128" s="95">
        <f t="shared" si="172"/>
        <v>0.17518248175182483</v>
      </c>
      <c r="BF128" s="95">
        <f t="shared" si="172"/>
        <v>0.23129251700680276</v>
      </c>
      <c r="BG128" s="95">
        <f t="shared" si="172"/>
        <v>0.10303030303030303</v>
      </c>
      <c r="BH128" s="95">
        <f t="shared" si="172"/>
        <v>-1.2345679012345734E-2</v>
      </c>
      <c r="BI128" s="95">
        <f t="shared" si="172"/>
        <v>5.5900621118012417E-2</v>
      </c>
      <c r="BJ128" s="95">
        <f t="shared" si="172"/>
        <v>-9.9447513812154664E-2</v>
      </c>
      <c r="BK128" s="95">
        <f t="shared" si="172"/>
        <v>-3.2967032967032961E-2</v>
      </c>
      <c r="BL128" s="95">
        <f t="shared" si="172"/>
        <v>-5.6250000000000022E-2</v>
      </c>
      <c r="BM128" s="95">
        <f t="shared" si="172"/>
        <v>-0.16470588235294115</v>
      </c>
      <c r="BN128" s="95">
        <f t="shared" si="172"/>
        <v>-0.16564417177914115</v>
      </c>
      <c r="BO128" s="95">
        <f t="shared" si="172"/>
        <v>-0.27272727272727271</v>
      </c>
      <c r="BP128" s="95">
        <f t="shared" si="172"/>
        <v>-0.16556291390728473</v>
      </c>
      <c r="BQ128" s="95">
        <f t="shared" si="172"/>
        <v>-0.21126760563380287</v>
      </c>
      <c r="BR128" s="95">
        <f t="shared" si="172"/>
        <v>-0.24264705882352944</v>
      </c>
      <c r="BS128" s="95">
        <f t="shared" si="172"/>
        <v>-0.171875</v>
      </c>
      <c r="BT128" s="95">
        <f t="shared" si="172"/>
        <v>-0.22222222222222221</v>
      </c>
      <c r="BU128" s="95">
        <f t="shared" si="172"/>
        <v>-0.1964285714285714</v>
      </c>
      <c r="BV128" s="95">
        <f t="shared" si="172"/>
        <v>-0.11650485436893199</v>
      </c>
      <c r="BW128" s="95"/>
      <c r="BX128" s="95"/>
      <c r="BY128" s="95"/>
      <c r="BZ128" s="95"/>
      <c r="CA128" s="95"/>
      <c r="CB128" s="95"/>
      <c r="CC128" s="95"/>
      <c r="CD128" s="95"/>
      <c r="CE128" s="95"/>
      <c r="CF128" s="95"/>
      <c r="CG128" s="95"/>
      <c r="CH128" s="95"/>
      <c r="CI128" s="95"/>
      <c r="CJ128" s="95"/>
      <c r="CK128" s="95"/>
      <c r="CL128" s="95"/>
      <c r="CM128" s="95"/>
      <c r="CN128" s="95"/>
      <c r="CO128" s="95"/>
      <c r="CP128" s="95"/>
      <c r="CQ128" s="95"/>
      <c r="CR128" s="95"/>
      <c r="CS128" s="95"/>
      <c r="CT128" s="95"/>
      <c r="CU128" s="95"/>
      <c r="CV128" s="95"/>
      <c r="CW128" s="95"/>
      <c r="CX128" s="95"/>
      <c r="CY128" s="95"/>
      <c r="CZ128" s="95"/>
      <c r="DA128" s="95"/>
      <c r="DB128" s="95"/>
      <c r="DC128" s="95"/>
      <c r="DD128" s="95"/>
      <c r="DE128" s="95"/>
      <c r="DF128" s="95"/>
      <c r="DG128" s="95"/>
      <c r="DH128" s="95"/>
      <c r="DI128" s="95"/>
      <c r="DJ128" s="95"/>
      <c r="DK128" s="95"/>
      <c r="DL128" s="95"/>
      <c r="DM128" s="95"/>
      <c r="DN128" s="95"/>
      <c r="DO128" s="95"/>
      <c r="DP128" s="95"/>
      <c r="DQ128" s="95"/>
      <c r="DR128" s="95"/>
      <c r="DS128" s="95"/>
      <c r="DT128" s="95"/>
      <c r="DU128" s="95"/>
      <c r="DV128" s="95"/>
      <c r="DW128" s="95"/>
      <c r="DX128" s="95"/>
      <c r="DY128" s="95"/>
      <c r="DZ128" s="95"/>
      <c r="EA128" s="95"/>
      <c r="EB128" s="95"/>
      <c r="EC128" s="95"/>
      <c r="ED128" s="5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7"/>
      <c r="EZ128" s="16"/>
      <c r="FA128" s="47"/>
      <c r="FB128" s="47"/>
    </row>
    <row r="129" spans="2:158" s="26" customFormat="1" x14ac:dyDescent="0.2">
      <c r="B129" s="15" t="s">
        <v>28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4"/>
      <c r="AX129" s="94"/>
      <c r="AY129" s="94"/>
      <c r="AZ129" s="94"/>
      <c r="BA129" s="94"/>
      <c r="BB129" s="95">
        <f t="shared" ref="BB129:BV129" si="173">BB19/AX19-1</f>
        <v>1.1315789473684212</v>
      </c>
      <c r="BC129" s="95">
        <f t="shared" si="173"/>
        <v>0.81818181818181812</v>
      </c>
      <c r="BD129" s="95">
        <f t="shared" si="173"/>
        <v>0.52941176470588225</v>
      </c>
      <c r="BE129" s="95">
        <f t="shared" si="173"/>
        <v>0.68493150684931514</v>
      </c>
      <c r="BF129" s="95">
        <f t="shared" si="173"/>
        <v>0.53086419753086411</v>
      </c>
      <c r="BG129" s="95">
        <f t="shared" si="173"/>
        <v>0.33000000000000007</v>
      </c>
      <c r="BH129" s="95">
        <f t="shared" si="173"/>
        <v>0.29807692307692313</v>
      </c>
      <c r="BI129" s="95">
        <f t="shared" si="173"/>
        <v>0.17886178861788626</v>
      </c>
      <c r="BJ129" s="95">
        <f t="shared" si="173"/>
        <v>9.6774193548387011E-2</v>
      </c>
      <c r="BK129" s="95">
        <f t="shared" si="173"/>
        <v>0.11278195488721798</v>
      </c>
      <c r="BL129" s="95">
        <f t="shared" si="173"/>
        <v>7.4074074074074181E-2</v>
      </c>
      <c r="BM129" s="95">
        <f t="shared" si="173"/>
        <v>-4.8275862068965503E-2</v>
      </c>
      <c r="BN129" s="95">
        <f t="shared" si="173"/>
        <v>-8.0882352941176516E-2</v>
      </c>
      <c r="BO129" s="95">
        <f t="shared" si="173"/>
        <v>-9.4594594594594628E-2</v>
      </c>
      <c r="BP129" s="95">
        <f t="shared" si="173"/>
        <v>0</v>
      </c>
      <c r="BQ129" s="95">
        <f t="shared" si="173"/>
        <v>0.13043478260869557</v>
      </c>
      <c r="BR129" s="95">
        <f t="shared" si="173"/>
        <v>0.21599999999999997</v>
      </c>
      <c r="BS129" s="95">
        <f t="shared" si="173"/>
        <v>0.20149253731343286</v>
      </c>
      <c r="BT129" s="95">
        <f t="shared" si="173"/>
        <v>8.2758620689655116E-2</v>
      </c>
      <c r="BU129" s="95">
        <f t="shared" si="173"/>
        <v>-3.8461538461538436E-2</v>
      </c>
      <c r="BV129" s="95">
        <f t="shared" si="173"/>
        <v>-2.6315789473684181E-2</v>
      </c>
      <c r="BW129" s="95"/>
      <c r="BX129" s="95"/>
      <c r="BY129" s="95"/>
      <c r="BZ129" s="95"/>
      <c r="CA129" s="95"/>
      <c r="CB129" s="95"/>
      <c r="CC129" s="95"/>
      <c r="CD129" s="95"/>
      <c r="CE129" s="95"/>
      <c r="CF129" s="95"/>
      <c r="CG129" s="95"/>
      <c r="CH129" s="95"/>
      <c r="CI129" s="95"/>
      <c r="CJ129" s="95"/>
      <c r="CK129" s="95"/>
      <c r="CL129" s="95"/>
      <c r="CM129" s="95"/>
      <c r="CN129" s="95"/>
      <c r="CO129" s="95"/>
      <c r="CP129" s="95"/>
      <c r="CQ129" s="95"/>
      <c r="CR129" s="95"/>
      <c r="CS129" s="95"/>
      <c r="CT129" s="95"/>
      <c r="CU129" s="95"/>
      <c r="CV129" s="95"/>
      <c r="CW129" s="95"/>
      <c r="CX129" s="95"/>
      <c r="CY129" s="95"/>
      <c r="CZ129" s="95"/>
      <c r="DA129" s="95"/>
      <c r="DB129" s="95"/>
      <c r="DC129" s="95"/>
      <c r="DD129" s="95"/>
      <c r="DE129" s="95"/>
      <c r="DF129" s="95"/>
      <c r="DG129" s="95"/>
      <c r="DH129" s="95"/>
      <c r="DI129" s="95"/>
      <c r="DJ129" s="95"/>
      <c r="DK129" s="95"/>
      <c r="DL129" s="95"/>
      <c r="DM129" s="95"/>
      <c r="DN129" s="95"/>
      <c r="DO129" s="95"/>
      <c r="DP129" s="95"/>
      <c r="DQ129" s="95"/>
      <c r="DR129" s="95"/>
      <c r="DS129" s="95"/>
      <c r="DT129" s="95"/>
      <c r="DU129" s="95"/>
      <c r="DV129" s="95"/>
      <c r="DW129" s="95"/>
      <c r="DX129" s="95"/>
      <c r="DY129" s="95"/>
      <c r="DZ129" s="95"/>
      <c r="EA129" s="95"/>
      <c r="EB129" s="95"/>
      <c r="EC129" s="95"/>
      <c r="ED129" s="5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7"/>
      <c r="EZ129" s="16"/>
      <c r="FA129" s="47"/>
      <c r="FB129" s="47"/>
    </row>
    <row r="130" spans="2:158" s="26" customFormat="1" x14ac:dyDescent="0.2">
      <c r="B130" s="15" t="s">
        <v>141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4"/>
      <c r="AX130" s="94"/>
      <c r="AY130" s="94"/>
      <c r="AZ130" s="94"/>
      <c r="BA130" s="94"/>
      <c r="BB130" s="95">
        <f t="shared" ref="BB130:BK131" si="174">BB44/AX44-1</f>
        <v>0</v>
      </c>
      <c r="BC130" s="95">
        <f t="shared" si="174"/>
        <v>0.25316455696202533</v>
      </c>
      <c r="BD130" s="95">
        <f t="shared" si="174"/>
        <v>0.23456790123456783</v>
      </c>
      <c r="BE130" s="95">
        <f t="shared" si="174"/>
        <v>0.31325301204819267</v>
      </c>
      <c r="BF130" s="95">
        <f t="shared" si="174"/>
        <v>0.27906976744186052</v>
      </c>
      <c r="BG130" s="95">
        <f t="shared" si="174"/>
        <v>0.14141414141414144</v>
      </c>
      <c r="BH130" s="95">
        <f t="shared" si="174"/>
        <v>0.26</v>
      </c>
      <c r="BI130" s="95">
        <f t="shared" si="174"/>
        <v>0.27522935779816504</v>
      </c>
      <c r="BJ130" s="95">
        <f t="shared" si="174"/>
        <v>0.1272727272727272</v>
      </c>
      <c r="BK130" s="95">
        <f t="shared" si="174"/>
        <v>0.21238938053097356</v>
      </c>
      <c r="BL130" s="95">
        <f t="shared" ref="BL130:BU131" si="175">BL44/BH44-1</f>
        <v>8.7301587301587213E-2</v>
      </c>
      <c r="BM130" s="95">
        <f t="shared" si="175"/>
        <v>3.5971223021582732E-2</v>
      </c>
      <c r="BN130" s="95">
        <f t="shared" si="175"/>
        <v>3.2258064516129004E-2</v>
      </c>
      <c r="BO130" s="95">
        <f t="shared" si="175"/>
        <v>-7.2992700729926918E-3</v>
      </c>
      <c r="BP130" s="95">
        <f t="shared" si="175"/>
        <v>4.3795620437956151E-2</v>
      </c>
      <c r="BQ130" s="95">
        <f t="shared" si="175"/>
        <v>3.4722222222222321E-2</v>
      </c>
      <c r="BR130" s="95">
        <f t="shared" si="175"/>
        <v>2.34375E-2</v>
      </c>
      <c r="BS130" s="95">
        <f t="shared" si="175"/>
        <v>5.1470588235294157E-2</v>
      </c>
      <c r="BT130" s="95">
        <f t="shared" si="175"/>
        <v>3.4965034965035002E-2</v>
      </c>
      <c r="BU130" s="95">
        <f t="shared" si="175"/>
        <v>-4.6979865771812124E-2</v>
      </c>
      <c r="BV130" s="95">
        <f t="shared" ref="BV130:BV131" si="176">BV44/BR44-1</f>
        <v>0.13740458015267176</v>
      </c>
      <c r="BW130" s="95"/>
      <c r="BX130" s="95"/>
      <c r="BY130" s="95"/>
      <c r="BZ130" s="95"/>
      <c r="CA130" s="95"/>
      <c r="CB130" s="95"/>
      <c r="CC130" s="95"/>
      <c r="CD130" s="95"/>
      <c r="CE130" s="95"/>
      <c r="CF130" s="95"/>
      <c r="CG130" s="95"/>
      <c r="CH130" s="95"/>
      <c r="CI130" s="95"/>
      <c r="CJ130" s="95"/>
      <c r="CK130" s="95"/>
      <c r="CL130" s="95"/>
      <c r="CM130" s="95"/>
      <c r="CN130" s="95"/>
      <c r="CO130" s="95"/>
      <c r="CP130" s="95"/>
      <c r="CQ130" s="95"/>
      <c r="CR130" s="95"/>
      <c r="CS130" s="95"/>
      <c r="CT130" s="95"/>
      <c r="CU130" s="95"/>
      <c r="CV130" s="95"/>
      <c r="CW130" s="95"/>
      <c r="CX130" s="95"/>
      <c r="CY130" s="95"/>
      <c r="CZ130" s="95"/>
      <c r="DA130" s="95"/>
      <c r="DB130" s="95"/>
      <c r="DC130" s="95"/>
      <c r="DD130" s="95"/>
      <c r="DE130" s="95"/>
      <c r="DF130" s="95"/>
      <c r="DG130" s="95"/>
      <c r="DH130" s="95"/>
      <c r="DI130" s="95"/>
      <c r="DJ130" s="95"/>
      <c r="DK130" s="95"/>
      <c r="DL130" s="95"/>
      <c r="DM130" s="95"/>
      <c r="DN130" s="95"/>
      <c r="DO130" s="95"/>
      <c r="DP130" s="95"/>
      <c r="DQ130" s="95"/>
      <c r="DR130" s="95"/>
      <c r="DS130" s="95"/>
      <c r="DT130" s="95"/>
      <c r="DU130" s="95"/>
      <c r="DV130" s="95"/>
      <c r="DW130" s="95"/>
      <c r="DX130" s="95"/>
      <c r="DY130" s="95"/>
      <c r="DZ130" s="95"/>
      <c r="EA130" s="95"/>
      <c r="EB130" s="95"/>
      <c r="EC130" s="95"/>
      <c r="ED130" s="5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7"/>
      <c r="EZ130" s="16"/>
      <c r="FA130" s="47"/>
      <c r="FB130" s="47"/>
    </row>
    <row r="131" spans="2:158" s="26" customFormat="1" x14ac:dyDescent="0.2">
      <c r="B131" s="15" t="s">
        <v>142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4"/>
      <c r="AX131" s="94"/>
      <c r="AY131" s="94"/>
      <c r="AZ131" s="94"/>
      <c r="BA131" s="94"/>
      <c r="BB131" s="95">
        <f t="shared" si="174"/>
        <v>9.1743119266054496E-3</v>
      </c>
      <c r="BC131" s="95">
        <f t="shared" si="174"/>
        <v>5.1724137931034475E-2</v>
      </c>
      <c r="BD131" s="95">
        <f t="shared" si="174"/>
        <v>5.4545454545454453E-2</v>
      </c>
      <c r="BE131" s="95">
        <f t="shared" si="174"/>
        <v>0.12280701754385959</v>
      </c>
      <c r="BF131" s="95">
        <f t="shared" si="174"/>
        <v>7.2727272727272751E-2</v>
      </c>
      <c r="BG131" s="95">
        <f t="shared" si="174"/>
        <v>3.2786885245901676E-2</v>
      </c>
      <c r="BH131" s="95">
        <f t="shared" si="174"/>
        <v>1.7241379310344751E-2</v>
      </c>
      <c r="BI131" s="95">
        <f t="shared" si="174"/>
        <v>3.125E-2</v>
      </c>
      <c r="BJ131" s="95">
        <f t="shared" si="174"/>
        <v>-8.4745762711864181E-3</v>
      </c>
      <c r="BK131" s="95">
        <f t="shared" si="174"/>
        <v>-3.1746031746031744E-2</v>
      </c>
      <c r="BL131" s="95">
        <f t="shared" si="175"/>
        <v>0</v>
      </c>
      <c r="BM131" s="95">
        <f t="shared" si="175"/>
        <v>-0.14393939393939392</v>
      </c>
      <c r="BN131" s="95">
        <f t="shared" si="175"/>
        <v>-0.17094017094017089</v>
      </c>
      <c r="BO131" s="95">
        <f t="shared" si="175"/>
        <v>-0.19672131147540983</v>
      </c>
      <c r="BP131" s="95">
        <f t="shared" si="175"/>
        <v>-0.10169491525423724</v>
      </c>
      <c r="BQ131" s="95">
        <f t="shared" si="175"/>
        <v>-8.8495575221239076E-3</v>
      </c>
      <c r="BR131" s="95">
        <f t="shared" si="175"/>
        <v>7.2164948453608213E-2</v>
      </c>
      <c r="BS131" s="95">
        <f t="shared" si="175"/>
        <v>9.1836734693877542E-2</v>
      </c>
      <c r="BT131" s="95">
        <f t="shared" si="175"/>
        <v>-5.6603773584905648E-2</v>
      </c>
      <c r="BU131" s="95">
        <f t="shared" si="175"/>
        <v>-0.2053571428571429</v>
      </c>
      <c r="BV131" s="95">
        <f t="shared" si="176"/>
        <v>-0.125</v>
      </c>
      <c r="BW131" s="95"/>
      <c r="BX131" s="95"/>
      <c r="BY131" s="95"/>
      <c r="BZ131" s="95"/>
      <c r="CA131" s="95"/>
      <c r="CB131" s="95"/>
      <c r="CC131" s="95"/>
      <c r="CD131" s="95"/>
      <c r="CE131" s="95"/>
      <c r="CF131" s="95"/>
      <c r="CG131" s="95"/>
      <c r="CH131" s="95"/>
      <c r="CI131" s="95"/>
      <c r="CJ131" s="95"/>
      <c r="CK131" s="95"/>
      <c r="CL131" s="95"/>
      <c r="CM131" s="95"/>
      <c r="CN131" s="95"/>
      <c r="CO131" s="95"/>
      <c r="CP131" s="95"/>
      <c r="CQ131" s="95"/>
      <c r="CR131" s="95"/>
      <c r="CS131" s="95"/>
      <c r="CT131" s="95"/>
      <c r="CU131" s="95"/>
      <c r="CV131" s="95"/>
      <c r="CW131" s="95"/>
      <c r="CX131" s="95"/>
      <c r="CY131" s="95"/>
      <c r="CZ131" s="95"/>
      <c r="DA131" s="95"/>
      <c r="DB131" s="95"/>
      <c r="DC131" s="95"/>
      <c r="DD131" s="95"/>
      <c r="DE131" s="95"/>
      <c r="DF131" s="95"/>
      <c r="DG131" s="95"/>
      <c r="DH131" s="95"/>
      <c r="DI131" s="95"/>
      <c r="DJ131" s="95"/>
      <c r="DK131" s="95"/>
      <c r="DL131" s="95"/>
      <c r="DM131" s="95"/>
      <c r="DN131" s="95"/>
      <c r="DO131" s="95"/>
      <c r="DP131" s="95"/>
      <c r="DQ131" s="95"/>
      <c r="DR131" s="95"/>
      <c r="DS131" s="95"/>
      <c r="DT131" s="95"/>
      <c r="DU131" s="95"/>
      <c r="DV131" s="95"/>
      <c r="DW131" s="95"/>
      <c r="DX131" s="95"/>
      <c r="DY131" s="95"/>
      <c r="DZ131" s="95"/>
      <c r="EA131" s="95"/>
      <c r="EB131" s="95"/>
      <c r="EC131" s="95"/>
      <c r="ED131" s="5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7"/>
      <c r="EZ131" s="16"/>
      <c r="FA131" s="47"/>
      <c r="FB131" s="47"/>
    </row>
    <row r="132" spans="2:158" s="26" customFormat="1" x14ac:dyDescent="0.2">
      <c r="B132" s="15" t="s">
        <v>27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4"/>
      <c r="AX132" s="94"/>
      <c r="AY132" s="94"/>
      <c r="AZ132" s="94"/>
      <c r="BA132" s="94"/>
      <c r="BB132" s="95">
        <f t="shared" ref="BB132:BV132" si="177">BB27/AX27-1</f>
        <v>5.9523809523809534E-2</v>
      </c>
      <c r="BC132" s="95">
        <f t="shared" si="177"/>
        <v>0.18586636397103939</v>
      </c>
      <c r="BD132" s="95">
        <f t="shared" si="177"/>
        <v>0.16279069767441867</v>
      </c>
      <c r="BE132" s="95">
        <f t="shared" si="177"/>
        <v>0.2441860465116279</v>
      </c>
      <c r="BF132" s="95">
        <f t="shared" si="177"/>
        <v>0.22471910112359561</v>
      </c>
      <c r="BG132" s="95">
        <f t="shared" si="177"/>
        <v>6.1855670103092786E-2</v>
      </c>
      <c r="BH132" s="95">
        <f t="shared" si="177"/>
        <v>8.0000000000000071E-2</v>
      </c>
      <c r="BI132" s="95">
        <f t="shared" si="177"/>
        <v>8.4112149532710179E-2</v>
      </c>
      <c r="BJ132" s="95">
        <f t="shared" si="177"/>
        <v>1.8348623853210899E-2</v>
      </c>
      <c r="BK132" s="95">
        <f t="shared" si="177"/>
        <v>0.16504854368932032</v>
      </c>
      <c r="BL132" s="95">
        <f t="shared" si="177"/>
        <v>0.14814814814814814</v>
      </c>
      <c r="BM132" s="95">
        <f t="shared" si="177"/>
        <v>0.10344827586206895</v>
      </c>
      <c r="BN132" s="95">
        <f t="shared" si="177"/>
        <v>5.4054054054053946E-2</v>
      </c>
      <c r="BO132" s="95">
        <f t="shared" si="177"/>
        <v>0</v>
      </c>
      <c r="BP132" s="95">
        <f t="shared" si="177"/>
        <v>-3.2258064516129004E-2</v>
      </c>
      <c r="BQ132" s="95">
        <f t="shared" si="177"/>
        <v>8.59375E-2</v>
      </c>
      <c r="BR132" s="95">
        <f t="shared" si="177"/>
        <v>2.564102564102555E-2</v>
      </c>
      <c r="BS132" s="95">
        <f t="shared" si="177"/>
        <v>6.6666666666666652E-2</v>
      </c>
      <c r="BT132" s="95">
        <f t="shared" si="177"/>
        <v>4.1666666666666741E-2</v>
      </c>
      <c r="BU132" s="95">
        <f t="shared" si="177"/>
        <v>-7.9136690647481966E-2</v>
      </c>
      <c r="BV132" s="95">
        <f t="shared" si="177"/>
        <v>0.125</v>
      </c>
      <c r="BW132" s="95"/>
      <c r="BX132" s="95"/>
      <c r="BY132" s="95"/>
      <c r="BZ132" s="95"/>
      <c r="CA132" s="95"/>
      <c r="CB132" s="95"/>
      <c r="CC132" s="95"/>
      <c r="CD132" s="95"/>
      <c r="CE132" s="95"/>
      <c r="CF132" s="95"/>
      <c r="CG132" s="95"/>
      <c r="CH132" s="95"/>
      <c r="CI132" s="95"/>
      <c r="CJ132" s="95"/>
      <c r="CK132" s="95"/>
      <c r="CL132" s="95"/>
      <c r="CM132" s="95"/>
      <c r="CN132" s="95"/>
      <c r="CO132" s="95"/>
      <c r="CP132" s="95"/>
      <c r="CQ132" s="95"/>
      <c r="CR132" s="95"/>
      <c r="CS132" s="95"/>
      <c r="CT132" s="95"/>
      <c r="CU132" s="95"/>
      <c r="CV132" s="95"/>
      <c r="CW132" s="95"/>
      <c r="CX132" s="95"/>
      <c r="CY132" s="95"/>
      <c r="CZ132" s="95"/>
      <c r="DA132" s="95"/>
      <c r="DB132" s="95"/>
      <c r="DC132" s="95"/>
      <c r="DD132" s="95"/>
      <c r="DE132" s="95"/>
      <c r="DF132" s="95"/>
      <c r="DG132" s="95"/>
      <c r="DH132" s="95"/>
      <c r="DI132" s="95"/>
      <c r="DJ132" s="95"/>
      <c r="DK132" s="95"/>
      <c r="DL132" s="95"/>
      <c r="DM132" s="95"/>
      <c r="DN132" s="95"/>
      <c r="DO132" s="95"/>
      <c r="DP132" s="95"/>
      <c r="DQ132" s="95"/>
      <c r="DR132" s="95"/>
      <c r="DS132" s="95"/>
      <c r="DT132" s="95"/>
      <c r="DU132" s="95"/>
      <c r="DV132" s="95"/>
      <c r="DW132" s="95"/>
      <c r="DX132" s="95"/>
      <c r="DY132" s="95"/>
      <c r="DZ132" s="95"/>
      <c r="EA132" s="95"/>
      <c r="EB132" s="95"/>
      <c r="EC132" s="95"/>
      <c r="ED132" s="5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7"/>
      <c r="EZ132" s="16"/>
      <c r="FA132" s="47"/>
      <c r="FB132" s="47"/>
    </row>
    <row r="133" spans="2:158" s="26" customFormat="1" x14ac:dyDescent="0.2">
      <c r="B133" s="15" t="s">
        <v>37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67"/>
      <c r="BI133" s="67"/>
      <c r="BJ133" s="67"/>
      <c r="BK133" s="67"/>
      <c r="BL133" s="94"/>
      <c r="BM133" s="94"/>
      <c r="BN133" s="94"/>
      <c r="BO133" s="94"/>
      <c r="BP133" s="94"/>
      <c r="BQ133" s="94"/>
      <c r="BR133" s="94"/>
      <c r="BS133" s="94"/>
      <c r="BT133" s="94"/>
      <c r="BU133" s="94"/>
      <c r="BV133" s="94"/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S133" s="94"/>
      <c r="DT133" s="94"/>
      <c r="DU133" s="94"/>
      <c r="DV133" s="94"/>
      <c r="DW133" s="94"/>
      <c r="DX133" s="94"/>
      <c r="DY133" s="94"/>
      <c r="DZ133" s="94"/>
      <c r="EA133" s="94"/>
      <c r="EB133" s="94"/>
      <c r="EC133" s="94"/>
      <c r="ED133" s="5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7"/>
      <c r="EZ133" s="16"/>
      <c r="FA133" s="47"/>
      <c r="FB133" s="47"/>
    </row>
    <row r="134" spans="2:158" s="26" customFormat="1" x14ac:dyDescent="0.2">
      <c r="B134" s="15" t="s">
        <v>30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67"/>
      <c r="BI134" s="67"/>
      <c r="BJ134" s="67"/>
      <c r="BK134" s="67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T134" s="94"/>
      <c r="DU134" s="94"/>
      <c r="DV134" s="94"/>
      <c r="DW134" s="94"/>
      <c r="DX134" s="94"/>
      <c r="DY134" s="94"/>
      <c r="DZ134" s="94"/>
      <c r="EA134" s="94"/>
      <c r="EB134" s="94"/>
      <c r="EC134" s="94"/>
      <c r="ED134" s="5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7"/>
      <c r="EZ134" s="16"/>
      <c r="FA134" s="47"/>
      <c r="FB134" s="47"/>
    </row>
    <row r="135" spans="2:158" s="26" customFormat="1" x14ac:dyDescent="0.2">
      <c r="B135" s="15" t="s">
        <v>26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67"/>
      <c r="BI135" s="67"/>
      <c r="BJ135" s="67"/>
      <c r="BK135" s="67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S135" s="94"/>
      <c r="DT135" s="94"/>
      <c r="DU135" s="94"/>
      <c r="DV135" s="94"/>
      <c r="DW135" s="94"/>
      <c r="DX135" s="94"/>
      <c r="DY135" s="94"/>
      <c r="DZ135" s="94"/>
      <c r="EA135" s="94"/>
      <c r="EB135" s="94"/>
      <c r="EC135" s="94"/>
      <c r="ED135" s="5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7"/>
      <c r="EZ135" s="16"/>
      <c r="FA135" s="47"/>
      <c r="FB135" s="47"/>
    </row>
    <row r="136" spans="2:158" s="26" customFormat="1" x14ac:dyDescent="0.2"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67"/>
      <c r="BI136" s="67"/>
      <c r="BJ136" s="67"/>
      <c r="BK136" s="67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S136" s="94"/>
      <c r="DT136" s="94"/>
      <c r="DU136" s="94"/>
      <c r="DV136" s="94"/>
      <c r="DW136" s="94"/>
      <c r="DX136" s="94"/>
      <c r="DY136" s="94"/>
      <c r="DZ136" s="94"/>
      <c r="EA136" s="94"/>
      <c r="EB136" s="94"/>
      <c r="EC136" s="94"/>
      <c r="ED136" s="5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7"/>
      <c r="EZ136" s="16"/>
      <c r="FA136" s="47"/>
      <c r="FB136" s="47"/>
    </row>
    <row r="137" spans="2:158" s="26" customFormat="1" x14ac:dyDescent="0.2">
      <c r="B137" s="3" t="s">
        <v>609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67"/>
      <c r="BI137" s="67"/>
      <c r="BJ137" s="67"/>
      <c r="BK137" s="67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S137" s="94"/>
      <c r="DT137" s="94"/>
      <c r="DU137" s="94"/>
      <c r="DV137" s="94"/>
      <c r="DW137" s="94"/>
      <c r="DX137" s="94"/>
      <c r="DY137" s="94"/>
      <c r="DZ137" s="94"/>
      <c r="EA137" s="94"/>
      <c r="EB137" s="94"/>
      <c r="EC137" s="94"/>
      <c r="ED137" s="5"/>
      <c r="EE137" s="48"/>
      <c r="EF137" s="48"/>
      <c r="EG137" s="48"/>
      <c r="EH137" s="48"/>
      <c r="EI137" s="48"/>
      <c r="EJ137" s="48"/>
      <c r="EK137" s="48"/>
      <c r="EL137" s="23">
        <f>EL78</f>
        <v>9786</v>
      </c>
      <c r="EM137" s="23">
        <f t="shared" ref="EM137" si="178">EM78</f>
        <v>9919</v>
      </c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7"/>
      <c r="EZ137" s="16"/>
      <c r="FA137" s="47"/>
      <c r="FB137" s="47"/>
    </row>
    <row r="138" spans="2:158" x14ac:dyDescent="0.2">
      <c r="B138" s="3" t="s">
        <v>606</v>
      </c>
      <c r="E138" s="45"/>
      <c r="F138" s="4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EL138" s="23">
        <v>12177</v>
      </c>
      <c r="EM138" s="23">
        <v>16877</v>
      </c>
    </row>
    <row r="139" spans="2:158" x14ac:dyDescent="0.2">
      <c r="B139" s="3" t="s">
        <v>607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EL139" s="23">
        <v>3139</v>
      </c>
      <c r="EM139" s="23">
        <v>2984</v>
      </c>
    </row>
    <row r="140" spans="2:158" x14ac:dyDescent="0.2">
      <c r="B140" s="3" t="s">
        <v>608</v>
      </c>
      <c r="E140" s="28"/>
      <c r="F140" s="28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EL140" s="23">
        <f>+EL138-EL139</f>
        <v>9038</v>
      </c>
      <c r="EM140" s="23">
        <f>+EM138-EM139</f>
        <v>13893</v>
      </c>
    </row>
    <row r="141" spans="2:158" x14ac:dyDescent="0.2"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</row>
    <row r="142" spans="2:158" x14ac:dyDescent="0.2">
      <c r="B142" s="3" t="s">
        <v>817</v>
      </c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EP142" s="23">
        <v>82089</v>
      </c>
      <c r="EQ142" s="23">
        <v>85080</v>
      </c>
      <c r="ER142" s="23">
        <v>88509</v>
      </c>
      <c r="ES142" s="23">
        <v>91747</v>
      </c>
      <c r="ET142" s="23">
        <v>94052</v>
      </c>
      <c r="EU142" s="23">
        <v>93734</v>
      </c>
      <c r="EV142" s="23">
        <v>94442</v>
      </c>
      <c r="EW142" s="23">
        <v>97735</v>
      </c>
      <c r="EX142" s="23">
        <v>101465</v>
      </c>
      <c r="EY142" s="23">
        <v>100920</v>
      </c>
    </row>
    <row r="143" spans="2:158" x14ac:dyDescent="0.2"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</row>
    <row r="144" spans="2:158" x14ac:dyDescent="0.2">
      <c r="B144" s="3" t="s">
        <v>818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</row>
    <row r="145" spans="7:48" x14ac:dyDescent="0.2"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</row>
    <row r="146" spans="7:48" x14ac:dyDescent="0.2"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</row>
    <row r="147" spans="7:48" x14ac:dyDescent="0.2"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</row>
    <row r="148" spans="7:48" x14ac:dyDescent="0.2"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</row>
    <row r="149" spans="7:48" x14ac:dyDescent="0.2"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</row>
    <row r="150" spans="7:48" x14ac:dyDescent="0.2"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</row>
    <row r="151" spans="7:48" x14ac:dyDescent="0.2"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</row>
    <row r="152" spans="7:48" x14ac:dyDescent="0.2"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40" t="s">
        <v>55</v>
      </c>
    </row>
    <row r="2" spans="1:3" x14ac:dyDescent="0.2">
      <c r="B2" s="2" t="s">
        <v>822</v>
      </c>
      <c r="C2" s="2" t="s">
        <v>803</v>
      </c>
    </row>
    <row r="3" spans="1:3" x14ac:dyDescent="0.2">
      <c r="B3" s="2" t="s">
        <v>823</v>
      </c>
      <c r="C3" s="2" t="s">
        <v>824</v>
      </c>
    </row>
    <row r="4" spans="1:3" x14ac:dyDescent="0.2">
      <c r="B4" s="2" t="s">
        <v>44</v>
      </c>
      <c r="C4" s="2" t="s">
        <v>825</v>
      </c>
    </row>
    <row r="5" spans="1:3" x14ac:dyDescent="0.2">
      <c r="B5" s="2"/>
      <c r="C5" s="2" t="s">
        <v>841</v>
      </c>
    </row>
    <row r="6" spans="1:3" x14ac:dyDescent="0.2">
      <c r="B6" s="2" t="s">
        <v>826</v>
      </c>
      <c r="C6" s="2" t="s">
        <v>821</v>
      </c>
    </row>
    <row r="7" spans="1:3" x14ac:dyDescent="0.2">
      <c r="B7" s="2" t="s">
        <v>53</v>
      </c>
    </row>
    <row r="8" spans="1:3" x14ac:dyDescent="0.2">
      <c r="C8" s="41" t="s">
        <v>840</v>
      </c>
    </row>
    <row r="9" spans="1:3" x14ac:dyDescent="0.2">
      <c r="C9" s="2" t="s">
        <v>837</v>
      </c>
    </row>
    <row r="10" spans="1:3" x14ac:dyDescent="0.2">
      <c r="C10" s="2" t="s">
        <v>838</v>
      </c>
    </row>
    <row r="11" spans="1:3" x14ac:dyDescent="0.2">
      <c r="C11" s="2" t="s">
        <v>839</v>
      </c>
    </row>
    <row r="13" spans="1:3" x14ac:dyDescent="0.2">
      <c r="C13" s="41" t="s">
        <v>848</v>
      </c>
    </row>
    <row r="14" spans="1:3" x14ac:dyDescent="0.2">
      <c r="C14" s="2" t="s">
        <v>847</v>
      </c>
    </row>
    <row r="15" spans="1:3" x14ac:dyDescent="0.2">
      <c r="C15" s="2" t="s">
        <v>846</v>
      </c>
    </row>
    <row r="16" spans="1:3" x14ac:dyDescent="0.2">
      <c r="C16" s="2" t="s">
        <v>844</v>
      </c>
    </row>
    <row r="17" spans="3:3" x14ac:dyDescent="0.2">
      <c r="C17" s="2" t="s">
        <v>845</v>
      </c>
    </row>
    <row r="18" spans="3:3" x14ac:dyDescent="0.2">
      <c r="C18" s="2" t="s">
        <v>849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RowHeight="12.75" x14ac:dyDescent="0.2"/>
  <cols>
    <col min="1" max="1" width="5" bestFit="1" customWidth="1"/>
    <col min="2" max="2" width="22.7109375" customWidth="1"/>
    <col min="3" max="3" width="12.140625" customWidth="1"/>
  </cols>
  <sheetData>
    <row r="1" spans="1:5" x14ac:dyDescent="0.2">
      <c r="A1" s="40" t="s">
        <v>55</v>
      </c>
    </row>
    <row r="2" spans="1:5" x14ac:dyDescent="0.2">
      <c r="B2" s="2" t="s">
        <v>410</v>
      </c>
    </row>
    <row r="3" spans="1:5" x14ac:dyDescent="0.2">
      <c r="B3" s="2" t="s">
        <v>508</v>
      </c>
    </row>
    <row r="4" spans="1:5" x14ac:dyDescent="0.2">
      <c r="B4" s="2" t="s">
        <v>409</v>
      </c>
    </row>
    <row r="5" spans="1:5" x14ac:dyDescent="0.2">
      <c r="B5" s="3" t="s">
        <v>403</v>
      </c>
    </row>
    <row r="6" spans="1:5" x14ac:dyDescent="0.2">
      <c r="B6" s="3" t="s">
        <v>404</v>
      </c>
    </row>
    <row r="7" spans="1:5" x14ac:dyDescent="0.2">
      <c r="B7" s="2" t="s">
        <v>412</v>
      </c>
    </row>
    <row r="8" spans="1:5" x14ac:dyDescent="0.2">
      <c r="B8" s="2" t="s">
        <v>411</v>
      </c>
    </row>
    <row r="9" spans="1:5" x14ac:dyDescent="0.2">
      <c r="B9" s="2" t="s">
        <v>459</v>
      </c>
    </row>
    <row r="11" spans="1:5" x14ac:dyDescent="0.2">
      <c r="B11" s="41" t="s">
        <v>461</v>
      </c>
      <c r="C11" s="65" t="s">
        <v>486</v>
      </c>
      <c r="E11" s="41" t="s">
        <v>666</v>
      </c>
    </row>
    <row r="12" spans="1:5" x14ac:dyDescent="0.2">
      <c r="B12" s="2" t="s">
        <v>462</v>
      </c>
      <c r="C12" s="66">
        <f>3363/7365</f>
        <v>0.4566191446028513</v>
      </c>
      <c r="E12" s="2" t="s">
        <v>669</v>
      </c>
    </row>
    <row r="13" spans="1:5" x14ac:dyDescent="0.2">
      <c r="B13" s="2" t="s">
        <v>463</v>
      </c>
      <c r="C13" s="66">
        <f>346/7365</f>
        <v>4.6978954514596064E-2</v>
      </c>
      <c r="E13" s="2" t="s">
        <v>670</v>
      </c>
    </row>
    <row r="14" spans="1:5" x14ac:dyDescent="0.2">
      <c r="B14" s="2" t="s">
        <v>464</v>
      </c>
      <c r="C14" s="66">
        <f>2158/7365</f>
        <v>0.29300746775288528</v>
      </c>
      <c r="E14" s="2" t="s">
        <v>667</v>
      </c>
    </row>
    <row r="15" spans="1:5" x14ac:dyDescent="0.2">
      <c r="B15" s="2" t="s">
        <v>484</v>
      </c>
      <c r="C15" s="66">
        <f>882/7365</f>
        <v>0.11975560081466395</v>
      </c>
      <c r="E15" s="2" t="s">
        <v>668</v>
      </c>
    </row>
    <row r="16" spans="1:5" x14ac:dyDescent="0.2">
      <c r="B16" s="2" t="s">
        <v>485</v>
      </c>
      <c r="C16" s="66">
        <f>616/7365</f>
        <v>8.3638832315003395E-2</v>
      </c>
      <c r="E16" s="2" t="s">
        <v>671</v>
      </c>
    </row>
    <row r="17" spans="2:5" x14ac:dyDescent="0.2">
      <c r="E17" s="2"/>
    </row>
    <row r="19" spans="2:5" x14ac:dyDescent="0.2">
      <c r="B19" s="41" t="s">
        <v>851</v>
      </c>
    </row>
    <row r="20" spans="2:5" x14ac:dyDescent="0.2">
      <c r="B20" s="2" t="s">
        <v>852</v>
      </c>
      <c r="C20" s="2" t="s">
        <v>853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1"/>
  <sheetViews>
    <sheetView workbookViewId="0">
      <selection activeCell="C41" sqref="C41"/>
    </sheetView>
  </sheetViews>
  <sheetFormatPr defaultRowHeight="12.75" x14ac:dyDescent="0.2"/>
  <cols>
    <col min="1" max="1" width="5" style="5" bestFit="1" customWidth="1"/>
    <col min="2" max="2" width="12.85546875" style="5" bestFit="1" customWidth="1"/>
    <col min="3" max="3" width="19.28515625" style="5" customWidth="1"/>
    <col min="4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165</v>
      </c>
    </row>
    <row r="3" spans="1:3" x14ac:dyDescent="0.2">
      <c r="B3" s="5" t="s">
        <v>51</v>
      </c>
      <c r="C3" s="5" t="s">
        <v>166</v>
      </c>
    </row>
    <row r="4" spans="1:3" x14ac:dyDescent="0.2">
      <c r="B4" s="5" t="s">
        <v>44</v>
      </c>
      <c r="C4" s="15" t="s">
        <v>307</v>
      </c>
    </row>
    <row r="5" spans="1:3" x14ac:dyDescent="0.2">
      <c r="B5" s="5" t="s">
        <v>65</v>
      </c>
      <c r="C5" s="5" t="s">
        <v>208</v>
      </c>
    </row>
    <row r="6" spans="1:3" x14ac:dyDescent="0.2">
      <c r="B6" s="5" t="s">
        <v>168</v>
      </c>
      <c r="C6" s="5" t="s">
        <v>169</v>
      </c>
    </row>
    <row r="7" spans="1:3" x14ac:dyDescent="0.2">
      <c r="B7" s="5" t="s">
        <v>106</v>
      </c>
      <c r="C7" s="5" t="s">
        <v>287</v>
      </c>
    </row>
    <row r="8" spans="1:3" x14ac:dyDescent="0.2">
      <c r="B8" s="15" t="s">
        <v>9</v>
      </c>
      <c r="C8" s="15" t="s">
        <v>301</v>
      </c>
    </row>
    <row r="9" spans="1:3" x14ac:dyDescent="0.2">
      <c r="B9" s="3" t="s">
        <v>81</v>
      </c>
      <c r="C9" s="3" t="s">
        <v>529</v>
      </c>
    </row>
    <row r="10" spans="1:3" x14ac:dyDescent="0.2">
      <c r="B10" s="3" t="s">
        <v>74</v>
      </c>
      <c r="C10" s="3" t="s">
        <v>612</v>
      </c>
    </row>
    <row r="11" spans="1:3" x14ac:dyDescent="0.2">
      <c r="B11" s="3" t="s">
        <v>75</v>
      </c>
      <c r="C11" s="3" t="s">
        <v>489</v>
      </c>
    </row>
    <row r="12" spans="1:3" x14ac:dyDescent="0.2">
      <c r="B12" s="5" t="s">
        <v>53</v>
      </c>
    </row>
    <row r="13" spans="1:3" x14ac:dyDescent="0.2">
      <c r="C13" s="16" t="s">
        <v>167</v>
      </c>
    </row>
    <row r="14" spans="1:3" x14ac:dyDescent="0.2">
      <c r="C14" s="5" t="s">
        <v>170</v>
      </c>
    </row>
    <row r="16" spans="1:3" x14ac:dyDescent="0.2">
      <c r="C16" s="16" t="s">
        <v>293</v>
      </c>
    </row>
    <row r="17" spans="3:3" x14ac:dyDescent="0.2">
      <c r="C17" s="5" t="s">
        <v>171</v>
      </c>
    </row>
    <row r="19" spans="3:3" x14ac:dyDescent="0.2">
      <c r="C19" s="16" t="s">
        <v>218</v>
      </c>
    </row>
    <row r="20" spans="3:3" x14ac:dyDescent="0.2">
      <c r="C20" s="5" t="s">
        <v>219</v>
      </c>
    </row>
    <row r="22" spans="3:3" x14ac:dyDescent="0.2">
      <c r="C22" s="16" t="s">
        <v>220</v>
      </c>
    </row>
    <row r="24" spans="3:3" x14ac:dyDescent="0.2">
      <c r="C24" s="16" t="s">
        <v>405</v>
      </c>
    </row>
    <row r="25" spans="3:3" x14ac:dyDescent="0.2">
      <c r="C25" s="3" t="s">
        <v>398</v>
      </c>
    </row>
    <row r="26" spans="3:3" x14ac:dyDescent="0.2">
      <c r="C26" s="3"/>
    </row>
    <row r="27" spans="3:3" x14ac:dyDescent="0.2">
      <c r="C27" s="16" t="s">
        <v>520</v>
      </c>
    </row>
    <row r="28" spans="3:3" x14ac:dyDescent="0.2">
      <c r="C28" s="3" t="s">
        <v>521</v>
      </c>
    </row>
    <row r="29" spans="3:3" x14ac:dyDescent="0.2">
      <c r="C29" s="3"/>
    </row>
    <row r="30" spans="3:3" x14ac:dyDescent="0.2">
      <c r="C30" s="16" t="s">
        <v>522</v>
      </c>
    </row>
    <row r="31" spans="3:3" x14ac:dyDescent="0.2">
      <c r="C31" s="3" t="s">
        <v>523</v>
      </c>
    </row>
    <row r="32" spans="3:3" x14ac:dyDescent="0.2">
      <c r="C32" s="3"/>
    </row>
    <row r="33" spans="3:29" x14ac:dyDescent="0.2">
      <c r="C33" s="16" t="s">
        <v>517</v>
      </c>
    </row>
    <row r="34" spans="3:29" x14ac:dyDescent="0.2">
      <c r="C34" s="3" t="s">
        <v>524</v>
      </c>
    </row>
    <row r="35" spans="3:29" x14ac:dyDescent="0.2">
      <c r="C35" s="3"/>
    </row>
    <row r="36" spans="3:29" x14ac:dyDescent="0.2">
      <c r="C36" s="16" t="s">
        <v>686</v>
      </c>
    </row>
    <row r="37" spans="3:29" x14ac:dyDescent="0.2">
      <c r="C37" s="3" t="s">
        <v>687</v>
      </c>
    </row>
    <row r="38" spans="3:29" x14ac:dyDescent="0.2">
      <c r="C38" s="3"/>
    </row>
    <row r="39" spans="3:29" x14ac:dyDescent="0.2">
      <c r="C39" s="16" t="s">
        <v>688</v>
      </c>
    </row>
    <row r="40" spans="3:29" x14ac:dyDescent="0.2">
      <c r="C40" s="3" t="s">
        <v>689</v>
      </c>
    </row>
    <row r="42" spans="3:29" x14ac:dyDescent="0.2">
      <c r="C42" s="31" t="s">
        <v>56</v>
      </c>
      <c r="D42" s="49" t="s">
        <v>157</v>
      </c>
      <c r="E42" s="49" t="s">
        <v>156</v>
      </c>
      <c r="F42" s="49" t="s">
        <v>155</v>
      </c>
      <c r="G42" s="49" t="s">
        <v>154</v>
      </c>
      <c r="H42" s="49" t="s">
        <v>153</v>
      </c>
      <c r="I42" s="49" t="s">
        <v>152</v>
      </c>
      <c r="J42" s="49" t="s">
        <v>151</v>
      </c>
      <c r="K42" s="49" t="s">
        <v>150</v>
      </c>
      <c r="L42" s="49" t="s">
        <v>131</v>
      </c>
      <c r="M42" s="49" t="s">
        <v>160</v>
      </c>
      <c r="N42" s="49" t="s">
        <v>132</v>
      </c>
      <c r="O42" s="49" t="s">
        <v>133</v>
      </c>
      <c r="P42" s="49" t="s">
        <v>134</v>
      </c>
      <c r="Q42" s="49" t="s">
        <v>135</v>
      </c>
      <c r="R42" s="49" t="s">
        <v>136</v>
      </c>
      <c r="S42" s="49" t="s">
        <v>137</v>
      </c>
      <c r="T42" s="49" t="s">
        <v>195</v>
      </c>
      <c r="U42" s="94"/>
      <c r="V42" s="49" t="s">
        <v>57</v>
      </c>
      <c r="W42" s="49" t="s">
        <v>58</v>
      </c>
      <c r="X42" s="49" t="s">
        <v>59</v>
      </c>
      <c r="Y42" s="49" t="s">
        <v>60</v>
      </c>
      <c r="Z42" s="49">
        <v>2005</v>
      </c>
      <c r="AA42" s="49">
        <v>2006</v>
      </c>
      <c r="AB42" s="49">
        <f t="shared" ref="AB42:AC42" si="0">AA42+1</f>
        <v>2007</v>
      </c>
      <c r="AC42" s="49">
        <f t="shared" si="0"/>
        <v>2008</v>
      </c>
    </row>
    <row r="43" spans="3:29" x14ac:dyDescent="0.2">
      <c r="C43" s="17" t="s">
        <v>61</v>
      </c>
      <c r="D43" s="106">
        <f>SUM(D44:D46)</f>
        <v>782</v>
      </c>
      <c r="E43" s="106">
        <f>SUM(E44:E46)</f>
        <v>842</v>
      </c>
      <c r="F43" s="106">
        <f>SUM(F44:F46)</f>
        <v>880</v>
      </c>
      <c r="G43" s="106">
        <f>SUM(G44:G46)</f>
        <v>874</v>
      </c>
      <c r="H43" s="106">
        <f>SUM(H44:H46)</f>
        <v>929</v>
      </c>
      <c r="I43" s="106">
        <f t="shared" ref="I43:T43" si="1">SUM(I44:I46)</f>
        <v>1015</v>
      </c>
      <c r="J43" s="106">
        <f t="shared" si="1"/>
        <v>1057</v>
      </c>
      <c r="K43" s="106">
        <f t="shared" si="1"/>
        <v>1153</v>
      </c>
      <c r="L43" s="106">
        <f t="shared" si="1"/>
        <v>1146</v>
      </c>
      <c r="M43" s="106">
        <f t="shared" si="1"/>
        <v>1202</v>
      </c>
      <c r="N43" s="106">
        <f t="shared" si="1"/>
        <v>1177</v>
      </c>
      <c r="O43" s="106">
        <f t="shared" si="1"/>
        <v>1314</v>
      </c>
      <c r="P43" s="106">
        <f t="shared" si="1"/>
        <v>1309</v>
      </c>
      <c r="Q43" s="106">
        <f t="shared" si="1"/>
        <v>1395</v>
      </c>
      <c r="R43" s="106">
        <f t="shared" si="1"/>
        <v>1380</v>
      </c>
      <c r="S43" s="106">
        <f t="shared" si="1"/>
        <v>1432</v>
      </c>
      <c r="T43" s="106">
        <f t="shared" si="1"/>
        <v>1407</v>
      </c>
      <c r="U43" s="94"/>
      <c r="V43" s="107">
        <v>1721.3157894736842</v>
      </c>
      <c r="W43" s="107">
        <v>2402</v>
      </c>
      <c r="X43" s="107">
        <v>2775</v>
      </c>
      <c r="Y43" s="106">
        <f>SUM(D43:G43)</f>
        <v>3378</v>
      </c>
      <c r="Z43" s="106">
        <f t="shared" ref="Z43:Z46" si="2">SUM(H43:K43)</f>
        <v>4154</v>
      </c>
      <c r="AA43" s="106">
        <f t="shared" ref="AA43:AA46" si="3">SUM(L43:O43)</f>
        <v>4839</v>
      </c>
      <c r="AB43" s="106">
        <f>SUM(P43:S43)</f>
        <v>5516</v>
      </c>
      <c r="AC43" s="106"/>
    </row>
    <row r="44" spans="3:29" x14ac:dyDescent="0.2">
      <c r="C44" s="15" t="s">
        <v>93</v>
      </c>
      <c r="D44" s="108">
        <v>484</v>
      </c>
      <c r="E44" s="108">
        <v>514</v>
      </c>
      <c r="F44" s="108">
        <v>531</v>
      </c>
      <c r="G44" s="108">
        <v>514</v>
      </c>
      <c r="H44" s="108">
        <v>540</v>
      </c>
      <c r="I44" s="108">
        <v>573</v>
      </c>
      <c r="J44" s="108">
        <v>612</v>
      </c>
      <c r="K44" s="108">
        <v>672</v>
      </c>
      <c r="L44" s="108">
        <v>634</v>
      </c>
      <c r="M44" s="108">
        <v>675</v>
      </c>
      <c r="N44" s="108">
        <v>650</v>
      </c>
      <c r="O44" s="108">
        <v>737</v>
      </c>
      <c r="P44" s="108">
        <v>682</v>
      </c>
      <c r="Q44" s="108">
        <v>742</v>
      </c>
      <c r="R44" s="108">
        <v>718</v>
      </c>
      <c r="S44" s="108">
        <v>709</v>
      </c>
      <c r="T44" s="108">
        <v>675</v>
      </c>
      <c r="U44" s="94"/>
      <c r="V44" s="109">
        <v>1365</v>
      </c>
      <c r="W44" s="109">
        <v>1760</v>
      </c>
      <c r="X44" s="109">
        <v>1923</v>
      </c>
      <c r="Y44" s="110">
        <f>SUM(D44:G44)</f>
        <v>2043</v>
      </c>
      <c r="Z44" s="110">
        <f>SUM(H44:K44)</f>
        <v>2397</v>
      </c>
      <c r="AA44" s="110">
        <f t="shared" si="3"/>
        <v>2696</v>
      </c>
      <c r="AB44" s="108"/>
      <c r="AC44" s="108"/>
    </row>
    <row r="45" spans="3:29" x14ac:dyDescent="0.2">
      <c r="C45" s="15" t="s">
        <v>92</v>
      </c>
      <c r="D45" s="108">
        <v>39</v>
      </c>
      <c r="E45" s="108">
        <v>48</v>
      </c>
      <c r="F45" s="108">
        <v>49</v>
      </c>
      <c r="G45" s="108">
        <v>58</v>
      </c>
      <c r="H45" s="108">
        <v>40</v>
      </c>
      <c r="I45" s="108">
        <v>52</v>
      </c>
      <c r="J45" s="108">
        <v>50</v>
      </c>
      <c r="K45" s="108">
        <v>59</v>
      </c>
      <c r="L45" s="108">
        <v>41</v>
      </c>
      <c r="M45" s="108">
        <v>48</v>
      </c>
      <c r="N45" s="108">
        <v>49</v>
      </c>
      <c r="O45" s="108">
        <v>56</v>
      </c>
      <c r="P45" s="108">
        <v>38</v>
      </c>
      <c r="Q45" s="108">
        <v>48</v>
      </c>
      <c r="R45" s="108">
        <v>49</v>
      </c>
      <c r="S45" s="108">
        <v>55</v>
      </c>
      <c r="T45" s="108">
        <v>43</v>
      </c>
      <c r="U45" s="94"/>
      <c r="V45" s="109">
        <v>26.315789473684209</v>
      </c>
      <c r="W45" s="109">
        <v>70</v>
      </c>
      <c r="X45" s="109">
        <v>109</v>
      </c>
      <c r="Y45" s="110">
        <f t="shared" ref="Y45:Y46" si="4">SUM(D45:G45)</f>
        <v>194</v>
      </c>
      <c r="Z45" s="110">
        <f t="shared" si="2"/>
        <v>201</v>
      </c>
      <c r="AA45" s="110">
        <f t="shared" si="3"/>
        <v>194</v>
      </c>
      <c r="AB45" s="108"/>
      <c r="AC45" s="108"/>
    </row>
    <row r="46" spans="3:29" x14ac:dyDescent="0.2">
      <c r="C46" s="15" t="s">
        <v>162</v>
      </c>
      <c r="D46" s="108">
        <v>259</v>
      </c>
      <c r="E46" s="108">
        <v>280</v>
      </c>
      <c r="F46" s="108">
        <v>300</v>
      </c>
      <c r="G46" s="108">
        <v>302</v>
      </c>
      <c r="H46" s="108">
        <v>349</v>
      </c>
      <c r="I46" s="108">
        <v>390</v>
      </c>
      <c r="J46" s="108">
        <v>395</v>
      </c>
      <c r="K46" s="108">
        <v>422</v>
      </c>
      <c r="L46" s="108">
        <v>471</v>
      </c>
      <c r="M46" s="108">
        <v>479</v>
      </c>
      <c r="N46" s="67">
        <v>478</v>
      </c>
      <c r="O46" s="67">
        <v>521</v>
      </c>
      <c r="P46" s="67">
        <v>589</v>
      </c>
      <c r="Q46" s="67">
        <v>605</v>
      </c>
      <c r="R46" s="67">
        <v>613</v>
      </c>
      <c r="S46" s="108">
        <v>668</v>
      </c>
      <c r="T46" s="108">
        <v>689</v>
      </c>
      <c r="U46" s="94"/>
      <c r="V46" s="109">
        <v>330</v>
      </c>
      <c r="W46" s="109">
        <v>572</v>
      </c>
      <c r="X46" s="109">
        <v>743</v>
      </c>
      <c r="Y46" s="110">
        <f t="shared" si="4"/>
        <v>1141</v>
      </c>
      <c r="Z46" s="110">
        <f t="shared" si="2"/>
        <v>1556</v>
      </c>
      <c r="AA46" s="110">
        <f t="shared" si="3"/>
        <v>1949</v>
      </c>
      <c r="AB46" s="108"/>
      <c r="AC46" s="108"/>
    </row>
    <row r="49" spans="2:4" x14ac:dyDescent="0.2">
      <c r="B49" s="3" t="s">
        <v>399</v>
      </c>
    </row>
    <row r="50" spans="2:4" x14ac:dyDescent="0.2">
      <c r="C50" s="56">
        <v>39387</v>
      </c>
      <c r="D50" s="5">
        <v>197</v>
      </c>
    </row>
    <row r="51" spans="2:4" x14ac:dyDescent="0.2">
      <c r="C51" s="56">
        <v>39356</v>
      </c>
      <c r="D51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RowHeight="12.75" x14ac:dyDescent="0.2"/>
  <cols>
    <col min="1" max="1" width="5" style="5" bestFit="1" customWidth="1"/>
    <col min="2" max="2" width="14.14062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A2" s="13"/>
      <c r="B2" s="5" t="s">
        <v>49</v>
      </c>
      <c r="C2" s="5" t="s">
        <v>23</v>
      </c>
    </row>
    <row r="3" spans="1:3" x14ac:dyDescent="0.2">
      <c r="A3" s="13"/>
      <c r="B3" s="5" t="s">
        <v>51</v>
      </c>
      <c r="C3" s="5" t="s">
        <v>190</v>
      </c>
    </row>
    <row r="4" spans="1:3" x14ac:dyDescent="0.2">
      <c r="A4" s="13"/>
      <c r="B4" s="5" t="s">
        <v>44</v>
      </c>
      <c r="C4" s="5" t="s">
        <v>231</v>
      </c>
    </row>
    <row r="5" spans="1:3" x14ac:dyDescent="0.2">
      <c r="A5" s="13"/>
      <c r="C5" s="3" t="s">
        <v>539</v>
      </c>
    </row>
    <row r="6" spans="1:3" x14ac:dyDescent="0.2">
      <c r="A6" s="13"/>
      <c r="B6" s="5" t="s">
        <v>191</v>
      </c>
      <c r="C6" s="5" t="s">
        <v>192</v>
      </c>
    </row>
    <row r="7" spans="1:3" x14ac:dyDescent="0.2">
      <c r="A7" s="13"/>
      <c r="C7" s="5" t="s">
        <v>193</v>
      </c>
    </row>
    <row r="8" spans="1:3" x14ac:dyDescent="0.2">
      <c r="B8" s="5" t="s">
        <v>65</v>
      </c>
      <c r="C8" s="3" t="s">
        <v>537</v>
      </c>
    </row>
    <row r="9" spans="1:3" x14ac:dyDescent="0.2">
      <c r="B9" s="5" t="s">
        <v>66</v>
      </c>
      <c r="C9" s="3" t="s">
        <v>536</v>
      </c>
    </row>
    <row r="10" spans="1:3" x14ac:dyDescent="0.2">
      <c r="B10" s="5" t="s">
        <v>81</v>
      </c>
      <c r="C10" s="5" t="s">
        <v>531</v>
      </c>
    </row>
    <row r="11" spans="1:3" x14ac:dyDescent="0.2">
      <c r="B11" s="3" t="s">
        <v>75</v>
      </c>
      <c r="C11" s="3" t="s">
        <v>566</v>
      </c>
    </row>
    <row r="12" spans="1:3" x14ac:dyDescent="0.2">
      <c r="B12" s="3" t="s">
        <v>96</v>
      </c>
      <c r="C12" s="3" t="s">
        <v>538</v>
      </c>
    </row>
    <row r="13" spans="1:3" x14ac:dyDescent="0.2">
      <c r="B13" s="3"/>
      <c r="C13" s="3" t="s">
        <v>540</v>
      </c>
    </row>
    <row r="14" spans="1:3" x14ac:dyDescent="0.2">
      <c r="B14" s="3"/>
      <c r="C14" s="3" t="s">
        <v>543</v>
      </c>
    </row>
    <row r="15" spans="1:3" x14ac:dyDescent="0.2">
      <c r="B15" s="3"/>
      <c r="C15" s="3" t="s">
        <v>550</v>
      </c>
    </row>
    <row r="16" spans="1:3" x14ac:dyDescent="0.2">
      <c r="B16" s="3"/>
      <c r="C16" s="3" t="s">
        <v>559</v>
      </c>
    </row>
    <row r="17" spans="2:3" x14ac:dyDescent="0.2">
      <c r="B17" s="3"/>
      <c r="C17" s="3" t="s">
        <v>567</v>
      </c>
    </row>
    <row r="18" spans="2:3" x14ac:dyDescent="0.2">
      <c r="B18" s="3"/>
      <c r="C18" s="3" t="s">
        <v>573</v>
      </c>
    </row>
    <row r="19" spans="2:3" x14ac:dyDescent="0.2">
      <c r="B19" s="5" t="s">
        <v>53</v>
      </c>
    </row>
    <row r="20" spans="2:3" x14ac:dyDescent="0.2">
      <c r="C20" s="16" t="s">
        <v>432</v>
      </c>
    </row>
    <row r="21" spans="2:3" x14ac:dyDescent="0.2">
      <c r="C21" s="3" t="s">
        <v>430</v>
      </c>
    </row>
    <row r="22" spans="2:3" x14ac:dyDescent="0.2">
      <c r="C22" s="3" t="s">
        <v>431</v>
      </c>
    </row>
    <row r="23" spans="2:3" x14ac:dyDescent="0.2">
      <c r="C23" s="3"/>
    </row>
    <row r="24" spans="2:3" x14ac:dyDescent="0.2">
      <c r="C24" s="16" t="s">
        <v>601</v>
      </c>
    </row>
    <row r="25" spans="2:3" x14ac:dyDescent="0.2">
      <c r="C25" s="3" t="s">
        <v>674</v>
      </c>
    </row>
    <row r="26" spans="2:3" x14ac:dyDescent="0.2">
      <c r="C26" s="16"/>
    </row>
    <row r="27" spans="2:3" x14ac:dyDescent="0.2">
      <c r="C27" s="16" t="s">
        <v>602</v>
      </c>
    </row>
    <row r="28" spans="2:3" x14ac:dyDescent="0.2">
      <c r="C28" s="3" t="s">
        <v>672</v>
      </c>
    </row>
    <row r="29" spans="2:3" x14ac:dyDescent="0.2">
      <c r="C29" s="3" t="s">
        <v>673</v>
      </c>
    </row>
    <row r="30" spans="2:3" x14ac:dyDescent="0.2">
      <c r="C30" s="3"/>
    </row>
    <row r="31" spans="2:3" x14ac:dyDescent="0.2">
      <c r="C31" s="16"/>
    </row>
    <row r="32" spans="2:3" x14ac:dyDescent="0.2">
      <c r="C32" s="16" t="s">
        <v>603</v>
      </c>
    </row>
    <row r="33" spans="3:3" x14ac:dyDescent="0.2">
      <c r="C33" s="16" t="s">
        <v>675</v>
      </c>
    </row>
    <row r="34" spans="3:3" x14ac:dyDescent="0.2">
      <c r="C34" s="3"/>
    </row>
    <row r="35" spans="3:3" x14ac:dyDescent="0.2">
      <c r="C35" s="16" t="s">
        <v>530</v>
      </c>
    </row>
    <row r="36" spans="3:3" x14ac:dyDescent="0.2">
      <c r="C36" s="3" t="s">
        <v>572</v>
      </c>
    </row>
    <row r="37" spans="3:3" x14ac:dyDescent="0.2">
      <c r="C37" s="3" t="s">
        <v>571</v>
      </c>
    </row>
    <row r="38" spans="3:3" x14ac:dyDescent="0.2">
      <c r="C38" s="16"/>
    </row>
    <row r="39" spans="3:3" x14ac:dyDescent="0.2">
      <c r="C39" s="16" t="s">
        <v>226</v>
      </c>
    </row>
    <row r="40" spans="3:3" x14ac:dyDescent="0.2">
      <c r="C40" s="5" t="s">
        <v>223</v>
      </c>
    </row>
    <row r="41" spans="3:3" x14ac:dyDescent="0.2">
      <c r="C41" s="5" t="s">
        <v>224</v>
      </c>
    </row>
    <row r="42" spans="3:3" x14ac:dyDescent="0.2">
      <c r="C42" s="5" t="s">
        <v>225</v>
      </c>
    </row>
    <row r="43" spans="3:3" x14ac:dyDescent="0.2">
      <c r="C43" s="3" t="s">
        <v>546</v>
      </c>
    </row>
    <row r="45" spans="3:3" x14ac:dyDescent="0.2">
      <c r="C45" s="16" t="s">
        <v>545</v>
      </c>
    </row>
    <row r="46" spans="3:3" x14ac:dyDescent="0.2">
      <c r="C46" s="3" t="s">
        <v>544</v>
      </c>
    </row>
    <row r="47" spans="3:3" x14ac:dyDescent="0.2">
      <c r="C47" s="3" t="s">
        <v>547</v>
      </c>
    </row>
    <row r="48" spans="3:3" x14ac:dyDescent="0.2">
      <c r="C48" s="3"/>
    </row>
    <row r="49" spans="3:3" x14ac:dyDescent="0.2">
      <c r="C49" s="16" t="s">
        <v>428</v>
      </c>
    </row>
    <row r="50" spans="3:3" x14ac:dyDescent="0.2">
      <c r="C50" s="15" t="s">
        <v>229</v>
      </c>
    </row>
    <row r="52" spans="3:3" x14ac:dyDescent="0.2">
      <c r="C52" s="16" t="s">
        <v>227</v>
      </c>
    </row>
    <row r="53" spans="3:3" x14ac:dyDescent="0.2">
      <c r="C53" s="5" t="s">
        <v>228</v>
      </c>
    </row>
    <row r="55" spans="3:3" x14ac:dyDescent="0.2">
      <c r="C55" s="16" t="s">
        <v>425</v>
      </c>
    </row>
    <row r="56" spans="3:3" x14ac:dyDescent="0.2">
      <c r="C56" s="3" t="s">
        <v>429</v>
      </c>
    </row>
    <row r="57" spans="3:3" x14ac:dyDescent="0.2">
      <c r="C57" s="16"/>
    </row>
    <row r="58" spans="3:3" x14ac:dyDescent="0.2">
      <c r="C58" s="3" t="s">
        <v>426</v>
      </c>
    </row>
    <row r="59" spans="3:3" x14ac:dyDescent="0.2">
      <c r="C59" s="3" t="s">
        <v>427</v>
      </c>
    </row>
    <row r="60" spans="3:3" x14ac:dyDescent="0.2">
      <c r="C60" s="3"/>
    </row>
    <row r="61" spans="3:3" x14ac:dyDescent="0.2">
      <c r="C61" s="16" t="s">
        <v>541</v>
      </c>
    </row>
    <row r="62" spans="3:3" x14ac:dyDescent="0.2">
      <c r="C62" s="3" t="s">
        <v>542</v>
      </c>
    </row>
    <row r="63" spans="3:3" x14ac:dyDescent="0.2">
      <c r="C63" s="5" t="s">
        <v>230</v>
      </c>
    </row>
    <row r="65" spans="3:3" x14ac:dyDescent="0.2">
      <c r="C65" s="16" t="s">
        <v>258</v>
      </c>
    </row>
    <row r="66" spans="3:3" x14ac:dyDescent="0.2">
      <c r="C66" s="5" t="s">
        <v>259</v>
      </c>
    </row>
    <row r="68" spans="3:3" x14ac:dyDescent="0.2">
      <c r="C68" s="16" t="s">
        <v>560</v>
      </c>
    </row>
    <row r="69" spans="3:3" x14ac:dyDescent="0.2">
      <c r="C69" s="3" t="s">
        <v>561</v>
      </c>
    </row>
    <row r="70" spans="3:3" x14ac:dyDescent="0.2">
      <c r="C70" s="3" t="s">
        <v>562</v>
      </c>
    </row>
    <row r="71" spans="3:3" x14ac:dyDescent="0.2">
      <c r="C71" s="3" t="s">
        <v>563</v>
      </c>
    </row>
    <row r="73" spans="3:3" x14ac:dyDescent="0.2">
      <c r="C73" s="16" t="s">
        <v>441</v>
      </c>
    </row>
    <row r="74" spans="3:3" x14ac:dyDescent="0.2">
      <c r="C74" s="3" t="s">
        <v>439</v>
      </c>
    </row>
    <row r="75" spans="3:3" x14ac:dyDescent="0.2">
      <c r="C75" s="3" t="s">
        <v>442</v>
      </c>
    </row>
    <row r="76" spans="3:3" x14ac:dyDescent="0.2">
      <c r="C76" s="3" t="s">
        <v>443</v>
      </c>
    </row>
    <row r="77" spans="3:3" x14ac:dyDescent="0.2">
      <c r="C77" s="3"/>
    </row>
    <row r="78" spans="3:3" x14ac:dyDescent="0.2">
      <c r="C78" s="16" t="s">
        <v>434</v>
      </c>
    </row>
    <row r="79" spans="3:3" x14ac:dyDescent="0.2">
      <c r="C79" s="3" t="s">
        <v>435</v>
      </c>
    </row>
    <row r="80" spans="3:3" x14ac:dyDescent="0.2">
      <c r="C80" s="3"/>
    </row>
    <row r="81" spans="3:3" x14ac:dyDescent="0.2">
      <c r="C81" s="16" t="s">
        <v>436</v>
      </c>
    </row>
    <row r="82" spans="3:3" x14ac:dyDescent="0.2">
      <c r="C82" s="3" t="s">
        <v>437</v>
      </c>
    </row>
    <row r="83" spans="3:3" x14ac:dyDescent="0.2">
      <c r="C83" s="3"/>
    </row>
    <row r="84" spans="3:3" x14ac:dyDescent="0.2">
      <c r="C84" s="3" t="s">
        <v>417</v>
      </c>
    </row>
    <row r="85" spans="3:3" x14ac:dyDescent="0.2">
      <c r="C85" s="16" t="s">
        <v>440</v>
      </c>
    </row>
    <row r="86" spans="3:3" x14ac:dyDescent="0.2">
      <c r="C86" s="16"/>
    </row>
    <row r="87" spans="3:3" x14ac:dyDescent="0.2">
      <c r="C87" s="16" t="s">
        <v>527</v>
      </c>
    </row>
    <row r="88" spans="3:3" x14ac:dyDescent="0.2">
      <c r="C88" s="3" t="s">
        <v>528</v>
      </c>
    </row>
    <row r="89" spans="3:3" x14ac:dyDescent="0.2">
      <c r="C89" s="3"/>
    </row>
    <row r="90" spans="3:3" x14ac:dyDescent="0.2">
      <c r="C90" s="16" t="s">
        <v>551</v>
      </c>
    </row>
    <row r="91" spans="3:3" x14ac:dyDescent="0.2">
      <c r="C91" s="3" t="s">
        <v>552</v>
      </c>
    </row>
    <row r="92" spans="3:3" x14ac:dyDescent="0.2">
      <c r="C92" s="3"/>
    </row>
    <row r="93" spans="3:3" x14ac:dyDescent="0.2">
      <c r="C93" s="16" t="s">
        <v>564</v>
      </c>
    </row>
    <row r="94" spans="3:3" x14ac:dyDescent="0.2">
      <c r="C94" s="3"/>
    </row>
    <row r="95" spans="3:3" x14ac:dyDescent="0.2">
      <c r="C95" s="16" t="s">
        <v>565</v>
      </c>
    </row>
    <row r="96" spans="3:3" x14ac:dyDescent="0.2">
      <c r="C96" s="16"/>
    </row>
    <row r="97" spans="2:4" x14ac:dyDescent="0.2">
      <c r="C97" s="16" t="s">
        <v>568</v>
      </c>
    </row>
    <row r="98" spans="2:4" x14ac:dyDescent="0.2">
      <c r="C98" s="16"/>
    </row>
    <row r="99" spans="2:4" x14ac:dyDescent="0.2">
      <c r="C99" s="16" t="s">
        <v>569</v>
      </c>
    </row>
    <row r="100" spans="2:4" x14ac:dyDescent="0.2">
      <c r="C100" s="16"/>
    </row>
    <row r="101" spans="2:4" x14ac:dyDescent="0.2">
      <c r="C101" s="16" t="s">
        <v>570</v>
      </c>
    </row>
    <row r="102" spans="2:4" x14ac:dyDescent="0.2">
      <c r="C102" s="16"/>
    </row>
    <row r="103" spans="2:4" x14ac:dyDescent="0.2">
      <c r="C103" s="16" t="s">
        <v>574</v>
      </c>
    </row>
    <row r="104" spans="2:4" x14ac:dyDescent="0.2">
      <c r="C104" s="3" t="s">
        <v>575</v>
      </c>
    </row>
    <row r="105" spans="2:4" x14ac:dyDescent="0.2">
      <c r="C105" s="16"/>
    </row>
    <row r="106" spans="2:4" x14ac:dyDescent="0.2">
      <c r="C106" s="16" t="s">
        <v>576</v>
      </c>
    </row>
    <row r="107" spans="2:4" x14ac:dyDescent="0.2">
      <c r="C107" s="16"/>
    </row>
    <row r="108" spans="2:4" x14ac:dyDescent="0.2">
      <c r="C108" s="16"/>
    </row>
    <row r="109" spans="2:4" x14ac:dyDescent="0.2">
      <c r="C109" s="16"/>
    </row>
    <row r="110" spans="2:4" x14ac:dyDescent="0.2">
      <c r="B110" s="3" t="s">
        <v>399</v>
      </c>
    </row>
    <row r="111" spans="2:4" x14ac:dyDescent="0.2">
      <c r="C111" s="56">
        <v>39387</v>
      </c>
      <c r="D111" s="5">
        <v>194</v>
      </c>
    </row>
    <row r="112" spans="2:4" x14ac:dyDescent="0.2">
      <c r="C112" s="56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Management and Structure</vt:lpstr>
      <vt:lpstr>Debt</vt:lpstr>
      <vt:lpstr>Master</vt:lpstr>
      <vt:lpstr>Main</vt:lpstr>
      <vt:lpstr>Model</vt:lpstr>
      <vt:lpstr>Tecentriq</vt:lpstr>
      <vt:lpstr>Diagnostics</vt:lpstr>
      <vt:lpstr>MabThera</vt:lpstr>
      <vt:lpstr>Avastin</vt:lpstr>
      <vt:lpstr>Avastin Model</vt:lpstr>
      <vt:lpstr>Polivy</vt:lpstr>
      <vt:lpstr>Herceptin</vt:lpstr>
      <vt:lpstr>Pegasys</vt:lpstr>
      <vt:lpstr>Xeloda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2022-11-14T14:11:22Z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