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793C3829-70F7-4568-ADB7-D56C55CD080E}" xr6:coauthVersionLast="47" xr6:coauthVersionMax="47" xr10:uidLastSave="{00000000-0000-0000-0000-000000000000}"/>
  <bookViews>
    <workbookView xWindow="22485" yWindow="135" windowWidth="29115" windowHeight="20835" xr2:uid="{17641224-F2C3-441B-B85B-BB32567FE633}"/>
  </bookViews>
  <sheets>
    <sheet name="Main" sheetId="1" r:id="rId1"/>
    <sheet name="Launches" sheetId="6" r:id="rId2"/>
    <sheet name="China" sheetId="5" r:id="rId3"/>
    <sheet name="FX" sheetId="2" r:id="rId4"/>
    <sheet name="Private" sheetId="3" r:id="rId5"/>
    <sheet name="Acquisitions" sheetId="4" r:id="rId6"/>
  </sheets>
  <externalReferences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7" i="1" l="1"/>
  <c r="P7" i="1"/>
  <c r="O7" i="1"/>
  <c r="N7" i="1"/>
  <c r="K21" i="6"/>
  <c r="F10" i="6"/>
  <c r="H10" i="6"/>
  <c r="H9" i="6"/>
  <c r="BO5" i="6"/>
  <c r="BN5" i="6"/>
  <c r="BM5" i="6"/>
  <c r="BL5" i="6"/>
  <c r="BK5" i="6"/>
  <c r="BJ5" i="6"/>
  <c r="BI5" i="6"/>
  <c r="BH5" i="6"/>
  <c r="BG5" i="6"/>
  <c r="BF5" i="6"/>
  <c r="BE5" i="6"/>
  <c r="BD5" i="6"/>
  <c r="BC5" i="6"/>
  <c r="BB5" i="6"/>
  <c r="BA5" i="6"/>
  <c r="AZ5" i="6"/>
  <c r="AY5" i="6"/>
  <c r="AX5" i="6"/>
  <c r="AW5" i="6"/>
  <c r="AV5" i="6"/>
  <c r="AU5" i="6"/>
  <c r="AT5" i="6"/>
  <c r="AS5" i="6"/>
  <c r="AR5" i="6"/>
  <c r="AQ5" i="6"/>
  <c r="AP5" i="6"/>
  <c r="AO5" i="6"/>
  <c r="AN5" i="6"/>
  <c r="AM5" i="6"/>
  <c r="AL5" i="6"/>
  <c r="AK5" i="6"/>
  <c r="AJ5" i="6"/>
  <c r="AI5" i="6"/>
  <c r="AH5" i="6"/>
  <c r="AG5" i="6"/>
  <c r="AF5" i="6"/>
  <c r="AE5" i="6"/>
  <c r="AD5" i="6"/>
  <c r="AC5" i="6"/>
  <c r="AB5" i="6"/>
  <c r="AA5" i="6"/>
  <c r="Z5" i="6"/>
  <c r="Y5" i="6"/>
  <c r="X5" i="6"/>
  <c r="W5" i="6"/>
  <c r="V5" i="6"/>
  <c r="U5" i="6"/>
  <c r="T5" i="6"/>
  <c r="S5" i="6"/>
  <c r="R5" i="6"/>
  <c r="Q5" i="6"/>
  <c r="P5" i="6"/>
  <c r="O5" i="6"/>
  <c r="N5" i="6"/>
  <c r="M5" i="6"/>
  <c r="L5" i="6"/>
  <c r="K5" i="6"/>
  <c r="J5" i="6"/>
  <c r="I5" i="6"/>
  <c r="H5" i="6"/>
  <c r="G5" i="6"/>
  <c r="F5" i="6"/>
  <c r="E5" i="6"/>
  <c r="G4" i="1" l="1"/>
  <c r="I19" i="6" l="1"/>
  <c r="B139" i="1" l="1"/>
  <c r="B138" i="1"/>
  <c r="G65" i="1"/>
  <c r="J65" i="1"/>
  <c r="F65" i="1" s="1"/>
  <c r="H65" i="1" s="1"/>
  <c r="G63" i="1"/>
  <c r="J63" i="1"/>
  <c r="F63" i="1" s="1"/>
  <c r="H63" i="1" l="1"/>
  <c r="J116" i="1"/>
  <c r="F116" i="1" s="1"/>
  <c r="G116" i="1"/>
  <c r="K27" i="1"/>
  <c r="H116" i="1" l="1"/>
  <c r="G95" i="1"/>
  <c r="J95" i="1"/>
  <c r="F95" i="1" s="1"/>
  <c r="H95" i="1" l="1"/>
  <c r="J62" i="1"/>
  <c r="F62" i="1" s="1"/>
  <c r="G59" i="1" l="1"/>
  <c r="J59" i="1"/>
  <c r="F59" i="1" s="1"/>
  <c r="H59" i="1" l="1"/>
  <c r="G20" i="1"/>
  <c r="F20" i="1"/>
  <c r="H20" i="1" l="1"/>
  <c r="J49" i="1"/>
  <c r="F49" i="1" s="1"/>
  <c r="H49" i="1" s="1"/>
  <c r="G50" i="1"/>
  <c r="J50" i="1"/>
  <c r="F50" i="1" s="1"/>
  <c r="G68" i="1"/>
  <c r="J68" i="1"/>
  <c r="F68" i="1" s="1"/>
  <c r="H50" i="1" l="1"/>
  <c r="H68" i="1"/>
  <c r="K13" i="1"/>
  <c r="G44" i="1" l="1"/>
  <c r="G43" i="1"/>
  <c r="J44" i="1"/>
  <c r="F44" i="1" s="1"/>
  <c r="J43" i="1"/>
  <c r="F43" i="1" s="1"/>
  <c r="G96" i="1"/>
  <c r="J96" i="1"/>
  <c r="F96" i="1" s="1"/>
  <c r="G60" i="1"/>
  <c r="J60" i="1"/>
  <c r="F60" i="1" s="1"/>
  <c r="G94" i="1"/>
  <c r="J94" i="1"/>
  <c r="F94" i="1" s="1"/>
  <c r="H96" i="1" l="1"/>
  <c r="H44" i="1"/>
  <c r="H43" i="1"/>
  <c r="H60" i="1"/>
  <c r="H94" i="1"/>
  <c r="G56" i="1"/>
  <c r="J56" i="1"/>
  <c r="F56" i="1" s="1"/>
  <c r="H56" i="1" s="1"/>
  <c r="G51" i="1"/>
  <c r="J51" i="1"/>
  <c r="F51" i="1" s="1"/>
  <c r="H51" i="1" l="1"/>
  <c r="J66" i="1"/>
  <c r="F66" i="1" s="1"/>
  <c r="G66" i="1"/>
  <c r="H66" i="1" l="1"/>
  <c r="K9" i="1"/>
  <c r="J11" i="1" l="1"/>
  <c r="G11" i="1"/>
  <c r="G113" i="1" l="1"/>
  <c r="J113" i="1"/>
  <c r="F113" i="1" s="1"/>
  <c r="H113" i="1" l="1"/>
  <c r="G155" i="1"/>
  <c r="J155" i="1"/>
  <c r="F155" i="1" s="1"/>
  <c r="F97" i="1" a="1"/>
  <c r="F97" i="1" s="1"/>
  <c r="H155" i="1" l="1"/>
  <c r="J48" i="1"/>
  <c r="G48" i="1"/>
  <c r="L7" i="1" l="1"/>
  <c r="M7" i="1" s="1"/>
  <c r="G54" i="1"/>
  <c r="J54" i="1"/>
  <c r="F54" i="1" s="1"/>
  <c r="H54" i="1" l="1"/>
  <c r="J6" i="1"/>
  <c r="F6" i="1" s="1"/>
  <c r="G6" i="1"/>
  <c r="H6" i="1" l="1"/>
  <c r="J47" i="1" l="1"/>
  <c r="F47" i="1" s="1"/>
  <c r="G58" i="1"/>
  <c r="J58" i="1"/>
  <c r="F58" i="1" s="1"/>
  <c r="G61" i="1"/>
  <c r="J61" i="1"/>
  <c r="F61" i="1" s="1"/>
  <c r="G39" i="1"/>
  <c r="H39" i="1" s="1"/>
  <c r="J39" i="1"/>
  <c r="J38" i="1"/>
  <c r="F38" i="1" s="1" a="1"/>
  <c r="F38" i="1" s="1"/>
  <c r="H38" i="1" s="1"/>
  <c r="F151" i="1"/>
  <c r="H58" i="1" l="1"/>
  <c r="H61" i="1"/>
  <c r="G69" i="1"/>
  <c r="J69" i="1"/>
  <c r="F69" i="1" s="1"/>
  <c r="P40" i="1"/>
  <c r="O40" i="1"/>
  <c r="N40" i="1"/>
  <c r="L40" i="1"/>
  <c r="M40" i="1" s="1"/>
  <c r="H69" i="1" l="1"/>
  <c r="J55" i="1"/>
  <c r="F55" i="1" s="1"/>
  <c r="P52" i="1" l="1"/>
  <c r="O52" i="1"/>
  <c r="N52" i="1"/>
  <c r="L52" i="1"/>
  <c r="M52" i="1" s="1"/>
  <c r="G52" i="1"/>
  <c r="J52" i="1"/>
  <c r="F52" i="1" s="1"/>
  <c r="H52" i="1" l="1"/>
  <c r="G45" i="1" l="1"/>
  <c r="J45" i="1"/>
  <c r="F45" i="1" s="1"/>
  <c r="J53" i="1"/>
  <c r="F53" i="1" s="1"/>
  <c r="G53" i="1"/>
  <c r="H45" i="1" l="1"/>
  <c r="G36" i="1"/>
  <c r="J36" i="1"/>
  <c r="F36" i="1" s="1"/>
  <c r="H36" i="1" l="1"/>
  <c r="G13" i="1" l="1"/>
  <c r="J13" i="1"/>
  <c r="F13" i="1" s="1"/>
  <c r="H13" i="1" l="1"/>
  <c r="G41" i="1"/>
  <c r="J41" i="1"/>
  <c r="F41" i="1" s="1"/>
  <c r="H41" i="1" l="1"/>
  <c r="G33" i="1"/>
  <c r="J33" i="1"/>
  <c r="F33" i="1" s="1"/>
  <c r="H33" i="1" l="1"/>
  <c r="B5" i="1"/>
  <c r="B6" i="1" s="1"/>
  <c r="B7" i="1" s="1"/>
  <c r="B8" i="1" s="1"/>
  <c r="F11" i="1"/>
  <c r="H11" i="1" s="1"/>
  <c r="B9" i="1" l="1"/>
  <c r="F48" i="1"/>
  <c r="H48" i="1" s="1"/>
  <c r="B10" i="1" l="1"/>
  <c r="B11" i="1" s="1"/>
  <c r="B12" i="1" s="1"/>
  <c r="B14" i="1" s="1"/>
  <c r="B16" i="1" s="1"/>
  <c r="H57" i="1"/>
  <c r="J42" i="1"/>
  <c r="F42" i="1" s="1"/>
  <c r="G42" i="1"/>
  <c r="G29" i="1"/>
  <c r="J29" i="1"/>
  <c r="F29" i="1" s="1"/>
  <c r="G15" i="1"/>
  <c r="J15" i="1"/>
  <c r="F15" i="1" s="1"/>
  <c r="G14" i="1"/>
  <c r="J14" i="1"/>
  <c r="F14" i="1" s="1"/>
  <c r="H42" i="1" l="1"/>
  <c r="H15" i="1"/>
  <c r="H14" i="1"/>
  <c r="G32" i="1"/>
  <c r="J32" i="1"/>
  <c r="F32" i="1" s="1"/>
  <c r="H32" i="1" l="1"/>
  <c r="G40" i="1"/>
  <c r="J40" i="1"/>
  <c r="F40" i="1" s="1"/>
  <c r="H40" i="1" l="1"/>
  <c r="H29" i="1"/>
  <c r="G31" i="1"/>
  <c r="J31" i="1"/>
  <c r="F31" i="1" s="1" a="1"/>
  <c r="F31" i="1" s="1"/>
  <c r="G37" i="1"/>
  <c r="J37" i="1"/>
  <c r="F37" i="1" s="1" a="1"/>
  <c r="F37" i="1" s="1"/>
  <c r="G21" i="1"/>
  <c r="J21" i="1"/>
  <c r="F21" i="1" s="1"/>
  <c r="H37" i="1" l="1"/>
  <c r="H31" i="1"/>
  <c r="H21" i="1"/>
  <c r="G34" i="1"/>
  <c r="J34" i="1"/>
  <c r="F34" i="1" s="1"/>
  <c r="H34" i="1" l="1"/>
  <c r="G35" i="1"/>
  <c r="J35" i="1" l="1"/>
  <c r="G157" i="1" l="1"/>
  <c r="J157" i="1"/>
  <c r="F157" i="1" s="1"/>
  <c r="J114" i="1"/>
  <c r="F114" i="1" s="1"/>
  <c r="G114" i="1"/>
  <c r="G117" i="1"/>
  <c r="J117" i="1"/>
  <c r="F117" i="1" s="1"/>
  <c r="H157" i="1" l="1"/>
  <c r="H117" i="1"/>
  <c r="H114" i="1"/>
  <c r="G27" i="1"/>
  <c r="G26" i="1"/>
  <c r="J27" i="1"/>
  <c r="F27" i="1" s="1"/>
  <c r="J26" i="1"/>
  <c r="F26" i="1" s="1"/>
  <c r="G23" i="1"/>
  <c r="G22" i="1"/>
  <c r="J22" i="1"/>
  <c r="J23" i="1" s="1"/>
  <c r="H27" i="1" l="1"/>
  <c r="H26" i="1"/>
  <c r="G168" i="1" l="1"/>
  <c r="J168" i="1"/>
  <c r="F168" i="1" s="1"/>
  <c r="G118" i="1"/>
  <c r="J118" i="1"/>
  <c r="F118" i="1" s="1"/>
  <c r="H118" i="1" l="1"/>
  <c r="H168" i="1"/>
  <c r="G46" i="1"/>
  <c r="J46" i="1"/>
  <c r="F46" i="1" s="1"/>
  <c r="B15" i="1" l="1"/>
  <c r="H46" i="1"/>
  <c r="J30" i="1"/>
  <c r="F30" i="1" s="1"/>
  <c r="G30" i="1"/>
  <c r="J28" i="1"/>
  <c r="B17" i="1" l="1"/>
  <c r="B18" i="1" s="1"/>
  <c r="B19" i="1" s="1"/>
  <c r="B13" i="1"/>
  <c r="H30" i="1"/>
  <c r="J24" i="1"/>
  <c r="F24" i="1" s="1"/>
  <c r="B20" i="1" l="1"/>
  <c r="B21" i="1" s="1"/>
  <c r="B22" i="1" s="1"/>
  <c r="B23" i="1" s="1"/>
  <c r="B24" i="1" l="1"/>
  <c r="J18" i="1"/>
  <c r="B25" i="1" l="1"/>
  <c r="B26" i="1" s="1"/>
  <c r="B27" i="1" s="1"/>
  <c r="J17" i="1"/>
  <c r="F17" i="1" s="1"/>
  <c r="B28" i="1" l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G12" i="1"/>
  <c r="G16" i="1" l="1"/>
  <c r="J16" i="1"/>
  <c r="F16" i="1" s="1"/>
  <c r="J12" i="1" l="1"/>
  <c r="F12" i="1" l="1"/>
  <c r="F23" i="1" l="1"/>
  <c r="F22" i="1"/>
  <c r="K23" i="1"/>
  <c r="K2" i="1" s="1"/>
  <c r="G25" i="1" l="1"/>
  <c r="F35" i="1"/>
  <c r="J25" i="1"/>
  <c r="F25" i="1" s="1"/>
  <c r="H25" i="1" l="1"/>
  <c r="G163" i="1"/>
  <c r="J163" i="1"/>
  <c r="F163" i="1" s="1"/>
  <c r="G67" i="1"/>
  <c r="J67" i="1"/>
  <c r="F67" i="1" s="1"/>
  <c r="H67" i="1" l="1"/>
  <c r="H163" i="1"/>
  <c r="J19" i="1"/>
  <c r="F19" i="1" s="1"/>
  <c r="J7" i="1" l="1"/>
  <c r="F7" i="1" s="1"/>
  <c r="H7" i="1" s="1"/>
  <c r="G9" i="1" l="1"/>
  <c r="G8" i="1"/>
  <c r="J9" i="1"/>
  <c r="F9" i="1" s="1"/>
  <c r="H9" i="1" s="1"/>
  <c r="J8" i="1"/>
  <c r="F8" i="1" s="1"/>
  <c r="AB5" i="1" l="1"/>
  <c r="AA5" i="1"/>
  <c r="Z5" i="1"/>
  <c r="Y5" i="1"/>
  <c r="X5" i="1"/>
  <c r="W5" i="1"/>
  <c r="O5" i="1"/>
  <c r="N5" i="1"/>
  <c r="P5" i="1"/>
  <c r="L5" i="1"/>
  <c r="M5" i="1" s="1"/>
  <c r="G5" i="1" l="1"/>
  <c r="J5" i="1"/>
  <c r="F5" i="1" s="1"/>
  <c r="G10" i="1" l="1"/>
  <c r="J10" i="1" l="1"/>
  <c r="F10" i="1" s="1"/>
  <c r="J4" i="1" l="1"/>
  <c r="G64" i="1" l="1"/>
  <c r="J64" i="1"/>
  <c r="F64" i="1" s="1"/>
  <c r="H64" i="1" l="1"/>
  <c r="G156" i="1"/>
  <c r="F156" i="1"/>
  <c r="H156" i="1" l="1"/>
  <c r="H53" i="1" l="1"/>
  <c r="G115" i="1"/>
  <c r="F115" i="1"/>
  <c r="G154" i="1"/>
  <c r="F154" i="1"/>
  <c r="F28" i="1"/>
  <c r="G28" i="1"/>
  <c r="H115" i="1" l="1"/>
  <c r="H154" i="1"/>
  <c r="H28" i="1"/>
  <c r="G47" i="1"/>
  <c r="H47" i="1" s="1"/>
  <c r="G170" i="1"/>
  <c r="F170" i="1"/>
  <c r="H35" i="1" l="1"/>
  <c r="H170" i="1"/>
  <c r="G62" i="1"/>
  <c r="G19" i="1"/>
  <c r="H62" i="1" l="1"/>
  <c r="H19" i="1"/>
  <c r="F4" i="1"/>
  <c r="G55" i="1" l="1"/>
  <c r="H55" i="1" l="1"/>
  <c r="G176" i="1"/>
  <c r="F176" i="1"/>
  <c r="G175" i="1"/>
  <c r="F175" i="1"/>
  <c r="G174" i="1"/>
  <c r="F174" i="1"/>
  <c r="G173" i="1"/>
  <c r="F173" i="1"/>
  <c r="G172" i="1"/>
  <c r="F172" i="1"/>
  <c r="G171" i="1"/>
  <c r="F171" i="1"/>
  <c r="G169" i="1"/>
  <c r="F169" i="1"/>
  <c r="G167" i="1"/>
  <c r="F167" i="1"/>
  <c r="G24" i="1"/>
  <c r="G18" i="1"/>
  <c r="F18" i="1"/>
  <c r="G17" i="1"/>
  <c r="H8" i="1"/>
  <c r="H4" i="1"/>
  <c r="H24" i="1" l="1"/>
  <c r="H175" i="1"/>
  <c r="H23" i="1"/>
  <c r="H12" i="1"/>
  <c r="H174" i="1"/>
  <c r="H176" i="1"/>
  <c r="H18" i="1"/>
  <c r="H171" i="1"/>
  <c r="H22" i="1"/>
  <c r="H172" i="1"/>
  <c r="H17" i="1"/>
  <c r="H167" i="1"/>
  <c r="H169" i="1"/>
  <c r="H10" i="1"/>
  <c r="H16" i="1"/>
  <c r="H173" i="1"/>
  <c r="H5" i="1" l="1"/>
  <c r="V5" i="1" l="1"/>
  <c r="S5" i="1"/>
  <c r="R5" i="1"/>
  <c r="Q5" i="1"/>
  <c r="U5" i="1"/>
  <c r="T5" i="1"/>
  <c r="B3" i="5" l="1"/>
  <c r="B4" i="5" s="1"/>
  <c r="B5" i="5" s="1"/>
  <c r="B1" i="5" l="1"/>
  <c r="B2" i="5" l="1"/>
  <c r="B48" i="1" l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" i="5" l="1"/>
  <c r="B7" i="5" s="1"/>
  <c r="B62" i="1"/>
  <c r="B63" i="1" s="1"/>
  <c r="B64" i="1" s="1"/>
  <c r="B65" i="1" s="1"/>
  <c r="B66" i="1" s="1"/>
  <c r="B67" i="1" s="1"/>
  <c r="B68" i="1" s="1"/>
  <c r="B69" i="1" s="1"/>
  <c r="B70" i="1" l="1"/>
  <c r="B71" i="1" s="1"/>
  <c r="B72" i="1" s="1"/>
  <c r="B73" i="1" s="1"/>
  <c r="B75" i="1" s="1"/>
  <c r="B76" i="1" s="1"/>
  <c r="B77" i="1" s="1"/>
  <c r="B78" i="1" s="1"/>
  <c r="B79" i="1" s="1"/>
  <c r="B80" i="1" s="1"/>
  <c r="B81" i="1" s="1"/>
  <c r="B82" i="1" l="1"/>
  <c r="B83" i="1" s="1"/>
  <c r="B8" i="5"/>
  <c r="B84" i="1" l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74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7" i="1" s="1"/>
  <c r="B118" i="1" s="1"/>
  <c r="B119" i="1" s="1"/>
  <c r="B120" i="1" s="1"/>
  <c r="B121" i="1" s="1"/>
  <c r="B122" i="1" s="1"/>
  <c r="B123" i="1" s="1"/>
  <c r="B152" i="1" s="1"/>
  <c r="B124" i="1" s="1"/>
  <c r="B125" i="1" s="1"/>
  <c r="B126" i="1" s="1"/>
  <c r="B127" i="1" s="1"/>
  <c r="B128" i="1" s="1"/>
  <c r="B116" i="1" s="1"/>
  <c r="B129" i="1" s="1"/>
  <c r="B130" i="1" s="1"/>
  <c r="B131" i="1" s="1"/>
  <c r="B132" i="1" s="1"/>
  <c r="B133" i="1" s="1"/>
  <c r="B134" i="1" s="1"/>
  <c r="B135" i="1" s="1"/>
  <c r="B136" i="1" s="1"/>
  <c r="B137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l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AE8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  <comment ref="AG17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<sst xmlns="http://schemas.openxmlformats.org/spreadsheetml/2006/main" count="895" uniqueCount="687">
  <si>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</si>
  <si>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</si>
  <si>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</si>
  <si>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</si>
  <si>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</si>
  <si>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</si>
  <si>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</si>
  <si>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</si>
  <si>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</si>
  <si>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</si>
  <si>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</si>
  <si>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</si>
  <si>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</si>
  <si>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</si>
  <si>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</si>
  <si>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</si>
  <si>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</si>
  <si>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</si>
  <si>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</si>
  <si>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</si>
  <si>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</si>
  <si>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</si>
  <si>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</si>
  <si>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Q421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</si>
  <si>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</si>
  <si>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</si>
  <si>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</si>
  <si>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</si>
  <si>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</si>
  <si>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</si>
  <si>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</si>
  <si>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</si>
  <si>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</si>
  <si>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</si>
  <si>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</si>
  <si>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</si>
  <si>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</si>
  <si>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</si>
  <si>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</si>
  <si>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</si>
  <si>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</si>
  <si>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</si>
  <si>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</si>
  <si>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</si>
  <si>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</si>
  <si>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</si>
  <si>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</si>
  <si>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</si>
  <si>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</si>
  <si>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</si>
  <si>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</si>
  <si>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</si>
  <si>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</si>
  <si>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</si>
  <si>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</si>
  <si>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</si>
  <si>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</si>
  <si>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</si>
  <si>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</si>
  <si>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</si>
  <si>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</si>
  <si>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</si>
  <si>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</si>
  <si>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</si>
  <si>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</si>
  <si>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</si>
  <si>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</si>
  <si>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</si>
  <si>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</si>
  <si>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</si>
  <si>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</si>
  <si>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</si>
  <si>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</si>
  <si>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</si>
  <si>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</si>
  <si>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</si>
  <si>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</si>
  <si>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</si>
  <si>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</si>
  <si>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</si>
  <si>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</si>
  <si>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</si>
  <si>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</si>
  <si>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</si>
  <si>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</si>
  <si>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</si>
  <si>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</si>
  <si>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</si>
  <si>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</si>
  <si>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</si>
  <si>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</si>
  <si>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</si>
  <si>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</si>
  <si>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</si>
  <si>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</si>
  <si>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</si>
  <si>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</si>
  <si>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</si>
  <si>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</si>
  <si>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</si>
  <si>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</si>
  <si>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</si>
  <si>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</si>
  <si>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</si>
  <si>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</si>
  <si>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HZNP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</si>
  <si>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</si>
  <si>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</si>
  <si>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</si>
  <si>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</si>
  <si>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</si>
  <si>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</si>
  <si>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</si>
  <si>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</si>
  <si>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</si>
  <si>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</si>
  <si>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</si>
  <si>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</si>
  <si>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</si>
  <si>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</si>
  <si>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</si>
  <si>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</si>
  <si>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</si>
  <si>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</si>
  <si>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</si>
  <si>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</si>
  <si>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</si>
  <si>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</si>
  <si>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</si>
  <si>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</si>
  <si>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</si>
  <si>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</si>
  <si>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</si>
  <si>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</si>
  <si>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</si>
  <si>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</si>
  <si>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</si>
  <si>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</si>
  <si>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</si>
  <si>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</si>
  <si>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</si>
  <si>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</si>
  <si>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</si>
  <si>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</si>
  <si>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</si>
  <si>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</si>
  <si>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</si>
  <si>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</si>
  <si>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</si>
  <si>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</si>
  <si>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CERE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</si>
  <si>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</si>
  <si>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</si>
  <si>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</si>
  <si>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</si>
  <si>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</si>
  <si>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</si>
  <si>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</si>
  <si>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</si>
  <si>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</si>
  <si>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</si>
  <si>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</si>
  <si>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</si>
  <si>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</si>
  <si>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</si>
  <si>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</si>
  <si>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</si>
  <si>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</si>
  <si>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</si>
  <si>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</si>
  <si>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</si>
  <si>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</si>
  <si>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</si>
  <si>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Pacirs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</si>
  <si>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</si>
  <si>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</si>
  <si>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</si>
  <si>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</si>
  <si>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</si>
  <si>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</si>
  <si>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</si>
  <si>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</si>
  <si>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</si>
  <si>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</si>
  <si>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</si>
  <si>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</si>
  <si>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</si>
  <si>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</si>
  <si>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</si>
  <si>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</si>
  <si>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</si>
  <si>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CCXI</t>
  </si>
  <si>
    <t>Ironwood</t>
  </si>
  <si>
    <t>IRWD</t>
  </si>
  <si>
    <t>Global Blood</t>
  </si>
  <si>
    <t>GBT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</si>
  <si>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</si>
  <si>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</si>
  <si>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</si>
  <si>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</si>
  <si>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</si>
  <si>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</si>
  <si>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</si>
  <si>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</si>
  <si>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</si>
  <si>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</si>
  <si>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</si>
  <si>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</si>
  <si>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</si>
  <si>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</si>
  <si>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</si>
  <si>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</si>
  <si>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</si>
  <si>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</si>
  <si>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</si>
  <si>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</si>
  <si>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</si>
  <si>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</si>
  <si>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</si>
  <si>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</si>
  <si>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</si>
  <si>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</si>
  <si>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</si>
  <si>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</si>
  <si>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</si>
  <si>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</si>
  <si>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</si>
  <si>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</si>
  <si>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</si>
  <si>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</si>
  <si>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</si>
  <si>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</si>
  <si>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</si>
  <si>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</si>
  <si>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</si>
  <si>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</si>
  <si>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</si>
  <si>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</si>
  <si>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</si>
  <si>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</si>
  <si>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</si>
  <si>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</si>
  <si>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</si>
  <si>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</si>
  <si>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</si>
  <si>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</si>
  <si>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</si>
  <si>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</si>
  <si>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</si>
  <si>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</si>
  <si>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</si>
  <si>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</si>
  <si>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</si>
  <si>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</si>
  <si>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</si>
  <si>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</si>
  <si>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</si>
  <si>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</si>
  <si>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</si>
  <si>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</si>
  <si>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</si>
  <si>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</si>
  <si>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</si>
  <si>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</si>
  <si>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</si>
  <si>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</si>
  <si>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</si>
  <si>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</si>
  <si>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</si>
  <si>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</si>
  <si>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</si>
  <si>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</si>
  <si>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</si>
  <si>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</si>
  <si>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</si>
  <si>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</si>
  <si>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</si>
  <si>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</si>
  <si>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</si>
  <si>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</si>
  <si>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</si>
  <si>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</si>
  <si>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</si>
  <si>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</si>
  <si>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</si>
  <si>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</si>
  <si>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</si>
  <si>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</si>
  <si>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</si>
  <si>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</si>
  <si>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</si>
  <si>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</si>
  <si>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</si>
  <si>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</si>
  <si>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</si>
  <si>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</si>
  <si>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</si>
  <si>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</si>
  <si>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</si>
  <si>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</si>
  <si>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GW Pharma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</si>
  <si>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</si>
  <si>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</si>
  <si>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</si>
  <si>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</si>
  <si>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</si>
  <si>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</si>
  <si>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</si>
  <si>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</si>
  <si>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</si>
  <si>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</si>
  <si>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</si>
  <si>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</si>
  <si>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</si>
  <si>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</si>
  <si>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</si>
  <si>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</si>
  <si>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</si>
  <si>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</si>
  <si>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</si>
  <si>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</si>
  <si>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</si>
  <si>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</si>
  <si>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</si>
  <si>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</si>
  <si>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</si>
  <si>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</si>
  <si>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</si>
  <si>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$405m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</si>
  <si>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</si>
  <si>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</si>
  <si>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</si>
  <si>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</si>
  <si>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</si>
  <si>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</si>
  <si>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</si>
  <si>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</si>
  <si>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</si>
  <si>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</si>
  <si>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</si>
  <si>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</si>
  <si>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</si>
  <si>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</si>
  <si>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</si>
  <si>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</si>
  <si>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</si>
  <si>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</si>
  <si>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</si>
  <si>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</si>
  <si>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</si>
  <si>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</si>
  <si>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</si>
  <si>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</si>
  <si>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</si>
  <si>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</si>
  <si>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</si>
  <si>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</si>
  <si>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</si>
  <si>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</si>
  <si>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RVNT</t>
  </si>
  <si>
    <t>Cytodyn</t>
  </si>
  <si>
    <t>CYDY</t>
  </si>
  <si>
    <t>Celltrion</t>
  </si>
  <si>
    <t>068270 KS</t>
  </si>
  <si>
    <t>Vifor</t>
  </si>
  <si>
    <t>VIFN SW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</si>
  <si>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</si>
  <si>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</si>
  <si>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</si>
  <si>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</si>
  <si>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</si>
  <si>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</si>
  <si>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</si>
  <si>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</si>
  <si>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</si>
  <si>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</si>
  <si>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</si>
  <si>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</si>
  <si>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</si>
  <si>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</si>
  <si>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</si>
  <si>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</si>
  <si>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</si>
  <si>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</si>
  <si>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</si>
  <si>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</si>
  <si>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</si>
  <si>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</si>
  <si>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</si>
  <si>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</si>
  <si>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</si>
  <si>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</si>
  <si>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</si>
  <si>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</si>
  <si>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</si>
  <si>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</si>
  <si>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</si>
  <si>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</si>
  <si>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</si>
  <si>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</si>
  <si>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</si>
  <si>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</si>
  <si>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</si>
  <si>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</si>
  <si>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107m</t>
  </si>
  <si>
    <t>Beta-Catenin</t>
  </si>
  <si>
    <t>Pasithea</t>
  </si>
  <si>
    <t>KTTA</t>
  </si>
  <si>
    <t>USD/HKD</t>
  </si>
  <si>
    <t>Cellarity</t>
  </si>
  <si>
    <t>121m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</si>
  <si>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</si>
  <si>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</si>
  <si>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</si>
  <si>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</si>
  <si>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</si>
  <si>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</si>
  <si>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</si>
  <si>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</si>
  <si>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</si>
  <si>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</si>
  <si>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</si>
  <si>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</si>
  <si>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</si>
  <si>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</si>
  <si>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</si>
  <si>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</si>
  <si>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</si>
  <si>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</si>
  <si>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11.6B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</si>
  <si>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</si>
  <si>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</si>
  <si>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</si>
  <si>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</si>
  <si>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</si>
  <si>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</si>
  <si>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</si>
  <si>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</si>
  <si>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</si>
  <si>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</si>
  <si>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</si>
  <si>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TCDA</t>
  </si>
  <si>
    <t>Tricida</t>
  </si>
  <si>
    <t>Entrada</t>
  </si>
  <si>
    <t>TRDA</t>
  </si>
  <si>
    <t>Axsome</t>
  </si>
  <si>
    <t>AXSM</t>
  </si>
  <si>
    <t>USD/INR</t>
  </si>
  <si>
    <t>DJS Antibodies</t>
  </si>
  <si>
    <t>$1.35B</t>
  </si>
  <si>
    <t>Imago (IMGO)</t>
  </si>
  <si>
    <t>Sichuan Kelun</t>
  </si>
  <si>
    <t>002422</t>
  </si>
  <si>
    <t>USD/CNY</t>
  </si>
  <si>
    <t>RegenxBio</t>
  </si>
  <si>
    <t>RGNX</t>
  </si>
  <si>
    <t>Q323</t>
  </si>
  <si>
    <t>Metagenomi</t>
  </si>
  <si>
    <t>Insitro</t>
  </si>
  <si>
    <t>South San Francisco, CA</t>
  </si>
  <si>
    <t>400m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</si>
  <si>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</si>
  <si>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</si>
  <si>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</si>
  <si>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</si>
  <si>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</si>
  <si>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</si>
  <si>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</si>
  <si>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</si>
  <si>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</si>
  <si>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</si>
  <si>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</si>
  <si>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</si>
  <si>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</si>
  <si>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</si>
  <si>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</si>
  <si>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</si>
  <si>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</si>
  <si>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</si>
  <si>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</si>
  <si>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</si>
  <si>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</si>
  <si>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</si>
  <si>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</si>
  <si>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</si>
  <si>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</si>
  <si>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</si>
  <si>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</si>
  <si>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</si>
  <si>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</si>
  <si>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</si>
  <si>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</si>
  <si>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</si>
  <si>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</si>
  <si>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</si>
  <si>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</si>
  <si>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</si>
  <si>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</si>
  <si>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</si>
  <si>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</si>
  <si>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</si>
  <si>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</si>
  <si>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</si>
  <si>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</si>
  <si>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</si>
  <si>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</si>
  <si>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</si>
  <si>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</si>
  <si>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</si>
  <si>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</si>
  <si>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</si>
  <si>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</si>
  <si>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</si>
  <si>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</si>
  <si>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</si>
  <si>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</si>
  <si>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</si>
  <si>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</si>
  <si>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</si>
  <si>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3000m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</si>
  <si>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</si>
  <si>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</si>
  <si>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</si>
  <si>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</si>
  <si>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</si>
  <si>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</si>
  <si>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</si>
  <si>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</si>
  <si>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</si>
  <si>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</si>
  <si>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</si>
  <si>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</si>
  <si>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</si>
  <si>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</si>
  <si>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</si>
  <si>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</si>
  <si>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</si>
  <si>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</si>
  <si>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</si>
  <si>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</si>
  <si>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INMN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</si>
  <si>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</si>
  <si>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</si>
  <si>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</si>
  <si>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</si>
  <si>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</si>
  <si>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</si>
  <si>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</si>
  <si>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</si>
  <si>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</si>
  <si>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</si>
  <si>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</si>
  <si>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</si>
  <si>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</si>
  <si>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</si>
  <si>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</si>
  <si>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</si>
  <si>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</si>
  <si>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</si>
  <si>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</si>
  <si>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</si>
  <si>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</si>
  <si>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</si>
  <si>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</si>
  <si>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</si>
  <si>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</si>
  <si>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</si>
  <si>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</si>
  <si>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</si>
  <si>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</si>
  <si>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</si>
  <si>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</si>
  <si>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</si>
  <si>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</si>
  <si>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</si>
  <si>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</si>
  <si>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</si>
  <si>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</si>
  <si>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</si>
  <si>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</si>
  <si>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</si>
  <si>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</si>
  <si>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</si>
  <si>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</si>
  <si>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</si>
  <si>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</si>
  <si>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</si>
  <si>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</si>
  <si>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</si>
  <si>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</si>
  <si>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</si>
  <si>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</si>
  <si>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</si>
  <si>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</si>
  <si>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</si>
  <si>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</si>
  <si>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</si>
  <si>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</si>
  <si>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</si>
  <si>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</si>
  <si>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</si>
  <si>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</si>
  <si>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</si>
  <si>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</si>
  <si>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</si>
  <si>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</si>
  <si>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</si>
  <si>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</si>
  <si>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</si>
  <si>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</si>
  <si>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</si>
  <si>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</si>
  <si>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</si>
  <si>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</si>
  <si>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</si>
  <si>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</si>
  <si>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</si>
  <si>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</si>
  <si>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</si>
  <si>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</si>
  <si>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KRTX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</si>
  <si>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</si>
  <si>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</si>
  <si>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</si>
  <si>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</si>
  <si>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</si>
  <si>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</si>
  <si>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</si>
  <si>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</si>
  <si>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</si>
  <si>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</si>
  <si>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</si>
  <si>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</si>
  <si>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</si>
  <si>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</si>
  <si>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160m</t>
  </si>
  <si>
    <t>108m</t>
  </si>
  <si>
    <t>105m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</si>
  <si>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</si>
  <si>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</si>
  <si>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</si>
  <si>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</si>
  <si>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</si>
  <si>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</si>
  <si>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</si>
  <si>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</si>
  <si>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</si>
  <si>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</si>
  <si>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</si>
  <si>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</si>
  <si>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</si>
  <si>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</si>
  <si>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</si>
  <si>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</si>
  <si>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</si>
  <si>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</si>
  <si>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</si>
  <si>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</si>
  <si>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</si>
  <si>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</si>
  <si>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</si>
  <si>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</si>
  <si>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</si>
  <si>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</si>
  <si>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</si>
  <si>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</si>
  <si>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</si>
  <si>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</si>
  <si>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</si>
  <si>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</si>
  <si>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</si>
  <si>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</si>
  <si>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</si>
  <si>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</si>
  <si>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Remicade</t>
  </si>
  <si>
    <t>Zytiga</t>
  </si>
  <si>
    <t>Imbruvica</t>
  </si>
  <si>
    <t>Darzalex</t>
  </si>
  <si>
    <t>Tremfya</t>
  </si>
  <si>
    <t>Keytruda</t>
  </si>
  <si>
    <t>Gardasil</t>
  </si>
  <si>
    <t>Januvia</t>
  </si>
  <si>
    <t>Janumet</t>
  </si>
  <si>
    <t>Januvia+Janumet</t>
  </si>
  <si>
    <t>Bridion</t>
  </si>
  <si>
    <t>MRK/SGP</t>
  </si>
  <si>
    <t>Isentress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</si>
</sst>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1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</numFmts>
  <fonts count="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0" fontId="1" fillId="0" borderId="0" xfId="0" applyFont="1" applyAlignment="1">
      <alignment horizontal="center"/>
    </xf>
    <xf numFmtId="3" fontId="7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3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20.xml"/><Relationship Id="rId21" Type="http://schemas.openxmlformats.org/officeDocument/2006/relationships/externalLink" Target="externalLinks/externalLink15.xml"/><Relationship Id="rId42" Type="http://schemas.openxmlformats.org/officeDocument/2006/relationships/externalLink" Target="externalLinks/externalLink36.xml"/><Relationship Id="rId47" Type="http://schemas.openxmlformats.org/officeDocument/2006/relationships/externalLink" Target="externalLinks/externalLink41.xml"/><Relationship Id="rId63" Type="http://schemas.openxmlformats.org/officeDocument/2006/relationships/externalLink" Target="externalLinks/externalLink57.xml"/><Relationship Id="rId68" Type="http://schemas.openxmlformats.org/officeDocument/2006/relationships/externalLink" Target="externalLinks/externalLink62.xml"/><Relationship Id="rId84" Type="http://schemas.openxmlformats.org/officeDocument/2006/relationships/externalLink" Target="externalLinks/externalLink78.xml"/><Relationship Id="rId89" Type="http://schemas.openxmlformats.org/officeDocument/2006/relationships/externalLink" Target="externalLinks/externalLink83.xml"/><Relationship Id="rId16" Type="http://schemas.openxmlformats.org/officeDocument/2006/relationships/externalLink" Target="externalLinks/externalLink10.xml"/><Relationship Id="rId11" Type="http://schemas.openxmlformats.org/officeDocument/2006/relationships/externalLink" Target="externalLinks/externalLink5.xml"/><Relationship Id="rId32" Type="http://schemas.openxmlformats.org/officeDocument/2006/relationships/externalLink" Target="externalLinks/externalLink26.xml"/><Relationship Id="rId37" Type="http://schemas.openxmlformats.org/officeDocument/2006/relationships/externalLink" Target="externalLinks/externalLink31.xml"/><Relationship Id="rId53" Type="http://schemas.openxmlformats.org/officeDocument/2006/relationships/externalLink" Target="externalLinks/externalLink47.xml"/><Relationship Id="rId58" Type="http://schemas.openxmlformats.org/officeDocument/2006/relationships/externalLink" Target="externalLinks/externalLink52.xml"/><Relationship Id="rId74" Type="http://schemas.openxmlformats.org/officeDocument/2006/relationships/externalLink" Target="externalLinks/externalLink68.xml"/><Relationship Id="rId79" Type="http://schemas.openxmlformats.org/officeDocument/2006/relationships/externalLink" Target="externalLinks/externalLink73.xml"/><Relationship Id="rId5" Type="http://schemas.openxmlformats.org/officeDocument/2006/relationships/worksheet" Target="worksheets/sheet5.xml"/><Relationship Id="rId90" Type="http://schemas.openxmlformats.org/officeDocument/2006/relationships/theme" Target="theme/theme1.xml"/><Relationship Id="rId22" Type="http://schemas.openxmlformats.org/officeDocument/2006/relationships/externalLink" Target="externalLinks/externalLink16.xml"/><Relationship Id="rId27" Type="http://schemas.openxmlformats.org/officeDocument/2006/relationships/externalLink" Target="externalLinks/externalLink21.xml"/><Relationship Id="rId43" Type="http://schemas.openxmlformats.org/officeDocument/2006/relationships/externalLink" Target="externalLinks/externalLink37.xml"/><Relationship Id="rId48" Type="http://schemas.openxmlformats.org/officeDocument/2006/relationships/externalLink" Target="externalLinks/externalLink42.xml"/><Relationship Id="rId64" Type="http://schemas.openxmlformats.org/officeDocument/2006/relationships/externalLink" Target="externalLinks/externalLink58.xml"/><Relationship Id="rId69" Type="http://schemas.openxmlformats.org/officeDocument/2006/relationships/externalLink" Target="externalLinks/externalLink63.xml"/><Relationship Id="rId8" Type="http://schemas.openxmlformats.org/officeDocument/2006/relationships/externalLink" Target="externalLinks/externalLink2.xml"/><Relationship Id="rId51" Type="http://schemas.openxmlformats.org/officeDocument/2006/relationships/externalLink" Target="externalLinks/externalLink45.xml"/><Relationship Id="rId72" Type="http://schemas.openxmlformats.org/officeDocument/2006/relationships/externalLink" Target="externalLinks/externalLink66.xml"/><Relationship Id="rId80" Type="http://schemas.openxmlformats.org/officeDocument/2006/relationships/externalLink" Target="externalLinks/externalLink74.xml"/><Relationship Id="rId85" Type="http://schemas.openxmlformats.org/officeDocument/2006/relationships/externalLink" Target="externalLinks/externalLink79.xml"/><Relationship Id="rId93" Type="http://schemas.openxmlformats.org/officeDocument/2006/relationships/sheetMetadata" Target="metadata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6.xml"/><Relationship Id="rId17" Type="http://schemas.openxmlformats.org/officeDocument/2006/relationships/externalLink" Target="externalLinks/externalLink11.xml"/><Relationship Id="rId25" Type="http://schemas.openxmlformats.org/officeDocument/2006/relationships/externalLink" Target="externalLinks/externalLink19.xml"/><Relationship Id="rId33" Type="http://schemas.openxmlformats.org/officeDocument/2006/relationships/externalLink" Target="externalLinks/externalLink27.xml"/><Relationship Id="rId38" Type="http://schemas.openxmlformats.org/officeDocument/2006/relationships/externalLink" Target="externalLinks/externalLink32.xml"/><Relationship Id="rId46" Type="http://schemas.openxmlformats.org/officeDocument/2006/relationships/externalLink" Target="externalLinks/externalLink40.xml"/><Relationship Id="rId59" Type="http://schemas.openxmlformats.org/officeDocument/2006/relationships/externalLink" Target="externalLinks/externalLink53.xml"/><Relationship Id="rId67" Type="http://schemas.openxmlformats.org/officeDocument/2006/relationships/externalLink" Target="externalLinks/externalLink61.xml"/><Relationship Id="rId20" Type="http://schemas.openxmlformats.org/officeDocument/2006/relationships/externalLink" Target="externalLinks/externalLink14.xml"/><Relationship Id="rId41" Type="http://schemas.openxmlformats.org/officeDocument/2006/relationships/externalLink" Target="externalLinks/externalLink35.xml"/><Relationship Id="rId54" Type="http://schemas.openxmlformats.org/officeDocument/2006/relationships/externalLink" Target="externalLinks/externalLink48.xml"/><Relationship Id="rId62" Type="http://schemas.openxmlformats.org/officeDocument/2006/relationships/externalLink" Target="externalLinks/externalLink56.xml"/><Relationship Id="rId70" Type="http://schemas.openxmlformats.org/officeDocument/2006/relationships/externalLink" Target="externalLinks/externalLink64.xml"/><Relationship Id="rId75" Type="http://schemas.openxmlformats.org/officeDocument/2006/relationships/externalLink" Target="externalLinks/externalLink69.xml"/><Relationship Id="rId83" Type="http://schemas.openxmlformats.org/officeDocument/2006/relationships/externalLink" Target="externalLinks/externalLink77.xml"/><Relationship Id="rId88" Type="http://schemas.openxmlformats.org/officeDocument/2006/relationships/externalLink" Target="externalLinks/externalLink82.xml"/><Relationship Id="rId9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externalLink" Target="externalLinks/externalLink9.xml"/><Relationship Id="rId23" Type="http://schemas.openxmlformats.org/officeDocument/2006/relationships/externalLink" Target="externalLinks/externalLink17.xml"/><Relationship Id="rId28" Type="http://schemas.openxmlformats.org/officeDocument/2006/relationships/externalLink" Target="externalLinks/externalLink22.xml"/><Relationship Id="rId36" Type="http://schemas.openxmlformats.org/officeDocument/2006/relationships/externalLink" Target="externalLinks/externalLink30.xml"/><Relationship Id="rId49" Type="http://schemas.openxmlformats.org/officeDocument/2006/relationships/externalLink" Target="externalLinks/externalLink43.xml"/><Relationship Id="rId57" Type="http://schemas.openxmlformats.org/officeDocument/2006/relationships/externalLink" Target="externalLinks/externalLink51.xml"/><Relationship Id="rId10" Type="http://schemas.openxmlformats.org/officeDocument/2006/relationships/externalLink" Target="externalLinks/externalLink4.xml"/><Relationship Id="rId31" Type="http://schemas.openxmlformats.org/officeDocument/2006/relationships/externalLink" Target="externalLinks/externalLink25.xml"/><Relationship Id="rId44" Type="http://schemas.openxmlformats.org/officeDocument/2006/relationships/externalLink" Target="externalLinks/externalLink38.xml"/><Relationship Id="rId52" Type="http://schemas.openxmlformats.org/officeDocument/2006/relationships/externalLink" Target="externalLinks/externalLink46.xml"/><Relationship Id="rId60" Type="http://schemas.openxmlformats.org/officeDocument/2006/relationships/externalLink" Target="externalLinks/externalLink54.xml"/><Relationship Id="rId65" Type="http://schemas.openxmlformats.org/officeDocument/2006/relationships/externalLink" Target="externalLinks/externalLink59.xml"/><Relationship Id="rId73" Type="http://schemas.openxmlformats.org/officeDocument/2006/relationships/externalLink" Target="externalLinks/externalLink67.xml"/><Relationship Id="rId78" Type="http://schemas.openxmlformats.org/officeDocument/2006/relationships/externalLink" Target="externalLinks/externalLink72.xml"/><Relationship Id="rId81" Type="http://schemas.openxmlformats.org/officeDocument/2006/relationships/externalLink" Target="externalLinks/externalLink75.xml"/><Relationship Id="rId86" Type="http://schemas.openxmlformats.org/officeDocument/2006/relationships/externalLink" Target="externalLinks/externalLink80.xml"/><Relationship Id="rId94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3" Type="http://schemas.openxmlformats.org/officeDocument/2006/relationships/externalLink" Target="externalLinks/externalLink7.xml"/><Relationship Id="rId18" Type="http://schemas.openxmlformats.org/officeDocument/2006/relationships/externalLink" Target="externalLinks/externalLink12.xml"/><Relationship Id="rId39" Type="http://schemas.openxmlformats.org/officeDocument/2006/relationships/externalLink" Target="externalLinks/externalLink33.xml"/><Relationship Id="rId34" Type="http://schemas.openxmlformats.org/officeDocument/2006/relationships/externalLink" Target="externalLinks/externalLink28.xml"/><Relationship Id="rId50" Type="http://schemas.openxmlformats.org/officeDocument/2006/relationships/externalLink" Target="externalLinks/externalLink44.xml"/><Relationship Id="rId55" Type="http://schemas.openxmlformats.org/officeDocument/2006/relationships/externalLink" Target="externalLinks/externalLink49.xml"/><Relationship Id="rId76" Type="http://schemas.openxmlformats.org/officeDocument/2006/relationships/externalLink" Target="externalLinks/externalLink70.xml"/><Relationship Id="rId7" Type="http://schemas.openxmlformats.org/officeDocument/2006/relationships/externalLink" Target="externalLinks/externalLink1.xml"/><Relationship Id="rId71" Type="http://schemas.openxmlformats.org/officeDocument/2006/relationships/externalLink" Target="externalLinks/externalLink65.xml"/><Relationship Id="rId9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23.xml"/><Relationship Id="rId24" Type="http://schemas.openxmlformats.org/officeDocument/2006/relationships/externalLink" Target="externalLinks/externalLink18.xml"/><Relationship Id="rId40" Type="http://schemas.openxmlformats.org/officeDocument/2006/relationships/externalLink" Target="externalLinks/externalLink34.xml"/><Relationship Id="rId45" Type="http://schemas.openxmlformats.org/officeDocument/2006/relationships/externalLink" Target="externalLinks/externalLink39.xml"/><Relationship Id="rId66" Type="http://schemas.openxmlformats.org/officeDocument/2006/relationships/externalLink" Target="externalLinks/externalLink60.xml"/><Relationship Id="rId87" Type="http://schemas.openxmlformats.org/officeDocument/2006/relationships/externalLink" Target="externalLinks/externalLink81.xml"/><Relationship Id="rId61" Type="http://schemas.openxmlformats.org/officeDocument/2006/relationships/externalLink" Target="externalLinks/externalLink55.xml"/><Relationship Id="rId82" Type="http://schemas.openxmlformats.org/officeDocument/2006/relationships/externalLink" Target="externalLinks/externalLink76.xml"/><Relationship Id="rId19" Type="http://schemas.openxmlformats.org/officeDocument/2006/relationships/externalLink" Target="externalLinks/externalLink13.xml"/><Relationship Id="rId14" Type="http://schemas.openxmlformats.org/officeDocument/2006/relationships/externalLink" Target="externalLinks/externalLink8.xml"/><Relationship Id="rId30" Type="http://schemas.openxmlformats.org/officeDocument/2006/relationships/externalLink" Target="externalLinks/externalLink24.xml"/><Relationship Id="rId35" Type="http://schemas.openxmlformats.org/officeDocument/2006/relationships/externalLink" Target="externalLinks/externalLink29.xml"/><Relationship Id="rId56" Type="http://schemas.openxmlformats.org/officeDocument/2006/relationships/externalLink" Target="externalLinks/externalLink50.xml"/><Relationship Id="rId77" Type="http://schemas.openxmlformats.org/officeDocument/2006/relationships/externalLink" Target="externalLinks/externalLink7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NJ.xlsx" TargetMode="External"/><Relationship Id="rId1" Type="http://schemas.openxmlformats.org/officeDocument/2006/relationships/externalLinkPath" Target="JNJ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LY.xlsx" TargetMode="External"/><Relationship Id="rId1" Type="http://schemas.openxmlformats.org/officeDocument/2006/relationships/externalLinkPath" Target="LLY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BV.xlsx" TargetMode="External"/><Relationship Id="rId1" Type="http://schemas.openxmlformats.org/officeDocument/2006/relationships/externalLinkPath" Target="ABBV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.xlsx" TargetMode="External"/><Relationship Id="rId1" Type="http://schemas.openxmlformats.org/officeDocument/2006/relationships/externalLinkPath" Target="MRK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VOB.xlsx" TargetMode="External"/><Relationship Id="rId1" Type="http://schemas.openxmlformats.org/officeDocument/2006/relationships/externalLinkPath" Target="NOVOB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G%20VX.xlsx" TargetMode="External"/><Relationship Id="rId1" Type="http://schemas.openxmlformats.org/officeDocument/2006/relationships/externalLinkPath" Target="ROG%20VX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FE.xlsx" TargetMode="External"/><Relationship Id="rId1" Type="http://schemas.openxmlformats.org/officeDocument/2006/relationships/externalLinkPath" Target="PFE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VS.xlsx" TargetMode="External"/><Relationship Id="rId1" Type="http://schemas.openxmlformats.org/officeDocument/2006/relationships/externalLinkPath" Target="NVS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ZN.xlsx" TargetMode="External"/><Relationship Id="rId1" Type="http://schemas.openxmlformats.org/officeDocument/2006/relationships/externalLinkPath" Target="AZN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Y.xlsx" TargetMode="External"/><Relationship Id="rId1" Type="http://schemas.openxmlformats.org/officeDocument/2006/relationships/externalLinkPath" Target="BMY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9ffda80931a57275/Models%20Backup/AMGN.xlsx" TargetMode="External"/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9ffda80931a57275/Models%20Backup/SAN%20FP.xlsx" TargetMode="External"/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ILD.xlsx" TargetMode="External"/><Relationship Id="rId1" Type="http://schemas.openxmlformats.org/officeDocument/2006/relationships/externalLinkPath" Target="GILD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%20GR.xlsx" TargetMode="External"/><Relationship Id="rId1" Type="http://schemas.openxmlformats.org/officeDocument/2006/relationships/externalLinkPath" Target="MRK%20GR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BAYN%20GY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SK.xlsx" TargetMode="External"/><Relationship Id="rId1" Type="http://schemas.openxmlformats.org/officeDocument/2006/relationships/externalLinkPath" Target="GSK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CSL%20AU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GN.xlsx" TargetMode="External"/><Relationship Id="rId1" Type="http://schemas.openxmlformats.org/officeDocument/2006/relationships/externalLinkPath" Target="REGN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2%20Takeda.xlsx" TargetMode="External"/><Relationship Id="rId1" Type="http://schemas.openxmlformats.org/officeDocument/2006/relationships/externalLinkPath" Target="4502%20Takeda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RTX.xlsx" TargetMode="External"/><Relationship Id="rId1" Type="http://schemas.openxmlformats.org/officeDocument/2006/relationships/externalLinkPath" Target="VRTX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4568%20JP%20Daiichi%20Sankyo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MRNA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207940%20Samsung%20Biologics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BIIB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X.xlsx" TargetMode="External"/><Relationship Id="rId1" Type="http://schemas.openxmlformats.org/officeDocument/2006/relationships/externalLinkPath" Target="BAX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4519%20Chugai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TRS.xlsx" TargetMode="External"/><Relationship Id="rId1" Type="http://schemas.openxmlformats.org/officeDocument/2006/relationships/externalLinkPath" Target="VTRS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PRX.xlsx" TargetMode="External"/><Relationship Id="rId1" Type="http://schemas.openxmlformats.org/officeDocument/2006/relationships/externalLinkPath" Target="RPRX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2269%20HK%20WuXi%20Biologics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Sun%20Pharmaceutical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HZNP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SGEN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3%20JP.xlsx" TargetMode="External"/><Relationship Id="rId1" Type="http://schemas.openxmlformats.org/officeDocument/2006/relationships/externalLinkPath" Target="4503%20JP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ALNY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MAB.xlsx" TargetMode="External"/><Relationship Id="rId1" Type="http://schemas.openxmlformats.org/officeDocument/2006/relationships/externalLinkPath" Target="GMAB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ARGX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NTX.xlsx" TargetMode="External"/><Relationship Id="rId1" Type="http://schemas.openxmlformats.org/officeDocument/2006/relationships/externalLinkPath" Target="BNTX.xlsx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BGNE.xlsx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BMRN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23%20JP.xlsx" TargetMode="External"/><Relationship Id="rId1" Type="http://schemas.openxmlformats.org/officeDocument/2006/relationships/externalLinkPath" Target="4523%20JP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RFS.xlsx" TargetMode="External"/><Relationship Id="rId1" Type="http://schemas.openxmlformats.org/officeDocument/2006/relationships/externalLinkPath" Target="GRFS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068270%20Celltrion.xlsx" TargetMode="External"/><Relationship Id="rId1" Type="http://schemas.openxmlformats.org/officeDocument/2006/relationships/externalLinkPath" Target="068270%20Celltrion.xlsx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JAZZ.xlsx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INCY.xlsx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4578%20Otsuka.xlsx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UTHR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PT.xlsx" TargetMode="External"/><Relationship Id="rId1" Type="http://schemas.openxmlformats.org/officeDocument/2006/relationships/externalLinkPath" Target="SRPT.xlsx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3692%20HK%20Hansoh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C.xlsx" TargetMode="External"/><Relationship Id="rId1" Type="http://schemas.openxmlformats.org/officeDocument/2006/relationships/externalLinkPath" Target="REC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ALO.xlsx" TargetMode="External"/><Relationship Id="rId1" Type="http://schemas.openxmlformats.org/officeDocument/2006/relationships/externalLinkPath" Target="HALO.xlsx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1177%20HK%20Sino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LS.xlsx" TargetMode="External"/><Relationship Id="rId1" Type="http://schemas.openxmlformats.org/officeDocument/2006/relationships/externalLinkPath" Target="APLS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SND.xlsx" TargetMode="External"/><Relationship Id="rId1" Type="http://schemas.openxmlformats.org/officeDocument/2006/relationships/externalLinkPath" Target="ASND.xlsx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HIK%20LN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TX.xlsx" TargetMode="External"/><Relationship Id="rId1" Type="http://schemas.openxmlformats.org/officeDocument/2006/relationships/externalLinkPath" Target="KRTX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NS.xlsx" TargetMode="External"/><Relationship Id="rId1" Type="http://schemas.openxmlformats.org/officeDocument/2006/relationships/externalLinkPath" Target="IONS.xlsx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ALKS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XEL.xlsx" TargetMode="External"/><Relationship Id="rId1" Type="http://schemas.openxmlformats.org/officeDocument/2006/relationships/externalLinkPath" Target="EXEL.xlsx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AXSM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WR.xlsx" TargetMode="External"/><Relationship Id="rId1" Type="http://schemas.openxmlformats.org/officeDocument/2006/relationships/externalLinkPath" Target="ARWR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SP.xlsx" TargetMode="External"/><Relationship Id="rId1" Type="http://schemas.openxmlformats.org/officeDocument/2006/relationships/externalLinkPath" Target="CRSP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CKT.xlsx" TargetMode="External"/><Relationship Id="rId1" Type="http://schemas.openxmlformats.org/officeDocument/2006/relationships/externalLinkPath" Target="RCKT.xlsx" TargetMode="External"/></Relationships>
</file>

<file path=xl/externalLinks/_rels/externalLink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TLA.xlsx" TargetMode="External"/><Relationship Id="rId1" Type="http://schemas.openxmlformats.org/officeDocument/2006/relationships/externalLinkPath" Target="NTLA.xlsx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BEAM.xlsx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ABCL.xlsx" TargetMode="External"/></Relationships>
</file>

<file path=xl/externalLinks/_rels/externalLink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GE.xlsx" TargetMode="External"/><Relationship Id="rId1" Type="http://schemas.openxmlformats.org/officeDocument/2006/relationships/externalLinkPath" Target="SAGE.xlsx" TargetMode="External"/></Relationships>
</file>

<file path=xl/externalLinks/_rels/externalLink67.xml.rels><?xml version="1.0" encoding="UTF-8" standalone="yes"?>
<Relationships xmlns="http://schemas.openxmlformats.org/package/2006/relationships"><Relationship Id="rId1" Type="http://schemas.openxmlformats.org/officeDocument/2006/relationships/externalLinkPath" Target="SWTX.xlsx" TargetMode="External"/></Relationships>
</file>

<file path=xl/externalLinks/_rels/externalLink68.xml.rels><?xml version="1.0" encoding="UTF-8" standalone="yes"?>
<Relationships xmlns="http://schemas.openxmlformats.org/package/2006/relationships"><Relationship Id="rId1" Type="http://schemas.openxmlformats.org/officeDocument/2006/relationships/externalLinkPath" Target="ROIV.xlsx" TargetMode="External"/></Relationships>
</file>

<file path=xl/externalLinks/_rels/externalLink69.xml.rels><?xml version="1.0" encoding="UTF-8" standalone="yes"?>
<Relationships xmlns="http://schemas.openxmlformats.org/package/2006/relationships"><Relationship Id="rId1" Type="http://schemas.openxmlformats.org/officeDocument/2006/relationships/externalLinkPath" Target="VERU.xlsx" TargetMode="External"/></Relationships>
</file>

<file path=xl/externalLinks/_rels/externalLink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ZNTL.xlsx" TargetMode="External"/><Relationship Id="rId1" Type="http://schemas.openxmlformats.org/officeDocument/2006/relationships/externalLinkPath" Target="ZNTL.xlsx" TargetMode="External"/></Relationships>
</file>

<file path=xl/externalLinks/_rels/externalLink71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72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73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7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75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7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77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7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MGTX.xlsx" TargetMode="External"/></Relationships>
</file>

<file path=xl/externalLinks/_rels/externalLink7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8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8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8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8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Ponvory"/>
      <sheetName val="Xarelto"/>
      <sheetName val="Tecvayli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Interventional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Q3">
            <v>2598</v>
          </cell>
        </row>
        <row r="5">
          <cell r="Q5">
            <v>32308</v>
          </cell>
        </row>
        <row r="6">
          <cell r="Q6">
            <v>52907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Zyprexa"/>
      <sheetName val="Cymbalta"/>
      <sheetName val="Strattera"/>
      <sheetName val="Forteo"/>
      <sheetName val="Evista"/>
      <sheetName val="Cialis"/>
      <sheetName val="Gemzar"/>
      <sheetName val="Alimta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>
        <row r="3">
          <cell r="J3">
            <v>902.94</v>
          </cell>
        </row>
        <row r="5">
          <cell r="J5">
            <v>5324</v>
          </cell>
        </row>
        <row r="6">
          <cell r="J6">
            <v>16814</v>
          </cell>
        </row>
      </sheetData>
      <sheetData sheetId="2">
        <row r="69">
          <cell r="DG69">
            <v>8.9161656552021782</v>
          </cell>
          <cell r="DH69">
            <v>6.0130006011405053</v>
          </cell>
          <cell r="DI69">
            <v>13.733880815841767</v>
          </cell>
          <cell r="DJ69">
            <v>14.97316744833215</v>
          </cell>
          <cell r="DK69">
            <v>16.373168386234905</v>
          </cell>
          <cell r="DL69">
            <v>17.232938955680762</v>
          </cell>
        </row>
        <row r="82">
          <cell r="DQ82">
            <v>0.01</v>
          </cell>
        </row>
        <row r="83">
          <cell r="DQ83">
            <v>-0.01</v>
          </cell>
        </row>
        <row r="84">
          <cell r="DQ84">
            <v>7.0000000000000007E-2</v>
          </cell>
        </row>
        <row r="86">
          <cell r="DQ86">
            <v>195.17686742748046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Imbruvica"/>
      <sheetName val="Humira"/>
      <sheetName val="Rinvoq"/>
      <sheetName val="Botox"/>
      <sheetName val="Skyrizi"/>
    </sheetNames>
    <sheetDataSet>
      <sheetData sheetId="0"/>
      <sheetData sheetId="1">
        <row r="3">
          <cell r="K3">
            <v>1768.4805080000001</v>
          </cell>
        </row>
        <row r="5">
          <cell r="K5">
            <v>12114</v>
          </cell>
        </row>
        <row r="6">
          <cell r="K6">
            <v>69606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Pipeline"/>
      <sheetName val="Main"/>
      <sheetName val="Model"/>
      <sheetName val="Keytruda"/>
      <sheetName val="Gardasil"/>
      <sheetName val="Lenvima"/>
      <sheetName val="Lynparza"/>
      <sheetName val="Padcev"/>
      <sheetName val="Rotateq"/>
      <sheetName val="V940"/>
      <sheetName val="Zostavax"/>
      <sheetName val="Vytorin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 refreshError="1"/>
      <sheetData sheetId="1">
        <row r="3">
          <cell r="J3">
            <v>2537</v>
          </cell>
        </row>
        <row r="5">
          <cell r="J5">
            <v>11677</v>
          </cell>
        </row>
        <row r="6">
          <cell r="J6">
            <v>30746</v>
          </cell>
        </row>
      </sheetData>
      <sheetData sheetId="2">
        <row r="105">
          <cell r="EE105">
            <v>0.01</v>
          </cell>
        </row>
        <row r="106">
          <cell r="EE106">
            <v>-0.01</v>
          </cell>
        </row>
        <row r="107">
          <cell r="EE107">
            <v>7.0000000000000007E-2</v>
          </cell>
        </row>
        <row r="109">
          <cell r="EE109">
            <v>93.535536141731882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ype 2 Diabetes"/>
      <sheetName val="Victoza"/>
      <sheetName val="NovoLog"/>
      <sheetName val="Levemir"/>
    </sheetNames>
    <sheetDataSet>
      <sheetData sheetId="0">
        <row r="3">
          <cell r="J3">
            <v>2268.5</v>
          </cell>
        </row>
        <row r="5">
          <cell r="J5">
            <v>43989</v>
          </cell>
        </row>
        <row r="6">
          <cell r="J6">
            <v>32552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 and Structure"/>
      <sheetName val="Debt"/>
      <sheetName val="Master"/>
      <sheetName val="Main"/>
      <sheetName val="Model"/>
      <sheetName val="Tecentriq"/>
      <sheetName val="Diagnostics"/>
      <sheetName val="MabThera"/>
      <sheetName val="Avastin"/>
      <sheetName val="Avastin Model"/>
      <sheetName val="Polivy"/>
      <sheetName val="Herceptin"/>
      <sheetName val="Pegasys"/>
      <sheetName val="Xeloda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13031</v>
          </cell>
        </row>
        <row r="6">
          <cell r="J6">
            <v>31198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>
        <row r="3">
          <cell r="K3">
            <v>5718</v>
          </cell>
        </row>
        <row r="5">
          <cell r="K5">
            <v>50011</v>
          </cell>
        </row>
        <row r="6">
          <cell r="K6">
            <v>36669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MS Dollars"/>
      <sheetName val="Sandoz"/>
      <sheetName val="IMS Alpha"/>
      <sheetName val="Master"/>
      <sheetName val="Main"/>
      <sheetName val="Model"/>
      <sheetName val="Cosentyx"/>
      <sheetName val="Entresto"/>
      <sheetName val="Lucentis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3">
          <cell r="K3">
            <v>2119.6090570000001</v>
          </cell>
        </row>
        <row r="5">
          <cell r="K5">
            <v>0</v>
          </cell>
        </row>
        <row r="6">
          <cell r="K6">
            <v>7245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Tagrisso"/>
      <sheetName val="Soliris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2171"/>
      <sheetName val="Iressa"/>
      <sheetName val="Zactima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24689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Opdivo"/>
      <sheetName val="Orencia"/>
      <sheetName val="Yervoy"/>
      <sheetName val="Eliqui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2135.2551579999999</v>
          </cell>
        </row>
        <row r="5">
          <cell r="K5">
            <v>13228</v>
          </cell>
        </row>
        <row r="6">
          <cell r="K6">
            <v>42060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3">
          <cell r="J3">
            <v>539</v>
          </cell>
        </row>
        <row r="5">
          <cell r="J5">
            <v>9300</v>
          </cell>
        </row>
        <row r="6">
          <cell r="J6">
            <v>38900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3">
          <cell r="K3">
            <v>1251</v>
          </cell>
        </row>
        <row r="5">
          <cell r="K5">
            <v>0</v>
          </cell>
        </row>
        <row r="6">
          <cell r="K6">
            <v>12190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1254</v>
          </cell>
        </row>
        <row r="5">
          <cell r="J5">
            <v>6942</v>
          </cell>
        </row>
        <row r="6">
          <cell r="J6">
            <v>25223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5">
          <cell r="J5">
            <v>1951</v>
          </cell>
        </row>
        <row r="6">
          <cell r="J6">
            <v>11050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982.42</v>
          </cell>
        </row>
        <row r="5">
          <cell r="J5">
            <v>0</v>
          </cell>
        </row>
        <row r="6">
          <cell r="J6">
            <v>35884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4025</v>
          </cell>
        </row>
        <row r="6">
          <cell r="J6">
            <v>0</v>
          </cell>
        </row>
        <row r="7">
          <cell r="J7">
            <v>19400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Idelvion"/>
      <sheetName val="Model"/>
    </sheetNames>
    <sheetDataSet>
      <sheetData sheetId="0">
        <row r="3">
          <cell r="J3">
            <v>470.117188</v>
          </cell>
        </row>
        <row r="5">
          <cell r="J5">
            <v>10436.4</v>
          </cell>
        </row>
        <row r="6">
          <cell r="J6">
            <v>9657.7999999999993</v>
          </cell>
        </row>
      </sheetData>
      <sheetData sheetId="1"/>
      <sheetData sheetId="2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pixent"/>
      <sheetName val="Eylea"/>
      <sheetName val="Arcalyst"/>
      <sheetName val="Zaltrap"/>
      <sheetName val="VEGF Trap"/>
      <sheetName val="Praluent"/>
      <sheetName val="Kevzara"/>
    </sheetNames>
    <sheetDataSet>
      <sheetData sheetId="0">
        <row r="3">
          <cell r="J3">
            <v>109.325532</v>
          </cell>
        </row>
        <row r="5">
          <cell r="J5">
            <v>14334</v>
          </cell>
        </row>
        <row r="6">
          <cell r="J6">
            <v>1980.7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1550.9924860000001</v>
          </cell>
        </row>
        <row r="6">
          <cell r="K6">
            <v>1046141</v>
          </cell>
        </row>
        <row r="7">
          <cell r="K7">
            <v>5111117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TX001"/>
      <sheetName val="VX-880"/>
      <sheetName val="VX-121"/>
      <sheetName val="VX-548"/>
      <sheetName val="inaxaplin"/>
      <sheetName val="VX-634"/>
      <sheetName val="IP"/>
      <sheetName val="Compounds"/>
    </sheetNames>
    <sheetDataSet>
      <sheetData sheetId="0">
        <row r="3">
          <cell r="M3">
            <v>259.5</v>
          </cell>
        </row>
        <row r="5">
          <cell r="M5">
            <v>9771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1917.031393</v>
          </cell>
        </row>
        <row r="5">
          <cell r="M5">
            <v>943.37299999999993</v>
          </cell>
        </row>
        <row r="6">
          <cell r="M6">
            <v>163.36700000000002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Spikevax"/>
      <sheetName val="4157"/>
    </sheetNames>
    <sheetDataSet>
      <sheetData sheetId="0">
        <row r="3">
          <cell r="L3">
            <v>384.18046900000002</v>
          </cell>
        </row>
        <row r="5">
          <cell r="L5">
            <v>17003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3099.8</v>
          </cell>
        </row>
        <row r="6">
          <cell r="M6">
            <v>2078.4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145</v>
          </cell>
        </row>
        <row r="5">
          <cell r="J5">
            <v>7384</v>
          </cell>
        </row>
        <row r="6">
          <cell r="J6">
            <v>6279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504.12075900000002</v>
          </cell>
        </row>
        <row r="5">
          <cell r="K5">
            <v>1601</v>
          </cell>
        </row>
        <row r="6">
          <cell r="K6">
            <v>16428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1644.7253820000001</v>
          </cell>
        </row>
        <row r="5">
          <cell r="J5">
            <v>547117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iagra"/>
      <sheetName val="Norvasc"/>
      <sheetName val="Lyrica"/>
      <sheetName val="Lipitor"/>
      <sheetName val="Geodon"/>
      <sheetName val="Detrol"/>
    </sheetNames>
    <sheetDataSet>
      <sheetData sheetId="0">
        <row r="3">
          <cell r="M3">
            <v>1196.8139590000001</v>
          </cell>
        </row>
        <row r="5">
          <cell r="M5">
            <v>646.70000000000005</v>
          </cell>
        </row>
        <row r="6">
          <cell r="M6">
            <v>19989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607.22368099999994</v>
          </cell>
        </row>
        <row r="5">
          <cell r="L5">
            <v>2472</v>
          </cell>
        </row>
        <row r="6">
          <cell r="L6">
            <v>7116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2399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226.621465</v>
          </cell>
        </row>
        <row r="5">
          <cell r="L5">
            <v>2130.527</v>
          </cell>
        </row>
        <row r="6">
          <cell r="L6">
            <v>2565.14</v>
          </cell>
        </row>
      </sheetData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185.66490099999999</v>
          </cell>
        </row>
        <row r="5">
          <cell r="K5">
            <v>1763.7020000000002</v>
          </cell>
        </row>
        <row r="6">
          <cell r="K6">
            <v>0</v>
          </cell>
        </row>
      </sheetData>
      <sheetData sheetId="1">
        <row r="23">
          <cell r="AO23">
            <v>0.08</v>
          </cell>
        </row>
        <row r="24">
          <cell r="AO24">
            <v>-0.01</v>
          </cell>
        </row>
        <row r="25">
          <cell r="AO25">
            <v>0.03</v>
          </cell>
        </row>
        <row r="27">
          <cell r="AO27">
            <v>119.56497461195261</v>
          </cell>
        </row>
      </sheetData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495288</v>
          </cell>
        </row>
        <row r="6">
          <cell r="K6">
            <v>288002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122.991</v>
          </cell>
        </row>
        <row r="5">
          <cell r="L5">
            <v>2314.7180000000003</v>
          </cell>
        </row>
        <row r="6">
          <cell r="L6">
            <v>2247.848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4">
          <cell r="K4">
            <v>65.829282000000006</v>
          </cell>
        </row>
        <row r="7">
          <cell r="K7">
            <v>23943</v>
          </cell>
        </row>
        <row r="8">
          <cell r="K8">
            <v>0</v>
          </cell>
        </row>
      </sheetData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55.203654999999998</v>
          </cell>
        </row>
        <row r="5">
          <cell r="K5">
            <v>2385.5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mirnaty"/>
    </sheetNames>
    <sheetDataSet>
      <sheetData sheetId="0">
        <row r="3">
          <cell r="K3">
            <v>242.68540100000001</v>
          </cell>
        </row>
        <row r="5">
          <cell r="K5">
            <v>13481</v>
          </cell>
        </row>
        <row r="6">
          <cell r="K6">
            <v>967</v>
          </cell>
        </row>
      </sheetData>
      <sheetData sheetId="1"/>
      <sheetData sheetId="2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103.8184753846154</v>
          </cell>
        </row>
        <row r="5">
          <cell r="L5">
            <v>5069.1299999999992</v>
          </cell>
        </row>
        <row r="6">
          <cell r="L6">
            <v>649.27499999999998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valrox"/>
      <sheetName val="Matrix"/>
    </sheetNames>
    <sheetDataSet>
      <sheetData sheetId="0">
        <row r="3">
          <cell r="L3">
            <v>185.84891500000001</v>
          </cell>
        </row>
        <row r="5">
          <cell r="L5">
            <v>1646</v>
          </cell>
        </row>
        <row r="6">
          <cell r="L6">
            <v>1082</v>
          </cell>
        </row>
      </sheetData>
      <sheetData sheetId="1"/>
      <sheetData sheetId="2"/>
      <sheetData sheetId="3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286.74599999999998</v>
          </cell>
        </row>
      </sheetData>
      <sheetData sheetId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687.55490800000007</v>
          </cell>
        </row>
        <row r="5">
          <cell r="L5">
            <v>0</v>
          </cell>
        </row>
        <row r="6">
          <cell r="L6">
            <v>9380.9</v>
          </cell>
        </row>
      </sheetData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sima"/>
    </sheetNames>
    <sheetDataSet>
      <sheetData sheetId="0">
        <row r="3">
          <cell r="J3">
            <v>140.76785100000001</v>
          </cell>
        </row>
        <row r="5">
          <cell r="J5">
            <v>0</v>
          </cell>
        </row>
        <row r="6">
          <cell r="J6">
            <v>171200</v>
          </cell>
        </row>
      </sheetData>
      <sheetData sheetId="1"/>
      <sheetData sheetId="2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Epidiolex"/>
    </sheetNames>
    <sheetDataSet>
      <sheetData sheetId="0">
        <row r="3">
          <cell r="K3">
            <v>62.784999999999997</v>
          </cell>
        </row>
        <row r="5">
          <cell r="K5">
            <v>899.35799999999995</v>
          </cell>
        </row>
        <row r="6">
          <cell r="K6">
            <v>5726.8140000000003</v>
          </cell>
        </row>
      </sheetData>
      <sheetData sheetId="1">
        <row r="25">
          <cell r="AL25">
            <v>-0.05</v>
          </cell>
        </row>
        <row r="26">
          <cell r="AL26">
            <v>0.02</v>
          </cell>
        </row>
        <row r="27">
          <cell r="AL27">
            <v>0.08</v>
          </cell>
        </row>
        <row r="29">
          <cell r="AL29">
            <v>157.64588492556646</v>
          </cell>
        </row>
      </sheetData>
      <sheetData sheetId="2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222.47546800000001</v>
          </cell>
        </row>
        <row r="5">
          <cell r="K5">
            <v>3126.2459999999996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542.53009899999995</v>
          </cell>
        </row>
        <row r="5">
          <cell r="L5">
            <v>926910</v>
          </cell>
        </row>
        <row r="6">
          <cell r="L6">
            <v>128386</v>
          </cell>
        </row>
      </sheetData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47.7</v>
          </cell>
        </row>
        <row r="5">
          <cell r="K5">
            <v>3827</v>
          </cell>
        </row>
        <row r="6">
          <cell r="K6">
            <v>800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87.782576000000006</v>
          </cell>
        </row>
        <row r="5">
          <cell r="L5">
            <v>2072.4839999999999</v>
          </cell>
        </row>
        <row r="6">
          <cell r="L6">
            <v>1542.77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5922.3500700000004</v>
          </cell>
        </row>
        <row r="5">
          <cell r="J5">
            <v>20945.326000000001</v>
          </cell>
        </row>
        <row r="6">
          <cell r="J6">
            <v>4029.5050000000001</v>
          </cell>
        </row>
      </sheetData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209.125156</v>
          </cell>
        </row>
        <row r="5">
          <cell r="M5">
            <v>0</v>
          </cell>
        </row>
        <row r="6">
          <cell r="M6">
            <v>736.5</v>
          </cell>
        </row>
      </sheetData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135.21305799999999</v>
          </cell>
        </row>
        <row r="5">
          <cell r="M5">
            <v>266.084</v>
          </cell>
        </row>
        <row r="6">
          <cell r="M6">
            <v>1504.471</v>
          </cell>
        </row>
      </sheetData>
      <sheetData sheetId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18658.823689000001</v>
          </cell>
        </row>
        <row r="5">
          <cell r="K5">
            <v>41164.349000000002</v>
          </cell>
        </row>
        <row r="6">
          <cell r="K6">
            <v>11695.881000000001</v>
          </cell>
        </row>
      </sheetData>
      <sheetData sheetId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mpaveli"/>
      <sheetName val="Model"/>
    </sheetNames>
    <sheetDataSet>
      <sheetData sheetId="0">
        <row r="3">
          <cell r="L3">
            <v>110.77200000000001</v>
          </cell>
        </row>
        <row r="5">
          <cell r="L5">
            <v>551.80100000000004</v>
          </cell>
        </row>
        <row r="6">
          <cell r="L6">
            <v>92.736000000000004</v>
          </cell>
        </row>
      </sheetData>
      <sheetData sheetId="1"/>
      <sheetData sheetId="2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kytrofa"/>
    </sheetNames>
    <sheetDataSet>
      <sheetData sheetId="0">
        <row r="3">
          <cell r="L3">
            <v>55.831561000000001</v>
          </cell>
        </row>
        <row r="5">
          <cell r="L5">
            <v>935.14800000000002</v>
          </cell>
        </row>
        <row r="6">
          <cell r="L6">
            <v>533.14499999999998</v>
          </cell>
        </row>
      </sheetData>
      <sheetData sheetId="1"/>
      <sheetData sheetId="2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233</v>
          </cell>
        </row>
        <row r="5">
          <cell r="K5">
            <v>426</v>
          </cell>
        </row>
        <row r="6">
          <cell r="K6">
            <v>763</v>
          </cell>
        </row>
      </sheetData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KarXT"/>
      <sheetName val="Model"/>
    </sheetNames>
    <sheetDataSet>
      <sheetData sheetId="0">
        <row r="3">
          <cell r="L3">
            <v>34.515033000000003</v>
          </cell>
        </row>
        <row r="5">
          <cell r="L5">
            <v>1124.0440000000001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142.05033599999999</v>
          </cell>
        </row>
        <row r="5">
          <cell r="L5">
            <v>1981.663</v>
          </cell>
        </row>
        <row r="6">
          <cell r="L6">
            <v>1165.415</v>
          </cell>
        </row>
      </sheetData>
      <sheetData sheetId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164.25427500000001</v>
          </cell>
        </row>
        <row r="5">
          <cell r="L5">
            <v>759.97699999999998</v>
          </cell>
        </row>
        <row r="6">
          <cell r="L6">
            <v>294.53699999999998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bometyx"/>
    </sheetNames>
    <sheetDataSet>
      <sheetData sheetId="0">
        <row r="3">
          <cell r="M3">
            <v>323.95100000000002</v>
          </cell>
        </row>
        <row r="5">
          <cell r="M5">
            <v>2065.1990000000001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Auvelity"/>
      <sheetName val="Model"/>
    </sheetNames>
    <sheetDataSet>
      <sheetData sheetId="0">
        <row r="3">
          <cell r="L3">
            <v>43.426161999999998</v>
          </cell>
        </row>
        <row r="5">
          <cell r="L5">
            <v>227.25021799999999</v>
          </cell>
        </row>
        <row r="6">
          <cell r="L6">
            <v>93.913158999999993</v>
          </cell>
        </row>
      </sheetData>
      <sheetData sheetId="1"/>
      <sheetData sheetId="2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JNJ-3989"/>
      <sheetName val="fazirsiran"/>
      <sheetName val="APOC3"/>
      <sheetName val="ANG3"/>
      <sheetName val="RAGE"/>
      <sheetName val="olpasiran"/>
    </sheetNames>
    <sheetDataSet>
      <sheetData sheetId="0">
        <row r="3">
          <cell r="L3">
            <v>106.00572200000001</v>
          </cell>
        </row>
        <row r="5">
          <cell r="L5">
            <v>482.26800000000003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xa-cel"/>
      <sheetName val="Model"/>
    </sheetNames>
    <sheetDataSet>
      <sheetData sheetId="0">
        <row r="3">
          <cell r="N3">
            <v>78.646679000000006</v>
          </cell>
        </row>
        <row r="5">
          <cell r="N5">
            <v>1868.4480000000001</v>
          </cell>
        </row>
        <row r="6">
          <cell r="N6">
            <v>0</v>
          </cell>
        </row>
      </sheetData>
      <sheetData sheetId="1"/>
      <sheetData sheetId="2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75.684422999999995</v>
          </cell>
        </row>
        <row r="5">
          <cell r="M5">
            <v>306.53399999999999</v>
          </cell>
        </row>
        <row r="6">
          <cell r="M6">
            <v>0</v>
          </cell>
        </row>
      </sheetData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TLA-2001"/>
      <sheetName val="NTLA-2002"/>
    </sheetNames>
    <sheetDataSet>
      <sheetData sheetId="0">
        <row r="3">
          <cell r="J3">
            <v>85.284038999999993</v>
          </cell>
        </row>
        <row r="5">
          <cell r="J5">
            <v>1178.829</v>
          </cell>
        </row>
        <row r="6">
          <cell r="J6">
            <v>0</v>
          </cell>
        </row>
      </sheetData>
      <sheetData sheetId="1"/>
      <sheetData sheetId="2"/>
      <sheetData sheetId="3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70.354594000000006</v>
          </cell>
        </row>
        <row r="5">
          <cell r="K5">
            <v>1178.8610000000001</v>
          </cell>
        </row>
        <row r="6">
          <cell r="K6">
            <v>0</v>
          </cell>
        </row>
      </sheetData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311.48201699999998</v>
          </cell>
        </row>
        <row r="5">
          <cell r="N5">
            <v>869.93499999999995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nirogacestat"/>
    </sheetNames>
    <sheetDataSet>
      <sheetData sheetId="0">
        <row r="3">
          <cell r="J3">
            <v>58.068182</v>
          </cell>
        </row>
        <row r="5">
          <cell r="J5">
            <v>566.44900000000007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695.87885900000003</v>
          </cell>
        </row>
        <row r="5">
          <cell r="K5">
            <v>2257.7559999999999</v>
          </cell>
        </row>
        <row r="6">
          <cell r="K6">
            <v>417.024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sabizabulin"/>
    </sheetNames>
    <sheetDataSet>
      <sheetData sheetId="0">
        <row r="3">
          <cell r="L3">
            <v>80.073863000000003</v>
          </cell>
        </row>
        <row r="5">
          <cell r="L5">
            <v>112.015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44.710678000000001</v>
          </cell>
        </row>
        <row r="5">
          <cell r="M5">
            <v>120.43700000000001</v>
          </cell>
        </row>
        <row r="6">
          <cell r="M6">
            <v>0</v>
          </cell>
        </row>
      </sheetData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../../AppData/Roaming/OneDrive/Models%20Backup/GRAY.xlsx" TargetMode="External"/><Relationship Id="rId21" Type="http://schemas.openxmlformats.org/officeDocument/2006/relationships/hyperlink" Target="../../AppData/Roaming/Microsoft/Excel/LQDA.xlsx" TargetMode="External"/><Relationship Id="rId42" Type="http://schemas.openxmlformats.org/officeDocument/2006/relationships/hyperlink" Target="ROIV.xlsx" TargetMode="External"/><Relationship Id="rId47" Type="http://schemas.openxmlformats.org/officeDocument/2006/relationships/hyperlink" Target="BEAM.xlsx" TargetMode="External"/><Relationship Id="rId63" Type="http://schemas.openxmlformats.org/officeDocument/2006/relationships/hyperlink" Target="RPRX.xlsx" TargetMode="External"/><Relationship Id="rId68" Type="http://schemas.openxmlformats.org/officeDocument/2006/relationships/hyperlink" Target="HZNP.xlsx" TargetMode="External"/><Relationship Id="rId84" Type="http://schemas.openxmlformats.org/officeDocument/2006/relationships/hyperlink" Target="4523%20JP.xlsx" TargetMode="External"/><Relationship Id="rId89" Type="http://schemas.openxmlformats.org/officeDocument/2006/relationships/hyperlink" Target="ASND.xlsx" TargetMode="External"/><Relationship Id="rId16" Type="http://schemas.openxmlformats.org/officeDocument/2006/relationships/hyperlink" Target="GILD.xlsx" TargetMode="External"/><Relationship Id="rId11" Type="http://schemas.openxmlformats.org/officeDocument/2006/relationships/hyperlink" Target="CSL%20AU.xlsx" TargetMode="External"/><Relationship Id="rId32" Type="http://schemas.openxmlformats.org/officeDocument/2006/relationships/hyperlink" Target="BGNE.xlsx" TargetMode="External"/><Relationship Id="rId37" Type="http://schemas.openxmlformats.org/officeDocument/2006/relationships/hyperlink" Target="../../AppData/Roaming/Microsoft/Excel/HIK%20LN.xlsx" TargetMode="External"/><Relationship Id="rId53" Type="http://schemas.openxmlformats.org/officeDocument/2006/relationships/hyperlink" Target="4568%20JP%20Daiichi%20Sankyo.xlsx" TargetMode="External"/><Relationship Id="rId58" Type="http://schemas.openxmlformats.org/officeDocument/2006/relationships/hyperlink" Target="BMRN.xlsx" TargetMode="External"/><Relationship Id="rId74" Type="http://schemas.openxmlformats.org/officeDocument/2006/relationships/hyperlink" Target="IONS.xlsx" TargetMode="External"/><Relationship Id="rId79" Type="http://schemas.openxmlformats.org/officeDocument/2006/relationships/hyperlink" Target="RCKT.xlsx" TargetMode="External"/><Relationship Id="rId5" Type="http://schemas.openxmlformats.org/officeDocument/2006/relationships/hyperlink" Target="ROG%20VX.xlsx" TargetMode="External"/><Relationship Id="rId90" Type="http://schemas.openxmlformats.org/officeDocument/2006/relationships/hyperlink" Target="KRTX.xlsx" TargetMode="External"/><Relationship Id="rId14" Type="http://schemas.openxmlformats.org/officeDocument/2006/relationships/hyperlink" Target="GSK.xlsx" TargetMode="External"/><Relationship Id="rId22" Type="http://schemas.openxmlformats.org/officeDocument/2006/relationships/hyperlink" Target="../../AppData/Roaming/OneDrive/Models%20Backup/TCON.xlsx" TargetMode="External"/><Relationship Id="rId27" Type="http://schemas.openxmlformats.org/officeDocument/2006/relationships/hyperlink" Target="../../AppData/Roaming/OneDrive/Models%20Backup/CPRX.xlsx" TargetMode="External"/><Relationship Id="rId30" Type="http://schemas.openxmlformats.org/officeDocument/2006/relationships/hyperlink" Target="UTHR.xlsx" TargetMode="External"/><Relationship Id="rId35" Type="http://schemas.openxmlformats.org/officeDocument/2006/relationships/hyperlink" Target="../../AppData/Roaming/Microsoft/Excel/ABCL.xlsx" TargetMode="External"/><Relationship Id="rId43" Type="http://schemas.openxmlformats.org/officeDocument/2006/relationships/hyperlink" Target="NOVOB.xlsx" TargetMode="External"/><Relationship Id="rId48" Type="http://schemas.openxmlformats.org/officeDocument/2006/relationships/hyperlink" Target="EXAI.xlsx" TargetMode="External"/><Relationship Id="rId56" Type="http://schemas.openxmlformats.org/officeDocument/2006/relationships/hyperlink" Target="BIIB.xlsx" TargetMode="External"/><Relationship Id="rId64" Type="http://schemas.openxmlformats.org/officeDocument/2006/relationships/hyperlink" Target="ARGX.xlsx" TargetMode="External"/><Relationship Id="rId69" Type="http://schemas.openxmlformats.org/officeDocument/2006/relationships/hyperlink" Target="1177%20HK%20Sino.xlsx" TargetMode="External"/><Relationship Id="rId77" Type="http://schemas.openxmlformats.org/officeDocument/2006/relationships/hyperlink" Target="ARWR.xlsx" TargetMode="External"/><Relationship Id="rId8" Type="http://schemas.openxmlformats.org/officeDocument/2006/relationships/hyperlink" Target="LLY.xlsx" TargetMode="External"/><Relationship Id="rId51" Type="http://schemas.openxmlformats.org/officeDocument/2006/relationships/hyperlink" Target="2269%20HK%20WuXi%20Biologics.xlsx" TargetMode="External"/><Relationship Id="rId72" Type="http://schemas.openxmlformats.org/officeDocument/2006/relationships/hyperlink" Target="ZNTL.xlsx" TargetMode="External"/><Relationship Id="rId80" Type="http://schemas.openxmlformats.org/officeDocument/2006/relationships/hyperlink" Target="GMAB.xlsx" TargetMode="External"/><Relationship Id="rId85" Type="http://schemas.openxmlformats.org/officeDocument/2006/relationships/hyperlink" Target="REC.xlsx" TargetMode="External"/><Relationship Id="rId3" Type="http://schemas.openxmlformats.org/officeDocument/2006/relationships/hyperlink" Target="PFE.xlsx" TargetMode="External"/><Relationship Id="rId12" Type="http://schemas.openxmlformats.org/officeDocument/2006/relationships/hyperlink" Target="BMY.xlsx" TargetMode="External"/><Relationship Id="rId17" Type="http://schemas.openxmlformats.org/officeDocument/2006/relationships/hyperlink" Target="VRTX.xlsx" TargetMode="External"/><Relationship Id="rId25" Type="http://schemas.openxmlformats.org/officeDocument/2006/relationships/hyperlink" Target="../../AppData/Roaming/OneDrive/Models%20Backup/MGTX.xlsx" TargetMode="External"/><Relationship Id="rId33" Type="http://schemas.openxmlformats.org/officeDocument/2006/relationships/hyperlink" Target="VTRS.xlsx" TargetMode="External"/><Relationship Id="rId38" Type="http://schemas.openxmlformats.org/officeDocument/2006/relationships/hyperlink" Target="../../AppData/Roaming/Microsoft/Excel/ALKS.xlsx" TargetMode="External"/><Relationship Id="rId46" Type="http://schemas.openxmlformats.org/officeDocument/2006/relationships/hyperlink" Target="SWTX.xlsx" TargetMode="External"/><Relationship Id="rId59" Type="http://schemas.openxmlformats.org/officeDocument/2006/relationships/hyperlink" Target="ALNY.xlsx" TargetMode="External"/><Relationship Id="rId67" Type="http://schemas.openxmlformats.org/officeDocument/2006/relationships/hyperlink" Target="Sun%20Pharmaceutical.xlsx" TargetMode="External"/><Relationship Id="rId20" Type="http://schemas.openxmlformats.org/officeDocument/2006/relationships/hyperlink" Target="4502%20Takeda.xlsx" TargetMode="External"/><Relationship Id="rId41" Type="http://schemas.openxmlformats.org/officeDocument/2006/relationships/hyperlink" Target="BNTX.xlsx" TargetMode="External"/><Relationship Id="rId54" Type="http://schemas.openxmlformats.org/officeDocument/2006/relationships/hyperlink" Target="NBIX.xlsx" TargetMode="External"/><Relationship Id="rId62" Type="http://schemas.openxmlformats.org/officeDocument/2006/relationships/hyperlink" Target="NVS.xlsx" TargetMode="External"/><Relationship Id="rId70" Type="http://schemas.openxmlformats.org/officeDocument/2006/relationships/hyperlink" Target="3692%20HK%20Hansoh.xlsx" TargetMode="External"/><Relationship Id="rId75" Type="http://schemas.openxmlformats.org/officeDocument/2006/relationships/hyperlink" Target="068270%20Celltrion.xlsx" TargetMode="External"/><Relationship Id="rId83" Type="http://schemas.openxmlformats.org/officeDocument/2006/relationships/hyperlink" Target="GRFS.xlsx" TargetMode="External"/><Relationship Id="rId88" Type="http://schemas.openxmlformats.org/officeDocument/2006/relationships/hyperlink" Target="SAGE.xlsx" TargetMode="External"/><Relationship Id="rId91" Type="http://schemas.openxmlformats.org/officeDocument/2006/relationships/printerSettings" Target="../printerSettings/printerSettings1.bin"/><Relationship Id="rId1" Type="http://schemas.openxmlformats.org/officeDocument/2006/relationships/hyperlink" Target="JNJ.xlsx" TargetMode="External"/><Relationship Id="rId6" Type="http://schemas.openxmlformats.org/officeDocument/2006/relationships/hyperlink" Target="NVS.xlsx" TargetMode="External"/><Relationship Id="rId15" Type="http://schemas.openxmlformats.org/officeDocument/2006/relationships/hyperlink" Target="ABBV.xlsx" TargetMode="External"/><Relationship Id="rId23" Type="http://schemas.openxmlformats.org/officeDocument/2006/relationships/hyperlink" Target="../../AppData/Roaming/OneDrive/Models%20Backup/ACET.xlsx" TargetMode="External"/><Relationship Id="rId28" Type="http://schemas.openxmlformats.org/officeDocument/2006/relationships/hyperlink" Target="../../AppData/Roaming/OneDrive/Models%20Backup/CVRX.xlsx" TargetMode="External"/><Relationship Id="rId36" Type="http://schemas.openxmlformats.org/officeDocument/2006/relationships/hyperlink" Target="../../AppData/Roaming/Microsoft/Excel/SIGA.xlsx" TargetMode="External"/><Relationship Id="rId49" Type="http://schemas.openxmlformats.org/officeDocument/2006/relationships/hyperlink" Target="4519%20Chugai.xlsx" TargetMode="External"/><Relationship Id="rId57" Type="http://schemas.openxmlformats.org/officeDocument/2006/relationships/hyperlink" Target="AZN.xlsx" TargetMode="External"/><Relationship Id="rId10" Type="http://schemas.openxmlformats.org/officeDocument/2006/relationships/hyperlink" Target="NOVOB.xlsx" TargetMode="External"/><Relationship Id="rId31" Type="http://schemas.openxmlformats.org/officeDocument/2006/relationships/hyperlink" Target="APLS.xlsx" TargetMode="External"/><Relationship Id="rId44" Type="http://schemas.openxmlformats.org/officeDocument/2006/relationships/hyperlink" Target="CYDY.xlsx" TargetMode="External"/><Relationship Id="rId52" Type="http://schemas.openxmlformats.org/officeDocument/2006/relationships/hyperlink" Target="207940%20Samsung%20Biologics.xlsx" TargetMode="External"/><Relationship Id="rId60" Type="http://schemas.openxmlformats.org/officeDocument/2006/relationships/hyperlink" Target="BAX.xlsx" TargetMode="External"/><Relationship Id="rId65" Type="http://schemas.openxmlformats.org/officeDocument/2006/relationships/hyperlink" Target="JAZZ.xlsx" TargetMode="External"/><Relationship Id="rId73" Type="http://schemas.openxmlformats.org/officeDocument/2006/relationships/hyperlink" Target="NTLA.xlsx" TargetMode="External"/><Relationship Id="rId78" Type="http://schemas.openxmlformats.org/officeDocument/2006/relationships/hyperlink" Target="HALO.xlsx" TargetMode="External"/><Relationship Id="rId81" Type="http://schemas.openxmlformats.org/officeDocument/2006/relationships/hyperlink" Target="GMAB.xlsx" TargetMode="External"/><Relationship Id="rId86" Type="http://schemas.openxmlformats.org/officeDocument/2006/relationships/hyperlink" Target="4502%20Takeda.xlsx" TargetMode="External"/><Relationship Id="rId4" Type="http://schemas.openxmlformats.org/officeDocument/2006/relationships/hyperlink" Target="..\..\OneDrive\Models%20Backup\AMGN.xlsx" TargetMode="External"/><Relationship Id="rId9" Type="http://schemas.openxmlformats.org/officeDocument/2006/relationships/hyperlink" Target="MRK%20GR.xlsx" TargetMode="External"/><Relationship Id="rId13" Type="http://schemas.openxmlformats.org/officeDocument/2006/relationships/hyperlink" Target="..\..\OneDrive\Models%20Backup\SAN%20FP.xlsx" TargetMode="External"/><Relationship Id="rId18" Type="http://schemas.openxmlformats.org/officeDocument/2006/relationships/hyperlink" Target="INCY.xlsx" TargetMode="External"/><Relationship Id="rId39" Type="http://schemas.openxmlformats.org/officeDocument/2006/relationships/hyperlink" Target="../../AppData/Roaming/Microsoft/Excel/AVTX.xlsx" TargetMode="External"/><Relationship Id="rId34" Type="http://schemas.openxmlformats.org/officeDocument/2006/relationships/hyperlink" Target="../../AppData/Roaming/Microsoft/Excel/VERU.xlsx" TargetMode="External"/><Relationship Id="rId50" Type="http://schemas.openxmlformats.org/officeDocument/2006/relationships/hyperlink" Target="BAYN%20GY.xlsx" TargetMode="External"/><Relationship Id="rId55" Type="http://schemas.openxmlformats.org/officeDocument/2006/relationships/hyperlink" Target="SGEN.xlsx" TargetMode="External"/><Relationship Id="rId76" Type="http://schemas.openxmlformats.org/officeDocument/2006/relationships/hyperlink" Target="SRPT.xlsx" TargetMode="External"/><Relationship Id="rId7" Type="http://schemas.openxmlformats.org/officeDocument/2006/relationships/hyperlink" Target="AZN.xlsx" TargetMode="External"/><Relationship Id="rId71" Type="http://schemas.openxmlformats.org/officeDocument/2006/relationships/hyperlink" Target="4578%20Otsuka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../../AppData/Roaming/OneDrive/Models%20Backup/BIOR.xlsx" TargetMode="External"/><Relationship Id="rId24" Type="http://schemas.openxmlformats.org/officeDocument/2006/relationships/hyperlink" Target="../../AppData/Roaming/OneDrive/Models%20Backup/PHAS.xlsx" TargetMode="External"/><Relationship Id="rId40" Type="http://schemas.openxmlformats.org/officeDocument/2006/relationships/hyperlink" Target="MRNA.xlsx" TargetMode="External"/><Relationship Id="rId45" Type="http://schemas.openxmlformats.org/officeDocument/2006/relationships/hyperlink" Target="GSK.xlsx" TargetMode="External"/><Relationship Id="rId66" Type="http://schemas.openxmlformats.org/officeDocument/2006/relationships/hyperlink" Target="AXSM.xlsx" TargetMode="External"/><Relationship Id="rId87" Type="http://schemas.openxmlformats.org/officeDocument/2006/relationships/hyperlink" Target="CRSP.xlsx" TargetMode="External"/><Relationship Id="rId61" Type="http://schemas.openxmlformats.org/officeDocument/2006/relationships/hyperlink" Target="4503%20JP.xlsx" TargetMode="External"/><Relationship Id="rId82" Type="http://schemas.openxmlformats.org/officeDocument/2006/relationships/hyperlink" Target="EXEL.xlsx" TargetMode="External"/><Relationship Id="rId19" Type="http://schemas.openxmlformats.org/officeDocument/2006/relationships/hyperlink" Target="REGN.xls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1:AC228"/>
  <sheetViews>
    <sheetView tabSelected="1" zoomScale="190" zoomScaleNormal="190" workbookViewId="0">
      <pane xSplit="3" ySplit="3" topLeftCell="D4" activePane="bottomRight" state="frozen"/>
      <selection pane="topRight" activeCell="C1" sqref="C1"/>
      <selection pane="bottomLeft" activeCell="A4" sqref="A4"/>
      <selection pane="bottomRight" activeCell="K8" sqref="K8"/>
    </sheetView>
  </sheetViews>
  <sheetFormatPr defaultRowHeight="12.75" x14ac:dyDescent="0.2"/>
  <cols>
    <col min="1" max="1" width="2.42578125" style="1" customWidth="1"/>
    <col min="2" max="2" width="4.140625" style="1" bestFit="1" customWidth="1"/>
    <col min="3" max="3" width="18.42578125" style="1" customWidth="1"/>
    <col min="4" max="4" width="10.5703125" style="1" bestFit="1" customWidth="1"/>
    <col min="5" max="5" width="12.140625" style="3" customWidth="1"/>
    <col min="6" max="6" width="10.5703125" style="3" bestFit="1" customWidth="1"/>
    <col min="7" max="9" width="9.140625" style="3"/>
    <col min="10" max="10" width="7.42578125" style="3" customWidth="1"/>
    <col min="11" max="11" width="10.7109375" style="3" customWidth="1"/>
    <col min="12" max="16" width="9.140625" style="3"/>
    <col min="17" max="28" width="7.5703125" style="4" customWidth="1"/>
    <col min="29" max="16384" width="9.140625" style="1"/>
  </cols>
  <sheetData>
    <row r="1" spans="1:29" x14ac:dyDescent="0.2">
      <c r="B1" s="1">
        <f ca="1">RANDBETWEEN(1,B168)</f>
        <v>16</v>
      </c>
    </row>
    <row r="2" spans="1:29" x14ac:dyDescent="0.2">
      <c r="K2" s="9">
        <f>MIN(K4:K61)</f>
        <v>44889</v>
      </c>
      <c r="Q2" s="32" t="s">
        <v>319</v>
      </c>
      <c r="R2" s="32"/>
      <c r="S2" s="32"/>
      <c r="T2" s="32"/>
      <c r="U2" s="32"/>
      <c r="V2" s="32"/>
      <c r="W2" s="32" t="s">
        <v>318</v>
      </c>
      <c r="X2" s="32"/>
      <c r="Y2" s="32"/>
      <c r="Z2" s="32"/>
      <c r="AA2" s="32"/>
      <c r="AB2" s="32"/>
    </row>
    <row r="3" spans="1:29" x14ac:dyDescent="0.2">
      <c r="C3" s="1" t="s">
        <v>1</v>
      </c>
      <c r="D3" s="1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307</v>
      </c>
      <c r="K3" s="3" t="s">
        <v>313</v>
      </c>
      <c r="L3" s="3" t="s">
        <v>320</v>
      </c>
      <c r="M3" s="3" t="s">
        <v>322</v>
      </c>
      <c r="N3" s="3" t="s">
        <v>323</v>
      </c>
      <c r="O3" s="3" t="s">
        <v>324</v>
      </c>
      <c r="P3" s="3" t="s">
        <v>321</v>
      </c>
      <c r="Q3" s="4">
        <v>2022</v>
      </c>
      <c r="R3" s="4">
        <v>2023</v>
      </c>
      <c r="S3" s="4">
        <v>2024</v>
      </c>
      <c r="T3" s="4">
        <v>2025</v>
      </c>
      <c r="U3" s="4">
        <v>2026</v>
      </c>
      <c r="V3" s="4">
        <v>2027</v>
      </c>
      <c r="W3" s="4">
        <v>2022</v>
      </c>
      <c r="X3" s="4">
        <v>2023</v>
      </c>
      <c r="Y3" s="4">
        <v>2024</v>
      </c>
      <c r="Z3" s="4">
        <v>2025</v>
      </c>
      <c r="AA3" s="4">
        <v>2026</v>
      </c>
      <c r="AB3" s="4">
        <v>2027</v>
      </c>
      <c r="AC3" s="1" t="s">
        <v>2</v>
      </c>
    </row>
    <row r="4" spans="1:29" x14ac:dyDescent="0.2">
      <c r="A4" s="1" t="s">
        <v>342</v>
      </c>
      <c r="B4" s="1">
        <v>1</v>
      </c>
      <c r="C4" s="5" t="s">
        <v>14</v>
      </c>
      <c r="D4" s="1" t="s">
        <v>15</v>
      </c>
      <c r="E4" s="7">
        <v>162.15</v>
      </c>
      <c r="F4" s="6">
        <f>E4*[1]Main!$Q$3</f>
        <v>421265.7</v>
      </c>
      <c r="G4" s="6">
        <f>+[1]Main!$Q$5-[1]Main!$Q$6</f>
        <v>-20599</v>
      </c>
      <c r="H4" s="6">
        <f t="shared" ref="H4:H19" si="0">F4-G4</f>
        <v>441864.7</v>
      </c>
      <c r="I4" s="3" t="s">
        <v>673</v>
      </c>
      <c r="J4" s="6">
        <f>+[1]Main!$Q$3</f>
        <v>2598</v>
      </c>
      <c r="K4" s="9">
        <v>45048</v>
      </c>
      <c r="L4" s="9"/>
      <c r="M4" s="9"/>
      <c r="N4" s="9"/>
      <c r="O4" s="9"/>
      <c r="P4" s="9"/>
    </row>
    <row r="5" spans="1:29" x14ac:dyDescent="0.2">
      <c r="A5" s="1" t="s">
        <v>342</v>
      </c>
      <c r="B5" s="1">
        <f t="shared" ref="B5:B7" si="1">+B4+1</f>
        <v>2</v>
      </c>
      <c r="C5" s="5" t="s">
        <v>19</v>
      </c>
      <c r="D5" s="1" t="s">
        <v>20</v>
      </c>
      <c r="E5" s="7">
        <v>345.12</v>
      </c>
      <c r="F5" s="6">
        <f>+E5*J5</f>
        <v>311622.65280000004</v>
      </c>
      <c r="G5" s="6">
        <f>+[2]Main!$J$5-[2]Main!$J$6</f>
        <v>-11490</v>
      </c>
      <c r="H5" s="6">
        <f t="shared" si="0"/>
        <v>323112.65280000004</v>
      </c>
      <c r="I5" s="3" t="s">
        <v>673</v>
      </c>
      <c r="J5" s="6">
        <f>+[2]Main!$J$3</f>
        <v>902.94</v>
      </c>
      <c r="K5" s="9">
        <v>45048</v>
      </c>
      <c r="L5" s="7">
        <f>+[2]Model!$DQ$86</f>
        <v>195.17686742748046</v>
      </c>
      <c r="M5" s="10">
        <f>L5/E5-1</f>
        <v>-0.43446665673539508</v>
      </c>
      <c r="N5" s="10">
        <f>[2]Model!$DQ$82</f>
        <v>0.01</v>
      </c>
      <c r="O5" s="10">
        <f>[2]Model!$DQ$83</f>
        <v>-0.01</v>
      </c>
      <c r="P5" s="10">
        <f>[2]Model!$DQ$84</f>
        <v>7.0000000000000007E-2</v>
      </c>
      <c r="Q5" s="12">
        <f t="shared" ref="Q5:V5" si="2">($H$5/$J$5)/W5</f>
        <v>40.134415605476178</v>
      </c>
      <c r="R5" s="12">
        <f t="shared" si="2"/>
        <v>59.511901253640886</v>
      </c>
      <c r="S5" s="12">
        <f t="shared" si="2"/>
        <v>26.055643179922576</v>
      </c>
      <c r="T5" s="12">
        <f t="shared" si="2"/>
        <v>23.89909144127131</v>
      </c>
      <c r="U5" s="12">
        <f t="shared" si="2"/>
        <v>21.855580396644623</v>
      </c>
      <c r="V5" s="12">
        <f t="shared" si="2"/>
        <v>20.765181083357518</v>
      </c>
      <c r="W5" s="11">
        <f>+[2]Model!DG69</f>
        <v>8.9161656552021782</v>
      </c>
      <c r="X5" s="11">
        <f>+[2]Model!DH69</f>
        <v>6.0130006011405053</v>
      </c>
      <c r="Y5" s="11">
        <f>+[2]Model!DI69</f>
        <v>13.733880815841767</v>
      </c>
      <c r="Z5" s="11">
        <f>+[2]Model!DJ69</f>
        <v>14.97316744833215</v>
      </c>
      <c r="AA5" s="11">
        <f>+[2]Model!DK69</f>
        <v>16.373168386234905</v>
      </c>
      <c r="AB5" s="11">
        <f>+[2]Model!DL69</f>
        <v>17.232938955680762</v>
      </c>
      <c r="AC5" s="1">
        <v>1876</v>
      </c>
    </row>
    <row r="6" spans="1:29" x14ac:dyDescent="0.2">
      <c r="A6" s="1" t="s">
        <v>342</v>
      </c>
      <c r="B6" s="1">
        <f t="shared" si="1"/>
        <v>3</v>
      </c>
      <c r="C6" s="5" t="s">
        <v>17</v>
      </c>
      <c r="D6" s="1" t="s">
        <v>18</v>
      </c>
      <c r="E6" s="7">
        <v>152.05000000000001</v>
      </c>
      <c r="F6" s="6">
        <f>+E6*J6</f>
        <v>268897.46124140004</v>
      </c>
      <c r="G6" s="6">
        <f>+[3]Main!$K$5-[3]Main!$K$6</f>
        <v>-57492</v>
      </c>
      <c r="H6" s="6">
        <f>F6-G6</f>
        <v>326389.46124140004</v>
      </c>
      <c r="I6" s="3" t="s">
        <v>673</v>
      </c>
      <c r="J6" s="6">
        <f>+[3]Main!$K$3</f>
        <v>1768.4805080000001</v>
      </c>
      <c r="K6" s="9">
        <v>45048</v>
      </c>
      <c r="L6" s="9"/>
      <c r="M6" s="9"/>
      <c r="N6" s="9"/>
      <c r="O6" s="9"/>
      <c r="P6" s="9"/>
    </row>
    <row r="7" spans="1:29" x14ac:dyDescent="0.2">
      <c r="A7" t="s">
        <v>342</v>
      </c>
      <c r="B7" s="1">
        <f t="shared" si="1"/>
        <v>4</v>
      </c>
      <c r="C7" s="5" t="s">
        <v>28</v>
      </c>
      <c r="D7" s="1" t="s">
        <v>29</v>
      </c>
      <c r="E7" s="7">
        <v>117</v>
      </c>
      <c r="F7" s="6">
        <f>+E7*J7</f>
        <v>296829</v>
      </c>
      <c r="G7" s="6">
        <f>+[4]Main!$J$5-[4]Main!$J$6</f>
        <v>-19069</v>
      </c>
      <c r="H7" s="6">
        <f>F7-G7</f>
        <v>315898</v>
      </c>
      <c r="I7" s="3" t="s">
        <v>432</v>
      </c>
      <c r="J7" s="6">
        <f>+[4]Main!$J$3</f>
        <v>2537</v>
      </c>
      <c r="K7" s="9">
        <v>45053</v>
      </c>
      <c r="L7" s="7">
        <f>[4]Model!$EE$109</f>
        <v>93.535536141731882</v>
      </c>
      <c r="M7" s="10">
        <f>L7/E7-1</f>
        <v>-0.20055097314759074</v>
      </c>
      <c r="N7" s="10">
        <f>[4]Model!$EE$105</f>
        <v>0.01</v>
      </c>
      <c r="O7" s="10">
        <f>[4]Model!$EE$106</f>
        <v>-0.01</v>
      </c>
      <c r="P7" s="10">
        <f>[4]Model!$EE$107</f>
        <v>7.0000000000000007E-2</v>
      </c>
    </row>
    <row r="8" spans="1:29" x14ac:dyDescent="0.2">
      <c r="A8" t="s">
        <v>342</v>
      </c>
      <c r="B8" s="1">
        <f>+B7+1</f>
        <v>5</v>
      </c>
      <c r="C8" s="5" t="s">
        <v>26</v>
      </c>
      <c r="D8" s="1" t="s">
        <v>27</v>
      </c>
      <c r="E8" s="7">
        <v>139.54</v>
      </c>
      <c r="F8" s="6">
        <f>+J8*E8</f>
        <v>316546.49</v>
      </c>
      <c r="G8" s="6">
        <f>([5]Main!$J$5-[5]Main!$J$6)/DKK</f>
        <v>1563.307316939816</v>
      </c>
      <c r="H8" s="6">
        <f t="shared" si="0"/>
        <v>314983.18268306018</v>
      </c>
      <c r="I8" s="3" t="s">
        <v>432</v>
      </c>
      <c r="J8" s="6">
        <f>+[5]Main!$J$3</f>
        <v>2268.5</v>
      </c>
      <c r="K8" s="9">
        <v>44959</v>
      </c>
    </row>
    <row r="9" spans="1:29" x14ac:dyDescent="0.2">
      <c r="A9" t="s">
        <v>342</v>
      </c>
      <c r="B9" s="1">
        <f>+B8</f>
        <v>5</v>
      </c>
      <c r="C9" s="5" t="s">
        <v>26</v>
      </c>
      <c r="D9" t="s">
        <v>325</v>
      </c>
      <c r="E9" s="7">
        <v>841.7</v>
      </c>
      <c r="F9" s="6">
        <f>+E9*J9/DKK</f>
        <v>260992.69399527059</v>
      </c>
      <c r="G9" s="6">
        <f>([5]Main!$J$5-[5]Main!$J$6)/DKK</f>
        <v>1563.307316939816</v>
      </c>
      <c r="H9" s="6">
        <f>F9-G9</f>
        <v>259429.38667833077</v>
      </c>
      <c r="I9" s="3" t="s">
        <v>432</v>
      </c>
      <c r="J9" s="6">
        <f>+[5]Main!$J$3</f>
        <v>2268.5</v>
      </c>
      <c r="K9" s="9">
        <f>+K8</f>
        <v>44959</v>
      </c>
    </row>
    <row r="10" spans="1:29" x14ac:dyDescent="0.2">
      <c r="A10" s="1" t="s">
        <v>342</v>
      </c>
      <c r="B10" s="1">
        <f>+B9+1</f>
        <v>6</v>
      </c>
      <c r="C10" s="5" t="s">
        <v>21</v>
      </c>
      <c r="D10" s="1" t="s">
        <v>22</v>
      </c>
      <c r="E10" s="21">
        <v>278</v>
      </c>
      <c r="F10" s="6">
        <f>+J10*E10</f>
        <v>222512.03400000001</v>
      </c>
      <c r="G10" s="6">
        <f>+[6]Main!$J$5-[6]Main!$J$6</f>
        <v>-18167</v>
      </c>
      <c r="H10" s="6">
        <f>F10-G10</f>
        <v>240679.03400000001</v>
      </c>
      <c r="I10" s="3" t="s">
        <v>23</v>
      </c>
      <c r="J10" s="6">
        <f>+[6]Main!$J$3</f>
        <v>800.40300000000002</v>
      </c>
      <c r="K10" s="9">
        <v>44958</v>
      </c>
      <c r="L10" s="9"/>
      <c r="M10" s="9"/>
      <c r="N10" s="9"/>
      <c r="O10" s="9"/>
      <c r="P10" s="9"/>
      <c r="AC10" s="1">
        <v>1896</v>
      </c>
    </row>
    <row r="11" spans="1:29" x14ac:dyDescent="0.2">
      <c r="A11" s="1" t="s">
        <v>342</v>
      </c>
      <c r="B11" s="1">
        <f>+B10+1</f>
        <v>7</v>
      </c>
      <c r="C11" s="5" t="s">
        <v>24</v>
      </c>
      <c r="D11" s="1" t="s">
        <v>25</v>
      </c>
      <c r="E11" s="7">
        <v>43.55</v>
      </c>
      <c r="F11" s="6">
        <f>+J11*E11</f>
        <v>249018.9</v>
      </c>
      <c r="G11" s="6">
        <f>+[7]Main!$K$5-[7]Main!$K$6</f>
        <v>13342</v>
      </c>
      <c r="H11" s="6">
        <f>F11-G11</f>
        <v>235676.9</v>
      </c>
      <c r="I11" s="3" t="s">
        <v>432</v>
      </c>
      <c r="J11" s="6">
        <f>+[7]Main!$K$3</f>
        <v>5718</v>
      </c>
      <c r="K11" s="9">
        <v>44956</v>
      </c>
      <c r="L11" s="9"/>
      <c r="M11" s="9"/>
      <c r="N11" s="9"/>
      <c r="O11" s="9"/>
      <c r="P11" s="9"/>
    </row>
    <row r="12" spans="1:29" x14ac:dyDescent="0.2">
      <c r="A12" t="s">
        <v>342</v>
      </c>
      <c r="B12" s="1">
        <f>+B11+1</f>
        <v>8</v>
      </c>
      <c r="C12" s="5" t="s">
        <v>30</v>
      </c>
      <c r="D12" s="1" t="s">
        <v>31</v>
      </c>
      <c r="E12" s="3">
        <v>90.72</v>
      </c>
      <c r="F12" s="6">
        <f>+E12*J12</f>
        <v>192290.93365104002</v>
      </c>
      <c r="G12" s="6">
        <f>+[8]Main!$K$5-[8]Main!$K$6</f>
        <v>-7245</v>
      </c>
      <c r="H12" s="6">
        <f>F12-G12</f>
        <v>199535.93365104002</v>
      </c>
      <c r="I12" s="3" t="s">
        <v>536</v>
      </c>
      <c r="J12" s="6">
        <f>+[8]Main!$K$3</f>
        <v>2119.6090570000001</v>
      </c>
      <c r="K12" s="9">
        <v>44968</v>
      </c>
    </row>
    <row r="13" spans="1:29" x14ac:dyDescent="0.2">
      <c r="A13" t="s">
        <v>342</v>
      </c>
      <c r="B13" s="1">
        <f>+B12</f>
        <v>8</v>
      </c>
      <c r="C13" s="5" t="s">
        <v>30</v>
      </c>
      <c r="D13" t="s">
        <v>435</v>
      </c>
      <c r="E13" s="21">
        <v>83.59</v>
      </c>
      <c r="F13" s="6">
        <f>+E13*J13/CHF</f>
        <v>192584.91421155434</v>
      </c>
      <c r="G13" s="6">
        <f>+[8]Main!$K$5-[8]Main!$K$6</f>
        <v>-7245</v>
      </c>
      <c r="H13" s="6">
        <f>F13-G13</f>
        <v>199829.91421155434</v>
      </c>
      <c r="I13" s="3" t="s">
        <v>536</v>
      </c>
      <c r="J13" s="6">
        <f>+[8]Main!$K$3</f>
        <v>2119.6090570000001</v>
      </c>
      <c r="K13" s="9">
        <f>+K12</f>
        <v>44968</v>
      </c>
    </row>
    <row r="14" spans="1:29" x14ac:dyDescent="0.2">
      <c r="A14" s="1" t="s">
        <v>342</v>
      </c>
      <c r="B14" s="1">
        <f>+B12+1</f>
        <v>9</v>
      </c>
      <c r="C14" s="5" t="s">
        <v>38</v>
      </c>
      <c r="D14" s="1" t="s">
        <v>39</v>
      </c>
      <c r="E14" s="7">
        <v>54.97</v>
      </c>
      <c r="F14" s="6">
        <f>+E14*J14*2</f>
        <v>171506.4</v>
      </c>
      <c r="G14" s="6">
        <f>+[9]Main!$K$5-[9]Main!$K$6</f>
        <v>-24689</v>
      </c>
      <c r="H14" s="6">
        <f t="shared" si="0"/>
        <v>196195.4</v>
      </c>
      <c r="I14" s="3" t="s">
        <v>308</v>
      </c>
      <c r="J14" s="6">
        <f>+[9]Main!$K$3</f>
        <v>1560</v>
      </c>
      <c r="K14" s="9">
        <v>44929</v>
      </c>
    </row>
    <row r="15" spans="1:29" x14ac:dyDescent="0.2">
      <c r="A15" s="1" t="s">
        <v>342</v>
      </c>
      <c r="B15" s="1">
        <f>+B14</f>
        <v>9</v>
      </c>
      <c r="C15" s="5" t="s">
        <v>38</v>
      </c>
      <c r="D15" s="1" t="s">
        <v>430</v>
      </c>
      <c r="E15" s="16">
        <v>9860.5</v>
      </c>
      <c r="F15" s="6">
        <f>+E15*J15/100*GBP</f>
        <v>172282.65600000002</v>
      </c>
      <c r="G15" s="6">
        <f>+[9]Main!$K$5-[9]Main!$K$6</f>
        <v>-24689</v>
      </c>
      <c r="H15" s="6">
        <f t="shared" si="0"/>
        <v>196971.65600000002</v>
      </c>
      <c r="I15" s="3" t="s">
        <v>308</v>
      </c>
      <c r="J15" s="6">
        <f>+[9]Main!$K$3</f>
        <v>1560</v>
      </c>
      <c r="K15" s="9">
        <v>44929</v>
      </c>
    </row>
    <row r="16" spans="1:29" x14ac:dyDescent="0.2">
      <c r="A16" t="s">
        <v>342</v>
      </c>
      <c r="B16" s="1">
        <f>+B14+1</f>
        <v>10</v>
      </c>
      <c r="C16" s="5" t="s">
        <v>32</v>
      </c>
      <c r="D16" s="1" t="s">
        <v>33</v>
      </c>
      <c r="E16" s="3">
        <v>75.03</v>
      </c>
      <c r="F16" s="6">
        <f>+E16*J16</f>
        <v>160208.19450474001</v>
      </c>
      <c r="G16" s="6">
        <f>+[10]Main!$K$5-[10]Main!$K$6</f>
        <v>-28832</v>
      </c>
      <c r="H16" s="6">
        <f t="shared" si="0"/>
        <v>189040.19450474001</v>
      </c>
      <c r="I16" s="3" t="s">
        <v>308</v>
      </c>
      <c r="J16" s="6">
        <f>+[10]Main!$K$3</f>
        <v>2135.2551579999999</v>
      </c>
      <c r="K16" s="9">
        <v>44959</v>
      </c>
    </row>
    <row r="17" spans="1:11" x14ac:dyDescent="0.2">
      <c r="A17" t="s">
        <v>342</v>
      </c>
      <c r="B17" s="1">
        <f>B16+1</f>
        <v>11</v>
      </c>
      <c r="C17" s="5" t="s">
        <v>34</v>
      </c>
      <c r="D17" s="1" t="s">
        <v>35</v>
      </c>
      <c r="E17" s="7">
        <v>230.55</v>
      </c>
      <c r="F17" s="6">
        <f>+E17*J17</f>
        <v>124266.45000000001</v>
      </c>
      <c r="G17" s="6">
        <f>[11]Main!$J$5-[11]Main!$J$6</f>
        <v>-29600</v>
      </c>
      <c r="H17" s="6">
        <f t="shared" si="0"/>
        <v>153866.45000000001</v>
      </c>
      <c r="I17" s="3" t="s">
        <v>308</v>
      </c>
      <c r="J17" s="6">
        <f>+[11]Main!$J$3</f>
        <v>539</v>
      </c>
      <c r="K17" s="9">
        <v>44985</v>
      </c>
    </row>
    <row r="18" spans="1:11" x14ac:dyDescent="0.2">
      <c r="A18" t="s">
        <v>342</v>
      </c>
      <c r="B18" s="1">
        <f>B17+1</f>
        <v>12</v>
      </c>
      <c r="C18" s="5" t="s">
        <v>36</v>
      </c>
      <c r="D18" s="1" t="s">
        <v>37</v>
      </c>
      <c r="E18" s="15">
        <v>49.2</v>
      </c>
      <c r="F18" s="6">
        <f>E18*[12]Main!$K$3*2</f>
        <v>123098.40000000001</v>
      </c>
      <c r="G18" s="6">
        <f>([12]Main!$K$5-[12]Main!$K$6)*EUR</f>
        <v>-12400.887000000001</v>
      </c>
      <c r="H18" s="6">
        <f t="shared" si="0"/>
        <v>135499.28700000001</v>
      </c>
      <c r="I18" s="3" t="s">
        <v>308</v>
      </c>
      <c r="J18" s="6">
        <f>+[12]Main!$K$3</f>
        <v>1251</v>
      </c>
      <c r="K18" s="9">
        <v>44986</v>
      </c>
    </row>
    <row r="19" spans="1:11" x14ac:dyDescent="0.2">
      <c r="A19" t="s">
        <v>342</v>
      </c>
      <c r="B19" s="1">
        <f>+B18+1</f>
        <v>13</v>
      </c>
      <c r="C19" s="5" t="s">
        <v>46</v>
      </c>
      <c r="D19" s="1" t="s">
        <v>47</v>
      </c>
      <c r="E19" s="7">
        <v>82.76</v>
      </c>
      <c r="F19" s="6">
        <f>+E19*J19</f>
        <v>103781.04000000001</v>
      </c>
      <c r="G19" s="6">
        <f>+[13]Main!$J$5-[13]Main!$J$6</f>
        <v>-18281</v>
      </c>
      <c r="H19" s="6">
        <f t="shared" si="0"/>
        <v>122062.04000000001</v>
      </c>
      <c r="I19" s="3" t="s">
        <v>432</v>
      </c>
      <c r="J19" s="6">
        <f>+[13]Main!$J$3</f>
        <v>1254</v>
      </c>
      <c r="K19" s="9">
        <v>44958</v>
      </c>
    </row>
    <row r="20" spans="1:11" x14ac:dyDescent="0.2">
      <c r="A20" t="s">
        <v>342</v>
      </c>
      <c r="B20" s="1">
        <f>+B19+1</f>
        <v>14</v>
      </c>
      <c r="C20" s="5" t="s">
        <v>43</v>
      </c>
      <c r="D20" s="1" t="s">
        <v>44</v>
      </c>
      <c r="E20" s="15">
        <v>184</v>
      </c>
      <c r="F20" s="6">
        <f>+E20*J20</f>
        <v>80040</v>
      </c>
      <c r="G20" s="6">
        <f>([14]Main!$J$5-[14]Main!$J$6)*EUR</f>
        <v>-9256.4127000000008</v>
      </c>
      <c r="H20" s="6">
        <f>F20-G20</f>
        <v>89296.412700000001</v>
      </c>
      <c r="I20" s="3" t="s">
        <v>432</v>
      </c>
      <c r="J20" s="3">
        <v>435</v>
      </c>
      <c r="K20" s="9">
        <v>44984</v>
      </c>
    </row>
    <row r="21" spans="1:11" x14ac:dyDescent="0.2">
      <c r="A21" s="1" t="s">
        <v>342</v>
      </c>
      <c r="B21" s="1">
        <f>+B20+1</f>
        <v>15</v>
      </c>
      <c r="C21" s="5" t="s">
        <v>261</v>
      </c>
      <c r="D21" t="s">
        <v>262</v>
      </c>
      <c r="E21" s="15">
        <v>52.6</v>
      </c>
      <c r="F21" s="6">
        <f>+E21*J21*EUR</f>
        <v>52569.274551600007</v>
      </c>
      <c r="G21" s="6">
        <f>([15]Main!$J$5-[15]Main!$J$6)</f>
        <v>-35884</v>
      </c>
      <c r="H21" s="6">
        <f>+F21-G21</f>
        <v>88453.274551600014</v>
      </c>
      <c r="I21" s="3" t="s">
        <v>432</v>
      </c>
      <c r="J21" s="6">
        <f>+[15]Main!$J$3</f>
        <v>982.42</v>
      </c>
      <c r="K21" s="9">
        <v>44908</v>
      </c>
    </row>
    <row r="22" spans="1:11" x14ac:dyDescent="0.2">
      <c r="A22" t="s">
        <v>342</v>
      </c>
      <c r="B22" s="1">
        <f>+B21+1</f>
        <v>16</v>
      </c>
      <c r="C22" s="5" t="s">
        <v>40</v>
      </c>
      <c r="D22" s="1" t="s">
        <v>41</v>
      </c>
      <c r="E22" s="7">
        <v>34.369999999999997</v>
      </c>
      <c r="F22" s="6">
        <f>+E22*J22/2</f>
        <v>69169.625</v>
      </c>
      <c r="G22" s="6">
        <f>+[16]Main!$J$6-[16]Main!$J$7</f>
        <v>-19400</v>
      </c>
      <c r="H22" s="6">
        <f>F22-G22</f>
        <v>88569.625</v>
      </c>
      <c r="I22" s="3" t="s">
        <v>308</v>
      </c>
      <c r="J22" s="6">
        <f>+[16]Main!$J$4</f>
        <v>4025</v>
      </c>
      <c r="K22" s="9">
        <v>44987</v>
      </c>
    </row>
    <row r="23" spans="1:11" x14ac:dyDescent="0.2">
      <c r="A23" t="s">
        <v>342</v>
      </c>
      <c r="B23" s="1">
        <f>+B22</f>
        <v>16</v>
      </c>
      <c r="C23" s="5" t="s">
        <v>40</v>
      </c>
      <c r="D23" s="1" t="s">
        <v>42</v>
      </c>
      <c r="E23" s="16">
        <v>1438.8</v>
      </c>
      <c r="F23" s="6">
        <f>+E23*J23/100*GBP</f>
        <v>64861.103999999999</v>
      </c>
      <c r="G23" s="6">
        <f>+[16]Main!$J$6-[16]Main!$J$7</f>
        <v>-19400</v>
      </c>
      <c r="H23" s="6">
        <f>F23-G23</f>
        <v>84261.103999999992</v>
      </c>
      <c r="I23" s="3" t="s">
        <v>308</v>
      </c>
      <c r="J23" s="6">
        <f>+J22</f>
        <v>4025</v>
      </c>
      <c r="K23" s="9">
        <f>+K22</f>
        <v>44987</v>
      </c>
    </row>
    <row r="24" spans="1:11" x14ac:dyDescent="0.2">
      <c r="A24" t="s">
        <v>342</v>
      </c>
      <c r="B24" s="1">
        <f>+B23+1</f>
        <v>17</v>
      </c>
      <c r="C24" s="5" t="s">
        <v>45</v>
      </c>
      <c r="D24" s="1" t="s">
        <v>434</v>
      </c>
      <c r="E24" s="7">
        <v>255.99</v>
      </c>
      <c r="F24" s="6">
        <f>+E24*J24*AUD</f>
        <v>82472.633374629047</v>
      </c>
      <c r="G24" s="6">
        <f>[17]Main!$J$5-[17]Main!$J$6</f>
        <v>778.60000000000036</v>
      </c>
      <c r="H24" s="6">
        <f>F24-G24</f>
        <v>81694.033374629042</v>
      </c>
      <c r="I24" s="3" t="s">
        <v>308</v>
      </c>
      <c r="J24" s="6">
        <f>+[17]Main!$J$3</f>
        <v>470.117188</v>
      </c>
      <c r="K24" s="9">
        <v>44917</v>
      </c>
    </row>
    <row r="25" spans="1:11" x14ac:dyDescent="0.2">
      <c r="A25" t="s">
        <v>342</v>
      </c>
      <c r="B25" s="1">
        <f>B24+1</f>
        <v>18</v>
      </c>
      <c r="C25" s="5" t="s">
        <v>52</v>
      </c>
      <c r="D25" s="1" t="s">
        <v>53</v>
      </c>
      <c r="E25" s="7">
        <v>799</v>
      </c>
      <c r="F25" s="6">
        <f>+E25*J25</f>
        <v>87351.100068</v>
      </c>
      <c r="G25" s="6">
        <f>+[18]Main!$J$5-[18]Main!$J$6</f>
        <v>12353.3</v>
      </c>
      <c r="H25" s="6">
        <f>F25-G25</f>
        <v>74997.800067999997</v>
      </c>
      <c r="I25" s="3" t="s">
        <v>536</v>
      </c>
      <c r="J25" s="6">
        <f>+[18]Main!$J$3</f>
        <v>109.325532</v>
      </c>
      <c r="K25" s="9">
        <v>44989</v>
      </c>
    </row>
    <row r="26" spans="1:11" x14ac:dyDescent="0.2">
      <c r="A26" t="s">
        <v>342</v>
      </c>
      <c r="B26" s="1">
        <f>B25+1</f>
        <v>19</v>
      </c>
      <c r="C26" s="5" t="s">
        <v>62</v>
      </c>
      <c r="D26" s="1" t="s">
        <v>63</v>
      </c>
      <c r="E26" s="3">
        <v>13.12</v>
      </c>
      <c r="F26" s="6">
        <f>+E26*2*J26</f>
        <v>40698.04283264</v>
      </c>
      <c r="G26" s="6">
        <f>([19]Main!$K$6-[19]Main!$K$7)/JPY</f>
        <v>-28305.661165656984</v>
      </c>
      <c r="H26" s="6">
        <f>+F26-G26</f>
        <v>69003.703998296987</v>
      </c>
      <c r="I26" s="3" t="s">
        <v>308</v>
      </c>
      <c r="J26" s="6">
        <f>+[19]Main!$K$4</f>
        <v>1550.9924860000001</v>
      </c>
      <c r="K26" s="9">
        <v>44997</v>
      </c>
    </row>
    <row r="27" spans="1:11" x14ac:dyDescent="0.2">
      <c r="A27" t="s">
        <v>342</v>
      </c>
      <c r="B27" s="1">
        <f>+B26</f>
        <v>19</v>
      </c>
      <c r="C27" s="5" t="s">
        <v>62</v>
      </c>
      <c r="D27" s="1" t="s">
        <v>343</v>
      </c>
      <c r="E27" s="17">
        <v>3842</v>
      </c>
      <c r="F27" s="6">
        <f>+E27*J27/JPY</f>
        <v>41493.72001401017</v>
      </c>
      <c r="G27" s="6">
        <f>([19]Main!$K$6-[19]Main!$K$7)/JPY</f>
        <v>-28305.661165656984</v>
      </c>
      <c r="H27" s="6">
        <f>+F27-G27</f>
        <v>69799.381179667151</v>
      </c>
      <c r="I27" s="3" t="s">
        <v>308</v>
      </c>
      <c r="J27" s="6">
        <f>+[19]Main!$K$4</f>
        <v>1550.9924860000001</v>
      </c>
      <c r="K27" s="9">
        <f>K26</f>
        <v>44997</v>
      </c>
    </row>
    <row r="28" spans="1:11" x14ac:dyDescent="0.2">
      <c r="A28" t="s">
        <v>342</v>
      </c>
      <c r="B28" s="1">
        <f>B27+1</f>
        <v>20</v>
      </c>
      <c r="C28" s="5" t="s">
        <v>48</v>
      </c>
      <c r="D28" s="1" t="s">
        <v>49</v>
      </c>
      <c r="E28" s="7">
        <v>293</v>
      </c>
      <c r="F28" s="6">
        <f>+E28*[20]Main!$M$3</f>
        <v>76033.5</v>
      </c>
      <c r="G28" s="6">
        <f>+[20]Main!$M$5-[20]Main!$M$6</f>
        <v>9771</v>
      </c>
      <c r="H28" s="6">
        <f>F28-G28</f>
        <v>66262.5</v>
      </c>
      <c r="I28" s="3" t="s">
        <v>432</v>
      </c>
      <c r="J28" s="6">
        <f>+[20]Main!$M$3</f>
        <v>259.5</v>
      </c>
      <c r="K28" s="9">
        <v>44917</v>
      </c>
    </row>
    <row r="29" spans="1:11" x14ac:dyDescent="0.2">
      <c r="A29" s="1" t="s">
        <v>342</v>
      </c>
      <c r="B29" s="1">
        <f t="shared" ref="B29:B47" si="3">+B28+1</f>
        <v>21</v>
      </c>
      <c r="C29" s="5" t="s">
        <v>84</v>
      </c>
      <c r="D29" s="1" t="s">
        <v>85</v>
      </c>
      <c r="E29" s="17">
        <v>4150</v>
      </c>
      <c r="F29" s="6">
        <f>+E29*J29/JPY</f>
        <v>55397.815479075267</v>
      </c>
      <c r="G29" s="6">
        <f>([21]Main!$M$5-[21]Main!$M$6)</f>
        <v>780.00599999999986</v>
      </c>
      <c r="H29" s="6">
        <f>+F29-G29</f>
        <v>54617.809479075266</v>
      </c>
      <c r="I29" s="3" t="s">
        <v>308</v>
      </c>
      <c r="J29" s="6">
        <f>+[21]Main!$M$3</f>
        <v>1917.031393</v>
      </c>
      <c r="K29" s="9">
        <v>44918</v>
      </c>
    </row>
    <row r="30" spans="1:11" x14ac:dyDescent="0.2">
      <c r="A30" t="s">
        <v>342</v>
      </c>
      <c r="B30" s="1">
        <f t="shared" si="3"/>
        <v>22</v>
      </c>
      <c r="C30" s="14" t="s">
        <v>54</v>
      </c>
      <c r="D30" s="1" t="s">
        <v>55</v>
      </c>
      <c r="E30" s="7">
        <v>184.94</v>
      </c>
      <c r="F30" s="6">
        <f>+E30*J30</f>
        <v>71050.335936860007</v>
      </c>
      <c r="G30" s="6">
        <f>+[22]Main!$L$5-[22]Main!$L$6</f>
        <v>17003</v>
      </c>
      <c r="H30" s="6">
        <f>F30-G30</f>
        <v>54047.335936860007</v>
      </c>
      <c r="I30" s="3" t="s">
        <v>432</v>
      </c>
      <c r="J30" s="6">
        <f>+[22]Main!$L$3</f>
        <v>384.18046900000002</v>
      </c>
      <c r="K30" s="9">
        <v>44937</v>
      </c>
    </row>
    <row r="31" spans="1:11" x14ac:dyDescent="0.2">
      <c r="A31" s="1" t="s">
        <v>342</v>
      </c>
      <c r="B31" s="1">
        <f t="shared" si="3"/>
        <v>23</v>
      </c>
      <c r="C31" s="5" t="s">
        <v>263</v>
      </c>
      <c r="D31" t="s">
        <v>264</v>
      </c>
      <c r="E31" s="20">
        <v>822000</v>
      </c>
      <c r="F31" s="6" cm="1">
        <f t="array" ref="F31">+E31*J31/KRW</f>
        <v>40826.956036287513</v>
      </c>
      <c r="G31" s="6">
        <f>([23]Main!$M$5-[23]Main!$M$6)/KRW*1000</f>
        <v>712.77041172365671</v>
      </c>
      <c r="H31" s="6">
        <f>+F31-G31</f>
        <v>40114.185624563856</v>
      </c>
      <c r="I31" s="3" t="s">
        <v>432</v>
      </c>
      <c r="J31" s="6">
        <f>+[23]Main!$M$3</f>
        <v>71.174000000000007</v>
      </c>
      <c r="K31" s="9">
        <v>44921</v>
      </c>
    </row>
    <row r="32" spans="1:11" x14ac:dyDescent="0.2">
      <c r="A32" t="s">
        <v>342</v>
      </c>
      <c r="B32" s="1">
        <f t="shared" si="3"/>
        <v>24</v>
      </c>
      <c r="C32" s="5" t="s">
        <v>269</v>
      </c>
      <c r="D32" t="s">
        <v>270</v>
      </c>
      <c r="E32" s="7">
        <v>279</v>
      </c>
      <c r="F32" s="6">
        <f>+E32*J32</f>
        <v>40455</v>
      </c>
      <c r="G32" s="6">
        <f>+[24]Main!$J$5-[24]Main!$J$6</f>
        <v>1105</v>
      </c>
      <c r="H32" s="6">
        <f>+F32-G32</f>
        <v>39350</v>
      </c>
      <c r="I32" s="3" t="s">
        <v>432</v>
      </c>
      <c r="J32" s="6">
        <f>+[24]Main!$J$3</f>
        <v>145</v>
      </c>
      <c r="K32" s="9">
        <v>44922</v>
      </c>
    </row>
    <row r="33" spans="1:29" x14ac:dyDescent="0.2">
      <c r="A33" t="s">
        <v>342</v>
      </c>
      <c r="B33" s="1">
        <f t="shared" si="3"/>
        <v>25</v>
      </c>
      <c r="C33" s="5" t="s">
        <v>66</v>
      </c>
      <c r="D33" s="1" t="s">
        <v>67</v>
      </c>
      <c r="E33" s="3">
        <v>45.43</v>
      </c>
      <c r="F33" s="6">
        <f>+E33*J33</f>
        <v>22902.206081370001</v>
      </c>
      <c r="G33" s="6">
        <f>+[25]Main!$K$5-[25]Main!$K$6</f>
        <v>-14827</v>
      </c>
      <c r="H33" s="6">
        <f>+F33-G33</f>
        <v>37729.206081370001</v>
      </c>
      <c r="I33" s="3" t="s">
        <v>432</v>
      </c>
      <c r="J33" s="6">
        <f>+[25]Main!$K$3</f>
        <v>504.12075900000002</v>
      </c>
      <c r="K33" s="9">
        <v>44958</v>
      </c>
    </row>
    <row r="34" spans="1:29" x14ac:dyDescent="0.2">
      <c r="A34" t="s">
        <v>342</v>
      </c>
      <c r="B34" s="1">
        <f t="shared" si="3"/>
        <v>26</v>
      </c>
      <c r="C34" s="14" t="s">
        <v>56</v>
      </c>
      <c r="D34" s="1" t="s">
        <v>57</v>
      </c>
      <c r="E34" s="17">
        <v>3626</v>
      </c>
      <c r="F34" s="6">
        <f>+E34*J34/JPY</f>
        <v>41527.569355420928</v>
      </c>
      <c r="G34" s="6">
        <f>([26]Main!$J$5-[26]Main!$J$6)/JPY</f>
        <v>3809.7416614441886</v>
      </c>
      <c r="H34" s="6">
        <f>+F34-G34</f>
        <v>37717.827693976738</v>
      </c>
      <c r="I34" s="3" t="s">
        <v>308</v>
      </c>
      <c r="J34" s="6">
        <f>+[26]Main!$J$3</f>
        <v>1644.7253820000001</v>
      </c>
      <c r="K34" s="9">
        <v>44889</v>
      </c>
    </row>
    <row r="35" spans="1:29" x14ac:dyDescent="0.2">
      <c r="A35" s="1" t="s">
        <v>342</v>
      </c>
      <c r="B35" s="1">
        <f t="shared" si="3"/>
        <v>27</v>
      </c>
      <c r="C35" s="5" t="s">
        <v>76</v>
      </c>
      <c r="D35" s="1" t="s">
        <v>77</v>
      </c>
      <c r="E35" s="7">
        <v>11</v>
      </c>
      <c r="F35" s="6">
        <f>E35*[27]Main!$M$3</f>
        <v>13164.953549000002</v>
      </c>
      <c r="G35" s="6">
        <f>[27]Main!$M$5-[27]Main!$M$6</f>
        <v>-19342.3</v>
      </c>
      <c r="H35" s="6">
        <f>F35-G35</f>
        <v>32507.253549000001</v>
      </c>
      <c r="I35" s="3" t="s">
        <v>432</v>
      </c>
      <c r="J35" s="6">
        <f>+[27]Main!$M$3</f>
        <v>1196.8139590000001</v>
      </c>
      <c r="K35" s="9">
        <v>44998</v>
      </c>
    </row>
    <row r="36" spans="1:29" x14ac:dyDescent="0.2">
      <c r="A36" s="1" t="s">
        <v>342</v>
      </c>
      <c r="B36" s="1">
        <f t="shared" si="3"/>
        <v>28</v>
      </c>
      <c r="C36" s="5" t="s">
        <v>78</v>
      </c>
      <c r="D36" s="1" t="s">
        <v>79</v>
      </c>
      <c r="E36" s="7">
        <v>35.67</v>
      </c>
      <c r="F36" s="6">
        <f>+E36*J36</f>
        <v>21659.668701269999</v>
      </c>
      <c r="G36" s="6">
        <f>+[28]Main!$L$5-[28]Main!$L$6</f>
        <v>-4644</v>
      </c>
      <c r="H36" s="6">
        <f>+F36-G36</f>
        <v>26303.668701269999</v>
      </c>
      <c r="I36" s="3" t="s">
        <v>536</v>
      </c>
      <c r="J36" s="6">
        <f>+[28]Main!$L$3</f>
        <v>607.22368099999994</v>
      </c>
      <c r="K36" s="9">
        <v>45020</v>
      </c>
      <c r="AC36" s="1">
        <v>1996</v>
      </c>
    </row>
    <row r="37" spans="1:29" x14ac:dyDescent="0.2">
      <c r="A37" s="1" t="s">
        <v>342</v>
      </c>
      <c r="B37" s="1">
        <f t="shared" si="3"/>
        <v>29</v>
      </c>
      <c r="C37" s="5" t="s">
        <v>265</v>
      </c>
      <c r="D37" s="1" t="s">
        <v>266</v>
      </c>
      <c r="E37" s="19">
        <v>48.3</v>
      </c>
      <c r="F37" s="6" cm="1">
        <f t="array" ref="F37">+E37*J37/HKD</f>
        <v>26232.919453643313</v>
      </c>
      <c r="G37" s="6">
        <f>([29]Main!$J$5-[29]Main!$J$6)/HKD</f>
        <v>985.39847133757974</v>
      </c>
      <c r="H37" s="6">
        <f>+F37-G37</f>
        <v>25247.520982305734</v>
      </c>
      <c r="I37" s="3" t="s">
        <v>308</v>
      </c>
      <c r="J37" s="6">
        <f>+[29]Main!$J$3</f>
        <v>4263.5283170000002</v>
      </c>
      <c r="K37" s="9">
        <v>44917</v>
      </c>
      <c r="AC37" s="1">
        <v>2014</v>
      </c>
    </row>
    <row r="38" spans="1:29" x14ac:dyDescent="0.2">
      <c r="A38" t="s">
        <v>342</v>
      </c>
      <c r="B38" s="1">
        <f t="shared" si="3"/>
        <v>30</v>
      </c>
      <c r="C38" s="5" t="s">
        <v>271</v>
      </c>
      <c r="D38" t="s">
        <v>272</v>
      </c>
      <c r="E38" s="18">
        <v>1000</v>
      </c>
      <c r="F38" s="6" cm="1">
        <f t="array" ref="F38">+E38*J38/INR</f>
        <v>29061.175045427015</v>
      </c>
      <c r="H38" s="6">
        <f>F38-G38</f>
        <v>29061.175045427015</v>
      </c>
      <c r="I38" s="3" t="s">
        <v>432</v>
      </c>
      <c r="J38" s="6">
        <f>+[30]Main!$J$3</f>
        <v>2399</v>
      </c>
      <c r="K38" s="9">
        <v>44925</v>
      </c>
    </row>
    <row r="39" spans="1:29" x14ac:dyDescent="0.2">
      <c r="B39" s="1">
        <f t="shared" si="3"/>
        <v>31</v>
      </c>
      <c r="C39" s="5" t="s">
        <v>104</v>
      </c>
      <c r="D39" s="1" t="s">
        <v>105</v>
      </c>
      <c r="E39" s="7">
        <v>113</v>
      </c>
      <c r="F39" s="6">
        <v>25650</v>
      </c>
      <c r="G39" s="6">
        <f>+[31]Main!$L$5-[31]Main!$L$6</f>
        <v>-434.61299999999983</v>
      </c>
      <c r="H39" s="6">
        <f>F39-G39</f>
        <v>26084.613000000001</v>
      </c>
      <c r="I39" s="3" t="s">
        <v>432</v>
      </c>
      <c r="J39" s="6">
        <f>+[31]Main!$L$3</f>
        <v>226.621465</v>
      </c>
      <c r="K39" s="9">
        <v>44925</v>
      </c>
    </row>
    <row r="40" spans="1:29" x14ac:dyDescent="0.2">
      <c r="A40" s="1" t="s">
        <v>342</v>
      </c>
      <c r="B40" s="1">
        <f t="shared" si="3"/>
        <v>32</v>
      </c>
      <c r="C40" s="5" t="s">
        <v>72</v>
      </c>
      <c r="D40" s="1" t="s">
        <v>73</v>
      </c>
      <c r="E40" s="7">
        <v>133.4</v>
      </c>
      <c r="F40" s="6">
        <f>+E40*J40</f>
        <v>24767.697793399999</v>
      </c>
      <c r="G40" s="6">
        <f>+[32]Main!$K$5-[32]Main!$K$6</f>
        <v>1763.7020000000002</v>
      </c>
      <c r="H40" s="6">
        <f>+F40-G40</f>
        <v>23003.995793399998</v>
      </c>
      <c r="I40" s="3" t="s">
        <v>432</v>
      </c>
      <c r="J40" s="6">
        <f>+[32]Main!$K$3</f>
        <v>185.66490099999999</v>
      </c>
      <c r="K40" s="9">
        <v>44919</v>
      </c>
      <c r="L40" s="7">
        <f>+[32]Model!$AO$27</f>
        <v>119.56497461195261</v>
      </c>
      <c r="M40" s="10">
        <f>+L40/E40-1</f>
        <v>-0.10371083499285905</v>
      </c>
      <c r="N40" s="10">
        <f>+[32]Model!$AO$25</f>
        <v>0.03</v>
      </c>
      <c r="O40" s="10">
        <f>+[32]Model!$AO$24</f>
        <v>-0.01</v>
      </c>
      <c r="P40" s="10">
        <f>+[32]Model!$AO$23</f>
        <v>0.08</v>
      </c>
      <c r="AC40" s="1">
        <v>1997</v>
      </c>
    </row>
    <row r="41" spans="1:29" x14ac:dyDescent="0.2">
      <c r="A41" s="1" t="s">
        <v>342</v>
      </c>
      <c r="B41" s="1">
        <f t="shared" si="3"/>
        <v>33</v>
      </c>
      <c r="C41" s="5" t="s">
        <v>82</v>
      </c>
      <c r="D41" s="1" t="s">
        <v>83</v>
      </c>
      <c r="E41" s="17">
        <v>1978</v>
      </c>
      <c r="F41" s="6">
        <f>+E41*J41/JPY</f>
        <v>25103.603606991153</v>
      </c>
      <c r="G41" s="6">
        <f>([33]Main!$K$5-[33]Main!$K$6)/JPY</f>
        <v>1443.3953067335142</v>
      </c>
      <c r="H41" s="6">
        <f>+F41-G41</f>
        <v>23660.20830025764</v>
      </c>
      <c r="I41" s="3" t="s">
        <v>432</v>
      </c>
      <c r="J41" s="6">
        <f>+[33]Main!$K$3</f>
        <v>1822.6130000000001</v>
      </c>
      <c r="K41" s="9">
        <v>44969</v>
      </c>
    </row>
    <row r="42" spans="1:29" x14ac:dyDescent="0.2">
      <c r="B42" s="1">
        <f t="shared" si="3"/>
        <v>34</v>
      </c>
      <c r="C42" s="5" t="s">
        <v>58</v>
      </c>
      <c r="D42" s="1" t="s">
        <v>59</v>
      </c>
      <c r="E42" s="7">
        <v>233</v>
      </c>
      <c r="F42" s="6">
        <f>+E42*J42</f>
        <v>28656.902999999998</v>
      </c>
      <c r="G42" s="6">
        <f>+[34]Main!$L$5-[34]Main!$L$6</f>
        <v>66.870000000000346</v>
      </c>
      <c r="H42" s="6">
        <f t="shared" ref="H42:H51" si="4">F42-G42</f>
        <v>28590.032999999999</v>
      </c>
      <c r="I42" s="3" t="s">
        <v>432</v>
      </c>
      <c r="J42" s="6">
        <f>+[34]Main!$L$3</f>
        <v>122.991</v>
      </c>
      <c r="K42" s="9">
        <v>44930</v>
      </c>
    </row>
    <row r="43" spans="1:29" x14ac:dyDescent="0.2">
      <c r="A43" t="s">
        <v>342</v>
      </c>
      <c r="B43" s="1">
        <f t="shared" si="3"/>
        <v>35</v>
      </c>
      <c r="C43" s="5" t="s">
        <v>60</v>
      </c>
      <c r="D43" s="1" t="s">
        <v>61</v>
      </c>
      <c r="E43" s="3">
        <v>38.93</v>
      </c>
      <c r="F43" s="6">
        <f>+E43*J43*10</f>
        <v>25627.3394826</v>
      </c>
      <c r="G43" s="6">
        <f>([35]Main!$K$7-[35]Main!$K$8)/DKK</f>
        <v>3272.7347284681309</v>
      </c>
      <c r="H43" s="6">
        <f t="shared" si="4"/>
        <v>22354.604754131869</v>
      </c>
      <c r="I43" s="3" t="s">
        <v>432</v>
      </c>
      <c r="J43" s="6">
        <f>+[35]Main!$K$4</f>
        <v>65.829282000000006</v>
      </c>
      <c r="K43" s="9">
        <v>44963</v>
      </c>
      <c r="AC43" s="1">
        <v>1999</v>
      </c>
    </row>
    <row r="44" spans="1:29" x14ac:dyDescent="0.2">
      <c r="A44"/>
      <c r="B44" s="1">
        <f>+B43</f>
        <v>35</v>
      </c>
      <c r="C44" s="5" t="s">
        <v>60</v>
      </c>
      <c r="D44" t="s">
        <v>533</v>
      </c>
      <c r="E44" s="6">
        <v>2703</v>
      </c>
      <c r="F44" s="6">
        <f>+E44*J44/DKK</f>
        <v>24321.894674066076</v>
      </c>
      <c r="G44" s="6">
        <f>([35]Main!$K$7-[35]Main!$K$8)/DKK</f>
        <v>3272.7347284681309</v>
      </c>
      <c r="H44" s="6">
        <f t="shared" si="4"/>
        <v>21049.159945597945</v>
      </c>
      <c r="I44" s="3" t="s">
        <v>432</v>
      </c>
      <c r="J44" s="6">
        <f>+[35]Main!$K$4</f>
        <v>65.829282000000006</v>
      </c>
      <c r="K44" s="9">
        <v>44963</v>
      </c>
      <c r="AC44" s="1">
        <v>1999</v>
      </c>
    </row>
    <row r="45" spans="1:29" x14ac:dyDescent="0.2">
      <c r="B45" s="1">
        <f t="shared" si="3"/>
        <v>36</v>
      </c>
      <c r="C45" s="5" t="s">
        <v>64</v>
      </c>
      <c r="D45" s="1" t="s">
        <v>65</v>
      </c>
      <c r="E45" s="7">
        <v>394</v>
      </c>
      <c r="F45" s="6">
        <f>+E45*J45</f>
        <v>21750.24007</v>
      </c>
      <c r="G45" s="6">
        <f>+[36]Main!$K$5-[36]Main!$K$6</f>
        <v>2385.5</v>
      </c>
      <c r="H45" s="6">
        <f t="shared" si="4"/>
        <v>19364.74007</v>
      </c>
      <c r="I45" s="3" t="s">
        <v>432</v>
      </c>
      <c r="J45" s="6">
        <f>+[36]Main!$K$3</f>
        <v>55.203654999999998</v>
      </c>
      <c r="K45" s="9">
        <v>44900</v>
      </c>
    </row>
    <row r="46" spans="1:29" x14ac:dyDescent="0.2">
      <c r="A46" s="1" t="s">
        <v>342</v>
      </c>
      <c r="B46" s="1">
        <f t="shared" si="3"/>
        <v>37</v>
      </c>
      <c r="C46" s="5" t="s">
        <v>74</v>
      </c>
      <c r="D46" s="1" t="s">
        <v>75</v>
      </c>
      <c r="E46" s="7">
        <v>131</v>
      </c>
      <c r="F46" s="6">
        <f>+E46*J46</f>
        <v>31791.787531000002</v>
      </c>
      <c r="G46" s="6">
        <f>+[37]Main!$K$5-[37]Main!$K$6</f>
        <v>12514</v>
      </c>
      <c r="H46" s="6">
        <f>+F46-G46</f>
        <v>19277.787531000002</v>
      </c>
      <c r="I46" s="3" t="s">
        <v>308</v>
      </c>
      <c r="J46" s="6">
        <f>+[37]Main!$K$3</f>
        <v>242.68540100000001</v>
      </c>
      <c r="K46" s="9">
        <v>44984</v>
      </c>
      <c r="AC46" s="1">
        <v>2008</v>
      </c>
    </row>
    <row r="47" spans="1:29" x14ac:dyDescent="0.2">
      <c r="B47" s="1">
        <f t="shared" si="3"/>
        <v>38</v>
      </c>
      <c r="C47" s="5" t="s">
        <v>80</v>
      </c>
      <c r="D47" s="1" t="s">
        <v>81</v>
      </c>
      <c r="E47" s="7">
        <v>219.94</v>
      </c>
      <c r="F47" s="6">
        <f>+E47*J47</f>
        <v>22833.83547609231</v>
      </c>
      <c r="G47" s="6">
        <f>[38]Main!$L$5-[38]Main!$L$6</f>
        <v>4419.8549999999996</v>
      </c>
      <c r="H47" s="6">
        <f t="shared" si="4"/>
        <v>18413.980476092311</v>
      </c>
      <c r="I47" s="3" t="s">
        <v>432</v>
      </c>
      <c r="J47" s="6">
        <f>+[38]Main!$L$3</f>
        <v>103.8184753846154</v>
      </c>
      <c r="K47" s="9">
        <v>44926</v>
      </c>
    </row>
    <row r="48" spans="1:29" x14ac:dyDescent="0.2">
      <c r="B48" s="1">
        <f t="shared" ref="B48:B104" si="5">B47+1</f>
        <v>39</v>
      </c>
      <c r="C48" s="5" t="s">
        <v>70</v>
      </c>
      <c r="D48" s="1" t="s">
        <v>71</v>
      </c>
      <c r="E48" s="7">
        <v>109</v>
      </c>
      <c r="F48" s="6">
        <f>+E48*J48</f>
        <v>20257.531735</v>
      </c>
      <c r="G48" s="6">
        <f>+[39]Main!$L$5-[39]Main!$L$6</f>
        <v>564</v>
      </c>
      <c r="H48" s="6">
        <f t="shared" si="4"/>
        <v>19693.531735</v>
      </c>
      <c r="I48" s="3" t="s">
        <v>432</v>
      </c>
      <c r="J48" s="6">
        <f>+[39]Main!$L$3</f>
        <v>185.84891500000001</v>
      </c>
      <c r="K48" s="9">
        <v>44937</v>
      </c>
    </row>
    <row r="49" spans="1:29" x14ac:dyDescent="0.2">
      <c r="A49" s="1" t="s">
        <v>342</v>
      </c>
      <c r="B49" s="1">
        <f t="shared" si="5"/>
        <v>40</v>
      </c>
      <c r="C49" s="5" t="s">
        <v>280</v>
      </c>
      <c r="D49" t="s">
        <v>281</v>
      </c>
      <c r="E49" s="17">
        <v>8704</v>
      </c>
      <c r="F49" s="6">
        <f>+E49*J49/JPY</f>
        <v>17379.271527052431</v>
      </c>
      <c r="H49" s="6">
        <f>F49-G49</f>
        <v>17379.271527052431</v>
      </c>
      <c r="I49" s="3" t="s">
        <v>536</v>
      </c>
      <c r="J49" s="6">
        <f>+[40]Main!$K$3</f>
        <v>286.74599999999998</v>
      </c>
      <c r="K49" s="9">
        <v>44982</v>
      </c>
    </row>
    <row r="50" spans="1:29" x14ac:dyDescent="0.2">
      <c r="B50" s="1">
        <f t="shared" si="5"/>
        <v>41</v>
      </c>
      <c r="C50" s="5" t="s">
        <v>86</v>
      </c>
      <c r="D50" s="1" t="s">
        <v>87</v>
      </c>
      <c r="E50" s="7">
        <v>9</v>
      </c>
      <c r="F50" s="6">
        <f>+E50*J50</f>
        <v>6187.9941720000006</v>
      </c>
      <c r="G50" s="6">
        <f>+[41]Main!$L$5-[41]Main!$L$6</f>
        <v>-9380.9</v>
      </c>
      <c r="H50" s="6">
        <f>F50-G50</f>
        <v>15568.894172</v>
      </c>
      <c r="I50" s="3" t="s">
        <v>308</v>
      </c>
      <c r="J50" s="6">
        <f>+[41]Main!$L$3</f>
        <v>687.55490800000007</v>
      </c>
      <c r="K50" s="9">
        <v>44981</v>
      </c>
    </row>
    <row r="51" spans="1:29" x14ac:dyDescent="0.2">
      <c r="B51" s="1">
        <f t="shared" si="5"/>
        <v>42</v>
      </c>
      <c r="C51" s="5" t="s">
        <v>362</v>
      </c>
      <c r="D51" t="s">
        <v>363</v>
      </c>
      <c r="E51" s="20">
        <v>160500</v>
      </c>
      <c r="F51" s="6">
        <f>+E51*J51/KRW</f>
        <v>15766.39224389393</v>
      </c>
      <c r="G51" s="6">
        <f>([42]Main!$J$5-[42]Main!$J$6)/KRW</f>
        <v>-119.46964410327983</v>
      </c>
      <c r="H51" s="6">
        <f t="shared" si="4"/>
        <v>15885.861887997209</v>
      </c>
      <c r="I51" s="3" t="s">
        <v>432</v>
      </c>
      <c r="J51" s="6">
        <f>+[42]Main!$J$3</f>
        <v>140.76785100000001</v>
      </c>
      <c r="K51" s="9">
        <v>44960</v>
      </c>
    </row>
    <row r="52" spans="1:29" x14ac:dyDescent="0.2">
      <c r="B52" s="1">
        <f t="shared" si="5"/>
        <v>43</v>
      </c>
      <c r="C52" s="5" t="s">
        <v>94</v>
      </c>
      <c r="D52" s="1" t="s">
        <v>95</v>
      </c>
      <c r="E52" s="7">
        <v>156</v>
      </c>
      <c r="F52" s="6">
        <f>+E52*J52</f>
        <v>9794.4599999999991</v>
      </c>
      <c r="G52" s="6">
        <f>+[43]Main!$K$5-[43]Main!$K$6</f>
        <v>-4827.4560000000001</v>
      </c>
      <c r="H52" s="6">
        <f>+F52-G52</f>
        <v>14621.915999999999</v>
      </c>
      <c r="I52" s="3" t="s">
        <v>432</v>
      </c>
      <c r="J52" s="6">
        <f>+[43]Main!$K$3</f>
        <v>62.784999999999997</v>
      </c>
      <c r="K52" s="9">
        <v>44914</v>
      </c>
      <c r="L52" s="7">
        <f>+[43]Model!$AL$29</f>
        <v>157.64588492556646</v>
      </c>
      <c r="M52" s="10">
        <f>+L52/E52-1</f>
        <v>1.0550544394656747E-2</v>
      </c>
      <c r="N52" s="10">
        <f>+[43]Model!$AL$26</f>
        <v>0.02</v>
      </c>
      <c r="O52" s="10">
        <f>+[43]Model!$AL$25</f>
        <v>-0.05</v>
      </c>
      <c r="P52" s="10">
        <f>+[43]Model!$AL$27</f>
        <v>0.08</v>
      </c>
    </row>
    <row r="53" spans="1:29" x14ac:dyDescent="0.2">
      <c r="B53" s="1">
        <f t="shared" si="5"/>
        <v>44</v>
      </c>
      <c r="C53" s="5" t="s">
        <v>50</v>
      </c>
      <c r="D53" s="1" t="s">
        <v>51</v>
      </c>
      <c r="E53" s="7">
        <v>77.83</v>
      </c>
      <c r="F53" s="6">
        <f>+E53*J53</f>
        <v>17315.265674440001</v>
      </c>
      <c r="G53" s="6">
        <f>+[44]Main!$K$5-[44]Main!$K$6</f>
        <v>3126.2459999999996</v>
      </c>
      <c r="H53" s="6">
        <f t="shared" ref="H53:H61" si="6">F53-G53</f>
        <v>14189.019674440002</v>
      </c>
      <c r="I53" s="3" t="s">
        <v>432</v>
      </c>
      <c r="J53" s="6">
        <f>+[44]Main!$K$3</f>
        <v>222.47546800000001</v>
      </c>
      <c r="K53" s="9">
        <v>44893</v>
      </c>
    </row>
    <row r="54" spans="1:29" x14ac:dyDescent="0.2">
      <c r="B54" s="1">
        <f t="shared" si="5"/>
        <v>45</v>
      </c>
      <c r="C54" s="5" t="s">
        <v>68</v>
      </c>
      <c r="D54" s="1" t="s">
        <v>69</v>
      </c>
      <c r="E54" s="17">
        <v>4360</v>
      </c>
      <c r="F54" s="6">
        <f>+E54*J54/JPY</f>
        <v>16471.21531676067</v>
      </c>
      <c r="G54" s="6">
        <f>([45]Main!$L$5-[45]Main!$L$6)/JPY</f>
        <v>5560.3648770976943</v>
      </c>
      <c r="H54" s="6">
        <f t="shared" si="6"/>
        <v>10910.850439662976</v>
      </c>
      <c r="I54" s="3" t="s">
        <v>432</v>
      </c>
      <c r="J54" s="6">
        <f>+[45]Main!$L$3</f>
        <v>542.53009899999995</v>
      </c>
      <c r="K54" s="9">
        <v>44930</v>
      </c>
    </row>
    <row r="55" spans="1:29" x14ac:dyDescent="0.2">
      <c r="B55" s="1">
        <f t="shared" si="5"/>
        <v>46</v>
      </c>
      <c r="C55" s="5" t="s">
        <v>90</v>
      </c>
      <c r="D55" s="1" t="s">
        <v>91</v>
      </c>
      <c r="E55" s="7">
        <v>273.75</v>
      </c>
      <c r="F55" s="6">
        <f>+E55*J55</f>
        <v>13057.875</v>
      </c>
      <c r="G55" s="6">
        <f>[46]Main!$K$5-[46]Main!$K$6</f>
        <v>3027</v>
      </c>
      <c r="H55" s="6">
        <f t="shared" si="6"/>
        <v>10030.875</v>
      </c>
      <c r="I55" s="3" t="s">
        <v>432</v>
      </c>
      <c r="J55" s="6">
        <f>+[46]Main!$K$3</f>
        <v>47.7</v>
      </c>
      <c r="K55" s="9">
        <v>44917</v>
      </c>
    </row>
    <row r="56" spans="1:29" x14ac:dyDescent="0.2">
      <c r="B56" s="1">
        <f t="shared" si="5"/>
        <v>47</v>
      </c>
      <c r="C56" s="5" t="s">
        <v>129</v>
      </c>
      <c r="D56" s="1" t="s">
        <v>130</v>
      </c>
      <c r="E56" s="7">
        <v>119</v>
      </c>
      <c r="F56" s="6">
        <f>+E56*J56</f>
        <v>10446.126544000001</v>
      </c>
      <c r="G56" s="6">
        <f>+[47]Main!$L$5-[47]Main!$L$6</f>
        <v>529.71399999999994</v>
      </c>
      <c r="H56" s="6">
        <f>+F56-G56</f>
        <v>9916.4125440000007</v>
      </c>
      <c r="I56" s="3" t="s">
        <v>456</v>
      </c>
      <c r="J56" s="6">
        <f>+[47]Main!$L$3</f>
        <v>87.782576000000006</v>
      </c>
      <c r="K56" s="9">
        <v>44961</v>
      </c>
    </row>
    <row r="57" spans="1:29" x14ac:dyDescent="0.2">
      <c r="B57" s="1">
        <f t="shared" si="5"/>
        <v>48</v>
      </c>
      <c r="C57" s="5" t="s">
        <v>92</v>
      </c>
      <c r="D57" s="1" t="s">
        <v>93</v>
      </c>
      <c r="E57" s="3">
        <v>109.54</v>
      </c>
      <c r="F57" s="6">
        <v>10476.331222340001</v>
      </c>
      <c r="G57" s="6">
        <v>968.3</v>
      </c>
      <c r="H57" s="6">
        <f t="shared" si="6"/>
        <v>9508.0312223400015</v>
      </c>
      <c r="I57" s="3" t="s">
        <v>308</v>
      </c>
      <c r="J57" s="6">
        <v>95.639320999999995</v>
      </c>
      <c r="K57" s="9">
        <v>44929</v>
      </c>
    </row>
    <row r="58" spans="1:29" x14ac:dyDescent="0.2">
      <c r="A58" t="s">
        <v>342</v>
      </c>
      <c r="B58" s="1">
        <f t="shared" si="5"/>
        <v>49</v>
      </c>
      <c r="C58" s="5" t="s">
        <v>421</v>
      </c>
      <c r="D58" t="s">
        <v>422</v>
      </c>
      <c r="E58" s="19">
        <v>14.84</v>
      </c>
      <c r="F58" s="6">
        <f>+E58*J58/HKD</f>
        <v>11195.882170547771</v>
      </c>
      <c r="G58" s="6">
        <f>([48]Main!$J$5-[48]Main!$J$6)/HKD</f>
        <v>2154.8816560509554</v>
      </c>
      <c r="H58" s="6">
        <f t="shared" si="6"/>
        <v>9041.0005144968163</v>
      </c>
      <c r="I58" s="3" t="s">
        <v>308</v>
      </c>
      <c r="J58" s="6">
        <f>+[48]Main!$J$3</f>
        <v>5922.3500700000004</v>
      </c>
      <c r="K58" s="9">
        <v>44926</v>
      </c>
    </row>
    <row r="59" spans="1:29" x14ac:dyDescent="0.2">
      <c r="B59" s="1">
        <f t="shared" si="5"/>
        <v>50</v>
      </c>
      <c r="C59" s="5" t="s">
        <v>374</v>
      </c>
      <c r="D59" t="s">
        <v>375</v>
      </c>
      <c r="E59" s="15">
        <v>38.75</v>
      </c>
      <c r="F59" s="24">
        <f>E59*J59</f>
        <v>8103.5997950000001</v>
      </c>
      <c r="G59" s="6">
        <f>([49]Main!$M$5-[49]Main!$M$6)*EUR</f>
        <v>-749.2414500000001</v>
      </c>
      <c r="H59" s="6">
        <f>+F59-G59</f>
        <v>8852.8412449999996</v>
      </c>
      <c r="I59" s="3" t="s">
        <v>23</v>
      </c>
      <c r="J59" s="6">
        <f>[49]Main!$M$3</f>
        <v>209.125156</v>
      </c>
      <c r="K59" s="9">
        <v>44990</v>
      </c>
      <c r="AC59" s="1">
        <v>1926</v>
      </c>
    </row>
    <row r="60" spans="1:29" x14ac:dyDescent="0.2">
      <c r="B60" s="1">
        <f t="shared" si="5"/>
        <v>51</v>
      </c>
      <c r="C60" s="5" t="s">
        <v>100</v>
      </c>
      <c r="D60" s="1" t="s">
        <v>101</v>
      </c>
      <c r="E60" s="3">
        <v>44.14</v>
      </c>
      <c r="F60" s="6">
        <f>+E60*J60</f>
        <v>5968.3043801199992</v>
      </c>
      <c r="G60" s="6">
        <f>+[50]Main!$M$5-[50]Main!$M$6</f>
        <v>-1238.3869999999999</v>
      </c>
      <c r="H60" s="6">
        <f>+F60-G60</f>
        <v>7206.6913801199989</v>
      </c>
      <c r="I60" s="3" t="s">
        <v>432</v>
      </c>
      <c r="J60" s="6">
        <f>+[50]Main!$M$3</f>
        <v>135.21305799999999</v>
      </c>
      <c r="K60" s="9">
        <v>44963</v>
      </c>
    </row>
    <row r="61" spans="1:29" x14ac:dyDescent="0.2">
      <c r="A61" t="s">
        <v>342</v>
      </c>
      <c r="B61" s="1">
        <f t="shared" si="5"/>
        <v>52</v>
      </c>
      <c r="C61" s="5" t="s">
        <v>419</v>
      </c>
      <c r="D61" t="s">
        <v>420</v>
      </c>
      <c r="E61" s="19">
        <v>4.57</v>
      </c>
      <c r="F61" s="6">
        <f>+E61*J61/HKD</f>
        <v>10862.525383277709</v>
      </c>
      <c r="G61" s="6">
        <f>([51]Main!$K$5-[51]Main!$K$6)/HKD</f>
        <v>3753.9449681528663</v>
      </c>
      <c r="H61" s="6">
        <f t="shared" si="6"/>
        <v>7108.5804151248431</v>
      </c>
      <c r="I61" s="3" t="s">
        <v>308</v>
      </c>
      <c r="J61" s="6">
        <f>+[51]Main!$K$3</f>
        <v>18658.823689000001</v>
      </c>
      <c r="K61" s="9">
        <v>44926</v>
      </c>
    </row>
    <row r="62" spans="1:29" x14ac:dyDescent="0.2">
      <c r="B62" s="1">
        <f t="shared" si="5"/>
        <v>53</v>
      </c>
      <c r="C62" s="5" t="s">
        <v>135</v>
      </c>
      <c r="D62" s="1" t="s">
        <v>136</v>
      </c>
      <c r="E62" s="7">
        <v>57</v>
      </c>
      <c r="F62" s="6">
        <f>E62*J62</f>
        <v>6314.0039999999999</v>
      </c>
      <c r="G62" s="6">
        <f>+[52]Main!$L$5-[52]Main!$L$6</f>
        <v>459.06500000000005</v>
      </c>
      <c r="H62" s="6">
        <f t="shared" ref="H62:H69" si="7">+F62-G62</f>
        <v>5854.9390000000003</v>
      </c>
      <c r="I62" s="3" t="s">
        <v>536</v>
      </c>
      <c r="J62" s="6">
        <f>[52]Main!$L$3</f>
        <v>110.77200000000001</v>
      </c>
      <c r="K62" s="9">
        <v>44990</v>
      </c>
    </row>
    <row r="63" spans="1:29" x14ac:dyDescent="0.2">
      <c r="B63" s="1">
        <f t="shared" si="5"/>
        <v>54</v>
      </c>
      <c r="C63" s="5" t="s">
        <v>139</v>
      </c>
      <c r="D63" s="1" t="s">
        <v>140</v>
      </c>
      <c r="E63" s="7">
        <v>112</v>
      </c>
      <c r="F63" s="6">
        <f>E63*J63</f>
        <v>6253.1348319999997</v>
      </c>
      <c r="G63" s="6">
        <f>[53]Main!$L$5-[53]Main!$L$6</f>
        <v>402.00300000000004</v>
      </c>
      <c r="H63" s="6">
        <f>F63-G63</f>
        <v>5851.131832</v>
      </c>
      <c r="J63" s="6">
        <f>[53]Main!$L$3</f>
        <v>55.831561000000001</v>
      </c>
      <c r="AC63" s="1">
        <v>2007</v>
      </c>
    </row>
    <row r="64" spans="1:29" x14ac:dyDescent="0.2">
      <c r="B64" s="1">
        <f t="shared" si="5"/>
        <v>55</v>
      </c>
      <c r="C64" s="5" t="s">
        <v>303</v>
      </c>
      <c r="D64" t="s">
        <v>304</v>
      </c>
      <c r="E64" s="22">
        <v>1721.48</v>
      </c>
      <c r="F64" s="6">
        <f>+E64*J64/100*GBP</f>
        <v>4492.3742080000002</v>
      </c>
      <c r="G64" s="6">
        <f>+[54]Main!$K$5-[54]Main!$K$6</f>
        <v>-337</v>
      </c>
      <c r="H64" s="6">
        <f t="shared" si="7"/>
        <v>4829.3742080000002</v>
      </c>
      <c r="I64" s="3" t="s">
        <v>23</v>
      </c>
      <c r="J64" s="6">
        <f>+[54]Main!$K$3</f>
        <v>233</v>
      </c>
    </row>
    <row r="65" spans="2:11" x14ac:dyDescent="0.2">
      <c r="B65" s="1">
        <f t="shared" si="5"/>
        <v>56</v>
      </c>
      <c r="C65" s="5" t="s">
        <v>619</v>
      </c>
      <c r="D65" t="s">
        <v>620</v>
      </c>
      <c r="E65" s="7">
        <v>176</v>
      </c>
      <c r="F65" s="6">
        <f>E65*J65</f>
        <v>6074.6458080000002</v>
      </c>
      <c r="G65" s="6">
        <f>[55]Main!$L$5-[55]Main!$L$6</f>
        <v>1124.0440000000001</v>
      </c>
      <c r="H65" s="6">
        <f>F65-G65</f>
        <v>4950.6018080000003</v>
      </c>
      <c r="I65" s="3" t="s">
        <v>536</v>
      </c>
      <c r="J65" s="6">
        <f>[55]Main!$L$3</f>
        <v>34.515033000000003</v>
      </c>
      <c r="K65" s="9">
        <v>45008</v>
      </c>
    </row>
    <row r="66" spans="2:11" x14ac:dyDescent="0.2">
      <c r="B66" s="1">
        <f t="shared" si="5"/>
        <v>57</v>
      </c>
      <c r="C66" s="5" t="s">
        <v>102</v>
      </c>
      <c r="D66" s="1" t="s">
        <v>103</v>
      </c>
      <c r="E66" s="3">
        <v>35.26</v>
      </c>
      <c r="F66" s="6">
        <f>+E66*J66</f>
        <v>5008.6948473599996</v>
      </c>
      <c r="G66" s="6">
        <f>+[56]Main!$L$5-[56]Main!$L$6</f>
        <v>816.24800000000005</v>
      </c>
      <c r="H66" s="6">
        <f t="shared" si="7"/>
        <v>4192.4468473599991</v>
      </c>
      <c r="I66" s="9" t="s">
        <v>432</v>
      </c>
      <c r="J66" s="6">
        <f>+[56]Main!$L$3</f>
        <v>142.05033599999999</v>
      </c>
      <c r="K66" s="9">
        <v>44959</v>
      </c>
    </row>
    <row r="67" spans="2:11" x14ac:dyDescent="0.2">
      <c r="B67" s="1">
        <f t="shared" si="5"/>
        <v>58</v>
      </c>
      <c r="C67" s="5" t="s">
        <v>137</v>
      </c>
      <c r="D67" s="1" t="s">
        <v>138</v>
      </c>
      <c r="E67" s="3">
        <v>28.03</v>
      </c>
      <c r="F67" s="6">
        <f>+J67*E67</f>
        <v>4604.0473282500006</v>
      </c>
      <c r="G67" s="6">
        <f>+[57]Main!$L$5-[57]Main!$L$6</f>
        <v>465.44</v>
      </c>
      <c r="H67" s="6">
        <f t="shared" si="7"/>
        <v>4138.607328250001</v>
      </c>
      <c r="I67" s="3" t="s">
        <v>308</v>
      </c>
      <c r="J67" s="6">
        <f>+[57]Main!$L$3</f>
        <v>164.25427500000001</v>
      </c>
      <c r="K67" s="9">
        <v>44782</v>
      </c>
    </row>
    <row r="68" spans="2:11" x14ac:dyDescent="0.2">
      <c r="B68" s="1">
        <f t="shared" si="5"/>
        <v>59</v>
      </c>
      <c r="C68" s="5" t="s">
        <v>124</v>
      </c>
      <c r="D68" s="1" t="s">
        <v>125</v>
      </c>
      <c r="E68" s="3">
        <v>18.559999999999999</v>
      </c>
      <c r="F68" s="6">
        <f>+E68*J68</f>
        <v>6012.5305600000002</v>
      </c>
      <c r="G68" s="6">
        <f>+[58]Main!$M$5-[58]Main!$M$6</f>
        <v>2065.1990000000001</v>
      </c>
      <c r="H68" s="6">
        <f t="shared" si="7"/>
        <v>3947.3315600000001</v>
      </c>
      <c r="I68" s="3" t="s">
        <v>536</v>
      </c>
      <c r="J68" s="6">
        <f>+[58]Main!$M$3</f>
        <v>323.95100000000002</v>
      </c>
      <c r="K68" s="9">
        <v>44971</v>
      </c>
    </row>
    <row r="69" spans="2:11" x14ac:dyDescent="0.2">
      <c r="B69" s="1">
        <f t="shared" si="5"/>
        <v>60</v>
      </c>
      <c r="C69" s="5" t="s">
        <v>445</v>
      </c>
      <c r="D69" t="s">
        <v>446</v>
      </c>
      <c r="E69" s="7">
        <v>73.790000000000006</v>
      </c>
      <c r="F69" s="6">
        <f>+E69*J69</f>
        <v>3204.4164939800003</v>
      </c>
      <c r="G69" s="6">
        <f>+[59]Main!$L$5-[59]Main!$L$6</f>
        <v>133.33705900000001</v>
      </c>
      <c r="H69" s="6">
        <f t="shared" si="7"/>
        <v>3071.0794349800003</v>
      </c>
      <c r="I69" s="3" t="s">
        <v>432</v>
      </c>
      <c r="J69" s="6">
        <f>+[59]Main!$L$3</f>
        <v>43.426161999999998</v>
      </c>
      <c r="K69" s="9">
        <v>44920</v>
      </c>
    </row>
    <row r="70" spans="2:11" x14ac:dyDescent="0.2">
      <c r="B70" s="1">
        <f t="shared" si="5"/>
        <v>61</v>
      </c>
      <c r="C70" s="1" t="s">
        <v>391</v>
      </c>
      <c r="D70" t="s">
        <v>392</v>
      </c>
    </row>
    <row r="71" spans="2:11" x14ac:dyDescent="0.2">
      <c r="B71" s="1">
        <f>+B70</f>
        <v>61</v>
      </c>
      <c r="C71" s="1" t="s">
        <v>391</v>
      </c>
      <c r="D71" t="s">
        <v>393</v>
      </c>
    </row>
    <row r="72" spans="2:11" x14ac:dyDescent="0.2">
      <c r="B72" s="1">
        <f t="shared" si="5"/>
        <v>62</v>
      </c>
      <c r="C72" t="s">
        <v>277</v>
      </c>
      <c r="D72" t="s">
        <v>277</v>
      </c>
      <c r="E72" s="15">
        <v>73.56</v>
      </c>
    </row>
    <row r="73" spans="2:11" x14ac:dyDescent="0.2">
      <c r="B73" s="1">
        <f t="shared" si="5"/>
        <v>63</v>
      </c>
      <c r="C73" s="1" t="s">
        <v>96</v>
      </c>
      <c r="D73" s="1" t="s">
        <v>97</v>
      </c>
      <c r="E73" s="3">
        <v>7.71</v>
      </c>
      <c r="F73" s="3">
        <v>9880</v>
      </c>
    </row>
    <row r="74" spans="2:11" x14ac:dyDescent="0.2">
      <c r="B74" s="1">
        <f>B99+1</f>
        <v>73</v>
      </c>
      <c r="C74" s="1" t="s">
        <v>120</v>
      </c>
      <c r="D74" s="1" t="s">
        <v>121</v>
      </c>
      <c r="E74" s="3">
        <v>46.23</v>
      </c>
      <c r="F74" s="3">
        <v>7850</v>
      </c>
    </row>
    <row r="75" spans="2:11" x14ac:dyDescent="0.2">
      <c r="B75" s="1">
        <f>B73+1</f>
        <v>64</v>
      </c>
      <c r="C75" t="s">
        <v>378</v>
      </c>
      <c r="D75" t="s">
        <v>379</v>
      </c>
    </row>
    <row r="76" spans="2:11" x14ac:dyDescent="0.2">
      <c r="B76" s="1">
        <f t="shared" si="5"/>
        <v>65</v>
      </c>
      <c r="C76" t="s">
        <v>380</v>
      </c>
      <c r="D76" t="s">
        <v>381</v>
      </c>
    </row>
    <row r="77" spans="2:11" x14ac:dyDescent="0.2">
      <c r="B77" s="1">
        <f t="shared" si="5"/>
        <v>66</v>
      </c>
      <c r="C77" t="s">
        <v>382</v>
      </c>
      <c r="D77" t="s">
        <v>383</v>
      </c>
    </row>
    <row r="78" spans="2:11" x14ac:dyDescent="0.2">
      <c r="B78" s="1">
        <f t="shared" si="5"/>
        <v>67</v>
      </c>
      <c r="C78" t="s">
        <v>376</v>
      </c>
      <c r="D78" t="s">
        <v>377</v>
      </c>
    </row>
    <row r="79" spans="2:11" x14ac:dyDescent="0.2">
      <c r="B79" s="1">
        <f t="shared" si="5"/>
        <v>68</v>
      </c>
      <c r="C79" t="s">
        <v>282</v>
      </c>
      <c r="D79" t="s">
        <v>283</v>
      </c>
    </row>
    <row r="80" spans="2:11" x14ac:dyDescent="0.2">
      <c r="B80" s="1">
        <f t="shared" si="5"/>
        <v>69</v>
      </c>
      <c r="C80" t="s">
        <v>364</v>
      </c>
      <c r="D80" t="s">
        <v>365</v>
      </c>
    </row>
    <row r="81" spans="2:11" x14ac:dyDescent="0.2">
      <c r="B81" s="1">
        <f t="shared" si="5"/>
        <v>70</v>
      </c>
      <c r="C81" t="s">
        <v>368</v>
      </c>
      <c r="D81" t="s">
        <v>369</v>
      </c>
    </row>
    <row r="82" spans="2:11" x14ac:dyDescent="0.2">
      <c r="B82" s="1">
        <f t="shared" si="5"/>
        <v>71</v>
      </c>
      <c r="C82" t="s">
        <v>366</v>
      </c>
      <c r="D82" t="s">
        <v>367</v>
      </c>
    </row>
    <row r="83" spans="2:11" x14ac:dyDescent="0.2">
      <c r="B83" s="1">
        <f t="shared" si="5"/>
        <v>72</v>
      </c>
      <c r="C83" t="s">
        <v>278</v>
      </c>
      <c r="D83" t="s">
        <v>279</v>
      </c>
    </row>
    <row r="84" spans="2:11" x14ac:dyDescent="0.2">
      <c r="B84" s="1">
        <f>B65+1</f>
        <v>57</v>
      </c>
      <c r="C84" t="s">
        <v>621</v>
      </c>
      <c r="D84" t="s">
        <v>622</v>
      </c>
      <c r="E84" s="7">
        <v>43</v>
      </c>
      <c r="F84" s="6">
        <v>2510</v>
      </c>
    </row>
    <row r="85" spans="2:11" x14ac:dyDescent="0.2">
      <c r="B85" s="1">
        <f t="shared" si="5"/>
        <v>58</v>
      </c>
      <c r="C85" t="s">
        <v>275</v>
      </c>
      <c r="D85" t="s">
        <v>276</v>
      </c>
    </row>
    <row r="86" spans="2:11" x14ac:dyDescent="0.2">
      <c r="B86" s="1">
        <f t="shared" si="5"/>
        <v>59</v>
      </c>
      <c r="C86" t="s">
        <v>372</v>
      </c>
      <c r="D86" t="s">
        <v>373</v>
      </c>
    </row>
    <row r="87" spans="2:11" x14ac:dyDescent="0.2">
      <c r="B87" s="1">
        <f t="shared" si="5"/>
        <v>60</v>
      </c>
      <c r="C87" t="s">
        <v>387</v>
      </c>
      <c r="D87" t="s">
        <v>388</v>
      </c>
      <c r="E87" s="7">
        <v>43.5</v>
      </c>
    </row>
    <row r="88" spans="2:11" x14ac:dyDescent="0.2">
      <c r="B88" s="1">
        <f t="shared" si="5"/>
        <v>61</v>
      </c>
      <c r="C88" s="1" t="s">
        <v>106</v>
      </c>
      <c r="D88" s="1" t="s">
        <v>107</v>
      </c>
      <c r="E88" s="3">
        <v>24.78</v>
      </c>
    </row>
    <row r="89" spans="2:11" x14ac:dyDescent="0.2">
      <c r="B89" s="1">
        <f t="shared" si="5"/>
        <v>62</v>
      </c>
      <c r="C89" s="1" t="s">
        <v>108</v>
      </c>
      <c r="D89" s="1" t="s">
        <v>109</v>
      </c>
      <c r="E89" s="3">
        <v>4.72</v>
      </c>
    </row>
    <row r="90" spans="2:11" x14ac:dyDescent="0.2">
      <c r="B90" s="1">
        <f t="shared" si="5"/>
        <v>63</v>
      </c>
      <c r="C90" s="1" t="s">
        <v>110</v>
      </c>
      <c r="D90" s="1" t="s">
        <v>111</v>
      </c>
      <c r="E90" s="3">
        <v>24.53</v>
      </c>
    </row>
    <row r="91" spans="2:11" x14ac:dyDescent="0.2">
      <c r="B91" s="1">
        <f t="shared" si="5"/>
        <v>64</v>
      </c>
      <c r="C91" t="s">
        <v>617</v>
      </c>
      <c r="D91" t="s">
        <v>618</v>
      </c>
    </row>
    <row r="92" spans="2:11" x14ac:dyDescent="0.2">
      <c r="B92" s="1">
        <f t="shared" si="5"/>
        <v>65</v>
      </c>
      <c r="C92" s="1" t="s">
        <v>112</v>
      </c>
      <c r="D92" s="1" t="s">
        <v>113</v>
      </c>
      <c r="E92" s="3">
        <v>23.02</v>
      </c>
      <c r="F92" s="6">
        <v>1690</v>
      </c>
    </row>
    <row r="93" spans="2:11" x14ac:dyDescent="0.2">
      <c r="B93" s="1">
        <f t="shared" si="5"/>
        <v>66</v>
      </c>
      <c r="C93" t="s">
        <v>531</v>
      </c>
      <c r="D93" t="s">
        <v>532</v>
      </c>
      <c r="E93" s="3">
        <v>17.37</v>
      </c>
      <c r="F93" s="6">
        <v>563</v>
      </c>
    </row>
    <row r="94" spans="2:11" x14ac:dyDescent="0.2">
      <c r="B94" s="1">
        <f t="shared" si="5"/>
        <v>67</v>
      </c>
      <c r="C94" s="5" t="s">
        <v>114</v>
      </c>
      <c r="D94" s="1" t="s">
        <v>115</v>
      </c>
      <c r="E94" s="3">
        <v>29.12</v>
      </c>
      <c r="F94" s="6">
        <f>+E94*J94</f>
        <v>3086.8866246400003</v>
      </c>
      <c r="G94" s="6">
        <f>+[60]Main!$L$5-[60]Main!$L$6</f>
        <v>482.26800000000003</v>
      </c>
      <c r="H94" s="6">
        <f>+F94-G94</f>
        <v>2604.6186246400002</v>
      </c>
      <c r="I94" s="3" t="s">
        <v>432</v>
      </c>
      <c r="J94" s="6">
        <f>+[60]Main!$L$3</f>
        <v>106.00572200000001</v>
      </c>
      <c r="K94" s="9">
        <v>44963</v>
      </c>
    </row>
    <row r="95" spans="2:11" x14ac:dyDescent="0.2">
      <c r="B95" s="1">
        <f t="shared" si="5"/>
        <v>68</v>
      </c>
      <c r="C95" s="5" t="s">
        <v>122</v>
      </c>
      <c r="D95" s="1" t="s">
        <v>123</v>
      </c>
      <c r="E95" s="7">
        <v>47</v>
      </c>
      <c r="F95" s="6">
        <f>E95*J95</f>
        <v>3696.3939130000003</v>
      </c>
      <c r="G95" s="6">
        <f>[61]Main!$N$5-[61]Main!$N$6</f>
        <v>1868.4480000000001</v>
      </c>
      <c r="H95" s="6">
        <f>+F95-G95</f>
        <v>1827.9459130000002</v>
      </c>
      <c r="I95" s="3" t="s">
        <v>536</v>
      </c>
      <c r="J95" s="6">
        <f>[61]Main!$N$3</f>
        <v>78.646679000000006</v>
      </c>
      <c r="K95" s="9">
        <v>44994</v>
      </c>
    </row>
    <row r="96" spans="2:11" x14ac:dyDescent="0.2">
      <c r="B96" s="1">
        <f t="shared" si="5"/>
        <v>69</v>
      </c>
      <c r="C96" s="5" t="s">
        <v>98</v>
      </c>
      <c r="D96" s="1" t="s">
        <v>99</v>
      </c>
      <c r="E96" s="3">
        <v>20.34</v>
      </c>
      <c r="F96" s="6">
        <f>+E96*J96</f>
        <v>1539.4211638199999</v>
      </c>
      <c r="G96" s="6">
        <f>+[62]Main!$M$5-[62]Main!$M$6</f>
        <v>306.53399999999999</v>
      </c>
      <c r="H96" s="6">
        <f>+F96-G96</f>
        <v>1232.8871638199998</v>
      </c>
      <c r="I96" s="3" t="s">
        <v>432</v>
      </c>
      <c r="J96" s="6">
        <f>+[62]Main!$M$3</f>
        <v>75.684422999999995</v>
      </c>
      <c r="K96" s="9">
        <v>44963</v>
      </c>
    </row>
    <row r="97" spans="2:29" x14ac:dyDescent="0.2">
      <c r="B97" s="1">
        <f t="shared" si="5"/>
        <v>70</v>
      </c>
      <c r="C97" t="s">
        <v>451</v>
      </c>
      <c r="D97" s="23" t="s">
        <v>452</v>
      </c>
      <c r="E97" s="3">
        <v>27.98</v>
      </c>
      <c r="F97" s="6" cm="1">
        <f t="array" ref="F97">40290/CNY</f>
        <v>5951.2555391432797</v>
      </c>
    </row>
    <row r="98" spans="2:29" x14ac:dyDescent="0.2">
      <c r="B98" s="1">
        <f t="shared" si="5"/>
        <v>71</v>
      </c>
      <c r="C98" s="1" t="s">
        <v>116</v>
      </c>
      <c r="D98" s="1" t="s">
        <v>117</v>
      </c>
      <c r="E98" s="3">
        <v>33.17</v>
      </c>
    </row>
    <row r="99" spans="2:29" x14ac:dyDescent="0.2">
      <c r="B99" s="1">
        <f t="shared" si="5"/>
        <v>72</v>
      </c>
      <c r="C99" s="1" t="s">
        <v>118</v>
      </c>
      <c r="D99" s="1" t="s">
        <v>119</v>
      </c>
      <c r="E99" s="3">
        <v>53.21</v>
      </c>
    </row>
    <row r="100" spans="2:29" x14ac:dyDescent="0.2">
      <c r="B100" s="1">
        <f>B74+1</f>
        <v>74</v>
      </c>
      <c r="C100" s="1" t="s">
        <v>127</v>
      </c>
      <c r="D100" s="1" t="s">
        <v>128</v>
      </c>
      <c r="E100" s="3">
        <v>19.510000000000002</v>
      </c>
      <c r="F100" s="3">
        <v>3220</v>
      </c>
    </row>
    <row r="101" spans="2:29" x14ac:dyDescent="0.2">
      <c r="B101" s="1">
        <f t="shared" si="5"/>
        <v>75</v>
      </c>
      <c r="C101" s="1" t="s">
        <v>131</v>
      </c>
      <c r="D101" s="1" t="s">
        <v>132</v>
      </c>
      <c r="E101" s="3">
        <v>54.94</v>
      </c>
      <c r="F101" s="3">
        <v>4170</v>
      </c>
    </row>
    <row r="102" spans="2:29" x14ac:dyDescent="0.2">
      <c r="B102" s="1">
        <f t="shared" si="5"/>
        <v>76</v>
      </c>
      <c r="C102" s="1" t="s">
        <v>133</v>
      </c>
      <c r="D102" s="1" t="s">
        <v>134</v>
      </c>
      <c r="E102" s="3">
        <v>38.840000000000003</v>
      </c>
    </row>
    <row r="103" spans="2:29" x14ac:dyDescent="0.2">
      <c r="B103" s="1">
        <f>B63+1</f>
        <v>55</v>
      </c>
      <c r="C103" s="1" t="s">
        <v>141</v>
      </c>
      <c r="D103" s="1" t="s">
        <v>142</v>
      </c>
      <c r="E103" s="3">
        <v>60.72</v>
      </c>
    </row>
    <row r="104" spans="2:29" x14ac:dyDescent="0.2">
      <c r="B104" s="1">
        <f t="shared" si="5"/>
        <v>56</v>
      </c>
      <c r="C104" s="1" t="s">
        <v>143</v>
      </c>
      <c r="D104" s="1" t="s">
        <v>144</v>
      </c>
      <c r="E104" s="7">
        <v>12.2</v>
      </c>
    </row>
    <row r="105" spans="2:29" x14ac:dyDescent="0.2">
      <c r="B105" s="1">
        <f t="shared" ref="B105:B173" si="8">B104+1</f>
        <v>57</v>
      </c>
      <c r="C105" s="1" t="s">
        <v>145</v>
      </c>
      <c r="D105" s="1" t="s">
        <v>146</v>
      </c>
      <c r="E105" s="3">
        <v>2.37</v>
      </c>
    </row>
    <row r="106" spans="2:29" x14ac:dyDescent="0.2">
      <c r="B106" s="1">
        <f t="shared" si="8"/>
        <v>58</v>
      </c>
      <c r="C106" t="s">
        <v>314</v>
      </c>
      <c r="D106" t="s">
        <v>315</v>
      </c>
      <c r="E106" s="3">
        <v>4.26</v>
      </c>
      <c r="AC106" s="1">
        <v>2011</v>
      </c>
    </row>
    <row r="107" spans="2:29" x14ac:dyDescent="0.2">
      <c r="B107" s="1">
        <f t="shared" si="8"/>
        <v>59</v>
      </c>
      <c r="C107" s="1" t="s">
        <v>149</v>
      </c>
      <c r="D107" s="1" t="s">
        <v>150</v>
      </c>
      <c r="E107" s="3">
        <v>23.92</v>
      </c>
    </row>
    <row r="108" spans="2:29" x14ac:dyDescent="0.2">
      <c r="B108" s="1">
        <f t="shared" si="8"/>
        <v>60</v>
      </c>
      <c r="C108" s="1" t="s">
        <v>151</v>
      </c>
      <c r="D108" s="1" t="s">
        <v>152</v>
      </c>
      <c r="E108" s="3">
        <v>53.29</v>
      </c>
    </row>
    <row r="109" spans="2:29" x14ac:dyDescent="0.2">
      <c r="B109" s="1">
        <f t="shared" si="8"/>
        <v>61</v>
      </c>
      <c r="C109" s="1" t="s">
        <v>167</v>
      </c>
      <c r="D109" s="1" t="s">
        <v>168</v>
      </c>
      <c r="E109" s="7">
        <v>11.53</v>
      </c>
      <c r="F109" s="6">
        <v>3240</v>
      </c>
    </row>
    <row r="110" spans="2:29" x14ac:dyDescent="0.2">
      <c r="B110" s="1">
        <f t="shared" si="8"/>
        <v>62</v>
      </c>
      <c r="C110" s="1" t="s">
        <v>169</v>
      </c>
      <c r="D110" s="1" t="s">
        <v>170</v>
      </c>
      <c r="E110" s="3">
        <v>55.33</v>
      </c>
      <c r="F110" s="6">
        <v>3280</v>
      </c>
    </row>
    <row r="111" spans="2:29" x14ac:dyDescent="0.2">
      <c r="B111" s="1">
        <f t="shared" si="8"/>
        <v>63</v>
      </c>
      <c r="C111" s="1" t="s">
        <v>155</v>
      </c>
      <c r="D111" s="1" t="s">
        <v>156</v>
      </c>
      <c r="E111" s="3">
        <v>41.92</v>
      </c>
      <c r="F111" s="6">
        <v>2510</v>
      </c>
    </row>
    <row r="112" spans="2:29" x14ac:dyDescent="0.2">
      <c r="B112" s="1">
        <f t="shared" si="8"/>
        <v>64</v>
      </c>
      <c r="C112" s="1" t="s">
        <v>157</v>
      </c>
      <c r="D112" s="1" t="s">
        <v>158</v>
      </c>
      <c r="E112" s="3">
        <v>29.49</v>
      </c>
      <c r="F112" s="6">
        <v>2880</v>
      </c>
    </row>
    <row r="113" spans="2:11" x14ac:dyDescent="0.2">
      <c r="B113" s="1">
        <f t="shared" si="8"/>
        <v>65</v>
      </c>
      <c r="C113" s="5" t="s">
        <v>147</v>
      </c>
      <c r="D113" s="1" t="s">
        <v>148</v>
      </c>
      <c r="E113" s="3">
        <v>42.98</v>
      </c>
      <c r="F113" s="6">
        <f>+E113*J113</f>
        <v>3665.5079962199993</v>
      </c>
      <c r="G113" s="6">
        <f>+[63]Main!$J$5-[63]Main!$J$6</f>
        <v>1178.829</v>
      </c>
      <c r="H113" s="6">
        <f>+F113-G113</f>
        <v>2486.6789962199991</v>
      </c>
      <c r="I113" s="3" t="s">
        <v>456</v>
      </c>
      <c r="J113" s="6">
        <f>+[63]Main!$J$3</f>
        <v>85.284038999999993</v>
      </c>
      <c r="K113" s="9">
        <v>44955</v>
      </c>
    </row>
    <row r="114" spans="2:11" x14ac:dyDescent="0.2">
      <c r="B114" s="1">
        <f t="shared" si="8"/>
        <v>66</v>
      </c>
      <c r="C114" s="5" t="s">
        <v>161</v>
      </c>
      <c r="D114" s="1" t="s">
        <v>162</v>
      </c>
      <c r="E114" s="7">
        <v>46.19</v>
      </c>
      <c r="F114" s="6">
        <f>+E114*J114</f>
        <v>3249.6786968599999</v>
      </c>
      <c r="G114" s="6">
        <f>+[64]Main!$K$5-[64]Main!$K$6</f>
        <v>1178.8610000000001</v>
      </c>
      <c r="H114" s="6">
        <f>+F114-G114</f>
        <v>2070.8176968600001</v>
      </c>
      <c r="I114" s="3" t="s">
        <v>308</v>
      </c>
      <c r="J114" s="6">
        <f>+[64]Main!$K$3</f>
        <v>70.354594000000006</v>
      </c>
      <c r="K114" s="9">
        <v>44827</v>
      </c>
    </row>
    <row r="115" spans="2:11" x14ac:dyDescent="0.2">
      <c r="B115" s="1">
        <f t="shared" si="8"/>
        <v>67</v>
      </c>
      <c r="C115" s="5" t="s">
        <v>159</v>
      </c>
      <c r="D115" s="1" t="s">
        <v>160</v>
      </c>
      <c r="E115" s="3">
        <v>9.18</v>
      </c>
      <c r="F115" s="6">
        <f>+E115*[65]Main!$N$3</f>
        <v>2859.4049160599998</v>
      </c>
      <c r="G115" s="6">
        <f>+[65]Main!$N$5-[65]Main!$N$6</f>
        <v>869.93499999999995</v>
      </c>
      <c r="H115" s="6">
        <f>+F115-G115</f>
        <v>1989.4699160599998</v>
      </c>
      <c r="I115" s="3" t="s">
        <v>16</v>
      </c>
    </row>
    <row r="116" spans="2:11" x14ac:dyDescent="0.2">
      <c r="B116" s="1">
        <f>B128+1</f>
        <v>81</v>
      </c>
      <c r="C116" s="5" t="s">
        <v>185</v>
      </c>
      <c r="D116" s="1" t="s">
        <v>186</v>
      </c>
      <c r="E116" s="7">
        <v>43</v>
      </c>
      <c r="F116" s="6">
        <f>E116*J116</f>
        <v>2567.8571440000001</v>
      </c>
      <c r="G116" s="6">
        <f>[66]Main!$K$5-[66]Main!$K$6</f>
        <v>1272.4940000000001</v>
      </c>
      <c r="H116" s="6">
        <f>F116-G116</f>
        <v>1295.3631439999999</v>
      </c>
      <c r="I116" s="3" t="s">
        <v>536</v>
      </c>
      <c r="J116" s="6">
        <f>[66]Main!$K$3</f>
        <v>59.717607999999998</v>
      </c>
      <c r="K116" s="9">
        <v>44999</v>
      </c>
    </row>
    <row r="117" spans="2:11" x14ac:dyDescent="0.2">
      <c r="B117" s="1">
        <f>B115+1</f>
        <v>68</v>
      </c>
      <c r="C117" s="5" t="s">
        <v>385</v>
      </c>
      <c r="D117" t="s">
        <v>386</v>
      </c>
      <c r="E117" s="3">
        <v>24.73</v>
      </c>
      <c r="F117" s="6">
        <f>+E117*J117</f>
        <v>1436.0261408599999</v>
      </c>
      <c r="G117" s="6">
        <f>+[67]Main!$J$5-[67]Main!$J$6</f>
        <v>566.44900000000007</v>
      </c>
      <c r="H117" s="6">
        <f>+F117-G117</f>
        <v>869.57714085999987</v>
      </c>
      <c r="I117" s="3" t="s">
        <v>308</v>
      </c>
      <c r="J117" s="6">
        <f>+[67]Main!$J$3</f>
        <v>58.068182</v>
      </c>
      <c r="K117" s="9">
        <v>44824</v>
      </c>
    </row>
    <row r="118" spans="2:11" x14ac:dyDescent="0.2">
      <c r="B118" s="1">
        <f t="shared" si="8"/>
        <v>69</v>
      </c>
      <c r="C118" s="5" t="s">
        <v>358</v>
      </c>
      <c r="D118" t="s">
        <v>359</v>
      </c>
      <c r="E118" s="3">
        <v>3.42</v>
      </c>
      <c r="F118" s="6">
        <f>+E118*J118</f>
        <v>2379.9056977800001</v>
      </c>
      <c r="G118" s="6">
        <f>+[68]Main!$K$5-[68]Main!$K$6</f>
        <v>1840.732</v>
      </c>
      <c r="H118" s="6">
        <f>+F118-G118</f>
        <v>539.17369778000011</v>
      </c>
      <c r="I118" s="3" t="s">
        <v>308</v>
      </c>
      <c r="J118" s="6">
        <f>+[68]Main!$K$3</f>
        <v>695.87885900000003</v>
      </c>
      <c r="K118" s="9">
        <v>44816</v>
      </c>
    </row>
    <row r="119" spans="2:11" x14ac:dyDescent="0.2">
      <c r="B119" s="1">
        <f t="shared" si="8"/>
        <v>70</v>
      </c>
      <c r="C119" s="1" t="s">
        <v>165</v>
      </c>
      <c r="D119" s="1" t="s">
        <v>166</v>
      </c>
      <c r="E119" s="3">
        <v>6.2</v>
      </c>
      <c r="F119" s="6">
        <v>2230</v>
      </c>
    </row>
    <row r="120" spans="2:11" x14ac:dyDescent="0.2">
      <c r="B120" s="1">
        <f t="shared" si="8"/>
        <v>71</v>
      </c>
      <c r="C120" s="1" t="s">
        <v>542</v>
      </c>
      <c r="D120" t="s">
        <v>126</v>
      </c>
      <c r="F120" s="6"/>
    </row>
    <row r="121" spans="2:11" x14ac:dyDescent="0.2">
      <c r="B121" s="1">
        <f t="shared" si="8"/>
        <v>72</v>
      </c>
      <c r="C121" s="1" t="s">
        <v>177</v>
      </c>
      <c r="D121" s="1" t="s">
        <v>178</v>
      </c>
      <c r="E121" s="7">
        <v>20.010000000000002</v>
      </c>
      <c r="F121" s="6">
        <v>2150</v>
      </c>
    </row>
    <row r="122" spans="2:11" x14ac:dyDescent="0.2">
      <c r="B122" s="25">
        <f t="shared" si="8"/>
        <v>73</v>
      </c>
      <c r="C122" s="25" t="s">
        <v>527</v>
      </c>
      <c r="D122" s="25" t="s">
        <v>528</v>
      </c>
      <c r="E122" s="7">
        <v>23.01</v>
      </c>
      <c r="F122" s="6">
        <v>2080</v>
      </c>
    </row>
    <row r="123" spans="2:11" x14ac:dyDescent="0.2">
      <c r="B123" s="1">
        <f t="shared" si="8"/>
        <v>74</v>
      </c>
      <c r="C123" s="1" t="s">
        <v>525</v>
      </c>
      <c r="D123" t="s">
        <v>526</v>
      </c>
      <c r="E123" s="7">
        <v>14.79</v>
      </c>
      <c r="F123" s="6">
        <v>2160</v>
      </c>
    </row>
    <row r="124" spans="2:11" x14ac:dyDescent="0.2">
      <c r="B124" s="1">
        <f>B152+1</f>
        <v>76</v>
      </c>
      <c r="C124" s="1" t="s">
        <v>179</v>
      </c>
      <c r="D124" s="1" t="s">
        <v>180</v>
      </c>
      <c r="E124" s="3">
        <v>19.010000000000002</v>
      </c>
      <c r="F124" s="6">
        <v>2580</v>
      </c>
    </row>
    <row r="125" spans="2:11" x14ac:dyDescent="0.2">
      <c r="B125" s="1">
        <f t="shared" si="8"/>
        <v>77</v>
      </c>
      <c r="C125" t="s">
        <v>351</v>
      </c>
      <c r="D125" t="s">
        <v>352</v>
      </c>
      <c r="E125" s="7">
        <v>14.86</v>
      </c>
      <c r="F125" s="6">
        <v>2880</v>
      </c>
    </row>
    <row r="126" spans="2:11" x14ac:dyDescent="0.2">
      <c r="B126" s="1">
        <f t="shared" si="8"/>
        <v>78</v>
      </c>
      <c r="C126" s="1" t="s">
        <v>208</v>
      </c>
      <c r="D126" s="1" t="s">
        <v>209</v>
      </c>
      <c r="E126" s="7">
        <v>57.1</v>
      </c>
      <c r="F126" s="6">
        <v>2590</v>
      </c>
    </row>
    <row r="127" spans="2:11" x14ac:dyDescent="0.2">
      <c r="B127" s="1">
        <f t="shared" si="8"/>
        <v>79</v>
      </c>
      <c r="C127" s="1" t="s">
        <v>183</v>
      </c>
      <c r="D127" s="1" t="s">
        <v>184</v>
      </c>
      <c r="E127" s="3">
        <v>48.73</v>
      </c>
      <c r="F127" s="6">
        <v>2540</v>
      </c>
    </row>
    <row r="128" spans="2:11" x14ac:dyDescent="0.2">
      <c r="B128" s="1">
        <f t="shared" si="8"/>
        <v>80</v>
      </c>
      <c r="C128" s="1" t="s">
        <v>196</v>
      </c>
      <c r="D128" s="1" t="s">
        <v>197</v>
      </c>
      <c r="E128" s="3">
        <v>37.96</v>
      </c>
      <c r="F128" s="6">
        <v>2360</v>
      </c>
    </row>
    <row r="129" spans="2:6" x14ac:dyDescent="0.2">
      <c r="B129" s="1">
        <f>B116+1</f>
        <v>82</v>
      </c>
      <c r="C129" s="1" t="s">
        <v>299</v>
      </c>
      <c r="D129" s="1" t="s">
        <v>189</v>
      </c>
      <c r="E129" s="3">
        <v>10.85</v>
      </c>
      <c r="F129" s="6">
        <v>2020</v>
      </c>
    </row>
    <row r="130" spans="2:6" x14ac:dyDescent="0.2">
      <c r="B130" s="1">
        <f t="shared" si="8"/>
        <v>83</v>
      </c>
      <c r="C130" s="1" t="s">
        <v>218</v>
      </c>
      <c r="D130" s="1" t="s">
        <v>219</v>
      </c>
      <c r="E130" s="3">
        <v>3.17</v>
      </c>
      <c r="F130" s="6">
        <v>2010</v>
      </c>
    </row>
    <row r="131" spans="2:6" x14ac:dyDescent="0.2">
      <c r="B131" s="1">
        <f t="shared" si="8"/>
        <v>84</v>
      </c>
      <c r="C131" s="1" t="s">
        <v>216</v>
      </c>
      <c r="D131" s="1" t="s">
        <v>217</v>
      </c>
      <c r="E131" s="3">
        <v>36.86</v>
      </c>
      <c r="F131" s="6">
        <v>1990</v>
      </c>
    </row>
    <row r="132" spans="2:6" x14ac:dyDescent="0.2">
      <c r="B132" s="1">
        <f t="shared" si="8"/>
        <v>85</v>
      </c>
      <c r="C132" s="1" t="s">
        <v>204</v>
      </c>
      <c r="D132" s="1" t="s">
        <v>205</v>
      </c>
      <c r="E132" s="7">
        <v>76.78</v>
      </c>
      <c r="F132" s="6">
        <v>1970</v>
      </c>
    </row>
    <row r="133" spans="2:6" x14ac:dyDescent="0.2">
      <c r="B133" s="1">
        <f t="shared" si="8"/>
        <v>86</v>
      </c>
      <c r="C133" s="1" t="s">
        <v>222</v>
      </c>
      <c r="D133" s="1" t="s">
        <v>223</v>
      </c>
      <c r="E133" s="3">
        <v>18.309999999999999</v>
      </c>
      <c r="F133" s="6">
        <v>1930</v>
      </c>
    </row>
    <row r="134" spans="2:6" x14ac:dyDescent="0.2">
      <c r="B134" s="1">
        <f t="shared" si="8"/>
        <v>87</v>
      </c>
      <c r="C134" s="1" t="s">
        <v>192</v>
      </c>
      <c r="D134" s="1" t="s">
        <v>193</v>
      </c>
      <c r="E134" s="7">
        <v>10.1</v>
      </c>
      <c r="F134" s="6">
        <v>1880</v>
      </c>
    </row>
    <row r="135" spans="2:6" x14ac:dyDescent="0.2">
      <c r="B135" s="1">
        <f t="shared" si="8"/>
        <v>88</v>
      </c>
      <c r="C135" s="1" t="s">
        <v>173</v>
      </c>
      <c r="D135" s="1" t="s">
        <v>174</v>
      </c>
      <c r="E135" s="3">
        <v>38.67</v>
      </c>
      <c r="F135" s="6">
        <v>1770</v>
      </c>
    </row>
    <row r="136" spans="2:6" x14ac:dyDescent="0.2">
      <c r="B136" s="1">
        <f t="shared" si="8"/>
        <v>89</v>
      </c>
      <c r="C136" s="1" t="s">
        <v>187</v>
      </c>
      <c r="D136" s="1" t="s">
        <v>188</v>
      </c>
      <c r="E136" s="3">
        <v>41.59</v>
      </c>
      <c r="F136" s="6">
        <v>1730</v>
      </c>
    </row>
    <row r="137" spans="2:6" x14ac:dyDescent="0.2">
      <c r="B137" s="1">
        <f t="shared" si="8"/>
        <v>90</v>
      </c>
      <c r="C137" s="1" t="s">
        <v>181</v>
      </c>
      <c r="D137" s="1" t="s">
        <v>182</v>
      </c>
      <c r="E137" s="3">
        <v>22.22</v>
      </c>
      <c r="F137" s="6">
        <v>1720</v>
      </c>
    </row>
    <row r="138" spans="2:6" x14ac:dyDescent="0.2">
      <c r="B138" s="25">
        <f t="shared" si="8"/>
        <v>91</v>
      </c>
      <c r="C138" s="25" t="s">
        <v>647</v>
      </c>
      <c r="D138" s="25" t="s">
        <v>648</v>
      </c>
      <c r="E138" s="26">
        <v>20.66</v>
      </c>
      <c r="F138" s="27">
        <v>1400</v>
      </c>
    </row>
    <row r="139" spans="2:6" x14ac:dyDescent="0.2">
      <c r="B139" s="1">
        <f t="shared" si="8"/>
        <v>92</v>
      </c>
      <c r="C139" s="1" t="s">
        <v>210</v>
      </c>
      <c r="D139" s="1" t="s">
        <v>211</v>
      </c>
      <c r="E139" s="3">
        <v>28.37</v>
      </c>
      <c r="F139" s="6">
        <v>1370</v>
      </c>
    </row>
    <row r="140" spans="2:6" x14ac:dyDescent="0.2">
      <c r="B140" s="1">
        <f t="shared" si="8"/>
        <v>93</v>
      </c>
      <c r="C140" s="1" t="s">
        <v>212</v>
      </c>
      <c r="D140" s="1" t="s">
        <v>213</v>
      </c>
      <c r="E140" s="7">
        <v>7.13</v>
      </c>
      <c r="F140" s="6">
        <v>1350</v>
      </c>
    </row>
    <row r="141" spans="2:6" x14ac:dyDescent="0.2">
      <c r="B141" s="1">
        <f t="shared" si="8"/>
        <v>94</v>
      </c>
      <c r="C141" s="1" t="s">
        <v>163</v>
      </c>
      <c r="D141" s="1" t="s">
        <v>164</v>
      </c>
      <c r="E141" s="7">
        <v>5.75</v>
      </c>
      <c r="F141" s="6">
        <v>1100</v>
      </c>
    </row>
    <row r="142" spans="2:6" x14ac:dyDescent="0.2">
      <c r="B142" s="1">
        <f t="shared" si="8"/>
        <v>95</v>
      </c>
      <c r="C142" s="1" t="s">
        <v>171</v>
      </c>
      <c r="D142" s="1" t="s">
        <v>172</v>
      </c>
      <c r="E142" s="3">
        <v>2.15</v>
      </c>
      <c r="F142" s="6">
        <v>1050</v>
      </c>
    </row>
    <row r="143" spans="2:6" x14ac:dyDescent="0.2">
      <c r="B143" s="1">
        <f t="shared" si="8"/>
        <v>96</v>
      </c>
      <c r="C143" t="s">
        <v>454</v>
      </c>
      <c r="D143" t="s">
        <v>455</v>
      </c>
      <c r="E143" s="3">
        <v>23.13</v>
      </c>
      <c r="F143" s="6">
        <v>1000</v>
      </c>
    </row>
    <row r="144" spans="2:6" x14ac:dyDescent="0.2">
      <c r="B144" s="1">
        <f t="shared" si="8"/>
        <v>97</v>
      </c>
      <c r="C144" s="1" t="s">
        <v>175</v>
      </c>
      <c r="D144" s="1" t="s">
        <v>176</v>
      </c>
      <c r="E144" s="7">
        <v>21.6</v>
      </c>
      <c r="F144" s="6">
        <v>991</v>
      </c>
    </row>
    <row r="145" spans="2:29" x14ac:dyDescent="0.2">
      <c r="B145" s="1">
        <f t="shared" si="8"/>
        <v>98</v>
      </c>
      <c r="C145" s="1" t="s">
        <v>220</v>
      </c>
      <c r="D145" s="1" t="s">
        <v>221</v>
      </c>
      <c r="E145" s="3">
        <v>9.7799999999999994</v>
      </c>
      <c r="F145" s="6">
        <v>903</v>
      </c>
    </row>
    <row r="146" spans="2:29" x14ac:dyDescent="0.2">
      <c r="B146" s="1">
        <f t="shared" si="8"/>
        <v>99</v>
      </c>
      <c r="C146" s="1" t="s">
        <v>88</v>
      </c>
      <c r="D146" s="1" t="s">
        <v>89</v>
      </c>
      <c r="E146" s="3">
        <v>12.61</v>
      </c>
      <c r="F146" s="6">
        <v>860</v>
      </c>
    </row>
    <row r="147" spans="2:29" x14ac:dyDescent="0.2">
      <c r="B147" s="1">
        <f t="shared" si="8"/>
        <v>100</v>
      </c>
      <c r="C147" s="1" t="s">
        <v>202</v>
      </c>
      <c r="D147" s="1" t="s">
        <v>203</v>
      </c>
      <c r="E147" s="3">
        <v>2.42</v>
      </c>
      <c r="F147" s="6">
        <v>823</v>
      </c>
    </row>
    <row r="148" spans="2:29" x14ac:dyDescent="0.2">
      <c r="B148" s="1">
        <f t="shared" si="8"/>
        <v>101</v>
      </c>
      <c r="C148" s="1" t="s">
        <v>200</v>
      </c>
      <c r="D148" s="1" t="s">
        <v>201</v>
      </c>
      <c r="E148" s="7">
        <v>5.7</v>
      </c>
      <c r="F148" s="6">
        <v>821</v>
      </c>
    </row>
    <row r="149" spans="2:29" x14ac:dyDescent="0.2">
      <c r="B149" s="1">
        <f t="shared" si="8"/>
        <v>102</v>
      </c>
      <c r="C149" t="s">
        <v>311</v>
      </c>
      <c r="D149" t="s">
        <v>312</v>
      </c>
      <c r="E149" s="3">
        <v>3.23</v>
      </c>
      <c r="F149" s="6">
        <v>630</v>
      </c>
    </row>
    <row r="150" spans="2:29" x14ac:dyDescent="0.2">
      <c r="B150" s="1">
        <f t="shared" si="8"/>
        <v>103</v>
      </c>
      <c r="C150" s="1" t="s">
        <v>206</v>
      </c>
      <c r="D150" s="1" t="s">
        <v>207</v>
      </c>
      <c r="E150" s="3">
        <v>4.16</v>
      </c>
      <c r="F150" s="6">
        <v>590</v>
      </c>
    </row>
    <row r="151" spans="2:29" x14ac:dyDescent="0.2">
      <c r="B151" s="1">
        <f t="shared" si="8"/>
        <v>104</v>
      </c>
      <c r="C151" t="s">
        <v>297</v>
      </c>
      <c r="D151" t="s">
        <v>298</v>
      </c>
      <c r="E151" s="3">
        <v>8.4499999999999993</v>
      </c>
      <c r="F151" s="6">
        <f>4406/HKD</f>
        <v>561.27388535031855</v>
      </c>
    </row>
    <row r="152" spans="2:29" x14ac:dyDescent="0.2">
      <c r="B152" s="1">
        <f>B123+1</f>
        <v>75</v>
      </c>
      <c r="C152" t="s">
        <v>529</v>
      </c>
      <c r="D152" t="s">
        <v>530</v>
      </c>
      <c r="E152" s="7">
        <v>3.19</v>
      </c>
      <c r="F152" s="6">
        <v>439</v>
      </c>
    </row>
    <row r="153" spans="2:29" x14ac:dyDescent="0.2">
      <c r="B153" s="1">
        <f>B151+1</f>
        <v>105</v>
      </c>
      <c r="C153" s="1" t="s">
        <v>214</v>
      </c>
      <c r="D153" s="1" t="s">
        <v>215</v>
      </c>
      <c r="E153" s="3">
        <v>10.98</v>
      </c>
      <c r="F153" s="6">
        <v>548</v>
      </c>
    </row>
    <row r="154" spans="2:29" x14ac:dyDescent="0.2">
      <c r="B154" s="1">
        <f t="shared" si="8"/>
        <v>106</v>
      </c>
      <c r="C154" s="5" t="s">
        <v>294</v>
      </c>
      <c r="D154" t="s">
        <v>295</v>
      </c>
      <c r="E154" s="3">
        <v>15.65</v>
      </c>
      <c r="F154" s="6">
        <f>E154*[69]Main!$L$3</f>
        <v>1253.1559559500001</v>
      </c>
      <c r="G154" s="6">
        <f>+[69]Main!$L$5-[69]Main!$L$6</f>
        <v>112.015</v>
      </c>
      <c r="H154" s="6">
        <f>+F154-G154</f>
        <v>1141.14095595</v>
      </c>
      <c r="I154" s="3" t="s">
        <v>16</v>
      </c>
    </row>
    <row r="155" spans="2:29" x14ac:dyDescent="0.2">
      <c r="B155" s="1">
        <f t="shared" si="8"/>
        <v>107</v>
      </c>
      <c r="C155" s="5" t="s">
        <v>230</v>
      </c>
      <c r="D155" s="1" t="s">
        <v>231</v>
      </c>
      <c r="E155" s="3">
        <v>23.75</v>
      </c>
      <c r="F155" s="6">
        <f>+E155*J155</f>
        <v>1355.4004112499999</v>
      </c>
      <c r="G155" s="6">
        <f>+[70]Main!$K$5-[70]Main!$K$6</f>
        <v>449.76100000000002</v>
      </c>
      <c r="H155" s="6">
        <f>+F155-G155</f>
        <v>905.63941124999997</v>
      </c>
      <c r="I155" s="3" t="s">
        <v>432</v>
      </c>
      <c r="J155" s="6">
        <f>+[70]Main!$K$3</f>
        <v>57.069490999999999</v>
      </c>
      <c r="K155" s="9">
        <v>44947</v>
      </c>
      <c r="AC155" s="1">
        <v>2015</v>
      </c>
    </row>
    <row r="156" spans="2:29" x14ac:dyDescent="0.2">
      <c r="B156" s="1">
        <f t="shared" si="8"/>
        <v>108</v>
      </c>
      <c r="C156" s="5" t="s">
        <v>305</v>
      </c>
      <c r="D156" t="s">
        <v>306</v>
      </c>
      <c r="E156" s="3">
        <v>11</v>
      </c>
      <c r="F156" s="6">
        <f>+E156*[71]Main!$L$3</f>
        <v>798.23003700000004</v>
      </c>
      <c r="G156" s="6">
        <f>+[71]Main!$L$5-[71]Main!$L$6</f>
        <v>153.25991400000001</v>
      </c>
      <c r="H156" s="6">
        <f>+F156-G156</f>
        <v>644.97012300000006</v>
      </c>
      <c r="I156" s="3" t="s">
        <v>16</v>
      </c>
      <c r="K156" s="9">
        <v>44771</v>
      </c>
      <c r="L156" s="9"/>
      <c r="M156" s="9"/>
      <c r="N156" s="9"/>
      <c r="O156" s="9"/>
      <c r="P156" s="9"/>
    </row>
    <row r="157" spans="2:29" x14ac:dyDescent="0.2">
      <c r="B157" s="1">
        <f t="shared" si="8"/>
        <v>109</v>
      </c>
      <c r="C157" s="5" t="s">
        <v>198</v>
      </c>
      <c r="D157" s="1" t="s">
        <v>199</v>
      </c>
      <c r="E157" s="3">
        <v>7.36</v>
      </c>
      <c r="F157" s="6">
        <f>+E157*J157</f>
        <v>897.18233664000002</v>
      </c>
      <c r="G157" s="6">
        <f>+[72]Main!$J$5-[72]Main!$J$6</f>
        <v>601.58999999999992</v>
      </c>
      <c r="H157" s="6">
        <f>+F157-G157</f>
        <v>295.5923366400001</v>
      </c>
      <c r="I157" s="3" t="s">
        <v>16</v>
      </c>
      <c r="J157" s="6">
        <f>+[72]Main!$J$3</f>
        <v>121.89977399999999</v>
      </c>
      <c r="K157" s="9">
        <v>44827</v>
      </c>
    </row>
    <row r="158" spans="2:29" x14ac:dyDescent="0.2">
      <c r="B158" s="1">
        <f t="shared" si="8"/>
        <v>110</v>
      </c>
      <c r="C158" t="s">
        <v>309</v>
      </c>
      <c r="D158" t="s">
        <v>310</v>
      </c>
      <c r="E158" s="3">
        <v>12.42</v>
      </c>
      <c r="F158" s="6">
        <v>516</v>
      </c>
    </row>
    <row r="159" spans="2:29" x14ac:dyDescent="0.2">
      <c r="B159" s="1">
        <f t="shared" si="8"/>
        <v>111</v>
      </c>
      <c r="C159" t="s">
        <v>316</v>
      </c>
      <c r="D159" t="s">
        <v>317</v>
      </c>
      <c r="E159" s="3">
        <v>3.26</v>
      </c>
      <c r="F159" s="6">
        <v>272</v>
      </c>
    </row>
    <row r="160" spans="2:29" x14ac:dyDescent="0.2">
      <c r="B160" s="1">
        <f t="shared" si="8"/>
        <v>112</v>
      </c>
      <c r="C160" s="1" t="s">
        <v>224</v>
      </c>
      <c r="D160" s="1" t="s">
        <v>225</v>
      </c>
      <c r="E160" s="3">
        <v>6.34</v>
      </c>
      <c r="F160" s="3">
        <v>547</v>
      </c>
    </row>
    <row r="161" spans="2:29" x14ac:dyDescent="0.2">
      <c r="B161" s="1">
        <f t="shared" si="8"/>
        <v>113</v>
      </c>
      <c r="C161" s="1" t="s">
        <v>226</v>
      </c>
      <c r="D161" s="1" t="s">
        <v>227</v>
      </c>
      <c r="E161" s="7">
        <v>31.39</v>
      </c>
      <c r="F161" s="3">
        <v>1020</v>
      </c>
    </row>
    <row r="162" spans="2:29" x14ac:dyDescent="0.2">
      <c r="B162" s="1">
        <f t="shared" si="8"/>
        <v>114</v>
      </c>
      <c r="C162" s="1" t="s">
        <v>228</v>
      </c>
      <c r="D162" s="1" t="s">
        <v>229</v>
      </c>
      <c r="E162" s="7">
        <v>5.9</v>
      </c>
      <c r="F162" s="3">
        <v>508</v>
      </c>
    </row>
    <row r="163" spans="2:29" x14ac:dyDescent="0.2">
      <c r="B163" s="1">
        <f t="shared" si="8"/>
        <v>115</v>
      </c>
      <c r="C163" s="5" t="s">
        <v>329</v>
      </c>
      <c r="D163" t="s">
        <v>330</v>
      </c>
      <c r="E163" s="3">
        <v>3.23</v>
      </c>
      <c r="F163" s="6">
        <f>+E163*J163</f>
        <v>30.407559149999997</v>
      </c>
      <c r="G163" s="6">
        <f>+[73]Main!$N$5-[73]Main!$N$6</f>
        <v>-7.4640000000000004</v>
      </c>
      <c r="H163" s="6">
        <f>+F163-G163</f>
        <v>37.871559149999996</v>
      </c>
      <c r="I163" s="3" t="s">
        <v>308</v>
      </c>
      <c r="J163" s="6">
        <f>+[73]Main!$N$3</f>
        <v>9.4141049999999993</v>
      </c>
      <c r="K163" s="9">
        <v>44780</v>
      </c>
    </row>
    <row r="164" spans="2:29" x14ac:dyDescent="0.2">
      <c r="B164" s="1">
        <f t="shared" si="8"/>
        <v>116</v>
      </c>
      <c r="C164" s="1" t="s">
        <v>232</v>
      </c>
      <c r="D164" s="1" t="s">
        <v>233</v>
      </c>
      <c r="E164" s="3">
        <v>10.31</v>
      </c>
      <c r="F164" s="3">
        <v>1240</v>
      </c>
    </row>
    <row r="165" spans="2:29" x14ac:dyDescent="0.2">
      <c r="B165" s="1">
        <f t="shared" si="8"/>
        <v>117</v>
      </c>
      <c r="C165" s="1" t="s">
        <v>234</v>
      </c>
      <c r="D165" s="1" t="s">
        <v>235</v>
      </c>
      <c r="E165" s="7">
        <v>1.3</v>
      </c>
      <c r="F165" s="3">
        <v>107</v>
      </c>
    </row>
    <row r="166" spans="2:29" x14ac:dyDescent="0.2">
      <c r="B166" s="1">
        <f t="shared" si="8"/>
        <v>118</v>
      </c>
      <c r="C166" s="1" t="s">
        <v>236</v>
      </c>
      <c r="D166" s="1" t="s">
        <v>237</v>
      </c>
      <c r="E166" s="3">
        <v>3.35</v>
      </c>
      <c r="F166" s="3">
        <v>457</v>
      </c>
    </row>
    <row r="167" spans="2:29" x14ac:dyDescent="0.2">
      <c r="B167" s="1">
        <f t="shared" si="8"/>
        <v>119</v>
      </c>
      <c r="C167" s="5" t="s">
        <v>238</v>
      </c>
      <c r="D167" s="1" t="s">
        <v>239</v>
      </c>
      <c r="E167" s="3">
        <v>7.06</v>
      </c>
      <c r="F167" s="6">
        <f>E167*[74]Main!$J$3</f>
        <v>725.62786605999997</v>
      </c>
      <c r="G167" s="6">
        <f>[74]Main!$J$5-[74]Main!$J$6</f>
        <v>197.79600000000002</v>
      </c>
      <c r="H167" s="8">
        <f>+F167-G167</f>
        <v>527.83186605999992</v>
      </c>
      <c r="I167" s="3" t="s">
        <v>16</v>
      </c>
    </row>
    <row r="168" spans="2:29" x14ac:dyDescent="0.2">
      <c r="B168" s="1">
        <f t="shared" si="8"/>
        <v>120</v>
      </c>
      <c r="C168" s="5" t="s">
        <v>360</v>
      </c>
      <c r="D168" s="1" t="s">
        <v>361</v>
      </c>
      <c r="E168" s="7">
        <v>0.6</v>
      </c>
      <c r="F168" s="6">
        <f>+E168*J168</f>
        <v>486.43225439999998</v>
      </c>
      <c r="G168" s="6">
        <f>+[75]Main!$K$5-[75]Main!$K$6</f>
        <v>-37.984000000000002</v>
      </c>
      <c r="H168" s="8">
        <f t="shared" ref="H168" si="9">+F168-G168</f>
        <v>524.41625439999996</v>
      </c>
      <c r="I168" s="3" t="s">
        <v>308</v>
      </c>
      <c r="J168" s="6">
        <f>+[75]Main!$K$3</f>
        <v>810.72042399999998</v>
      </c>
      <c r="K168" s="9">
        <v>44816</v>
      </c>
      <c r="AC168" s="1">
        <v>2002</v>
      </c>
    </row>
    <row r="169" spans="2:29" x14ac:dyDescent="0.2">
      <c r="B169" s="1">
        <f t="shared" si="8"/>
        <v>121</v>
      </c>
      <c r="C169" s="5" t="s">
        <v>240</v>
      </c>
      <c r="D169" s="1" t="s">
        <v>241</v>
      </c>
      <c r="E169" s="3">
        <v>14.68</v>
      </c>
      <c r="F169" s="6">
        <f>E169*[76]Main!$L$3</f>
        <v>587.26396075999992</v>
      </c>
      <c r="G169" s="6">
        <f>[76]Main!$L$5-[76]Main!$L$6</f>
        <v>277.88299999999998</v>
      </c>
      <c r="H169" s="8">
        <f>+F169-G169</f>
        <v>309.38096075999994</v>
      </c>
      <c r="I169" s="3" t="s">
        <v>16</v>
      </c>
    </row>
    <row r="170" spans="2:29" x14ac:dyDescent="0.2">
      <c r="B170" s="1">
        <f t="shared" si="8"/>
        <v>122</v>
      </c>
      <c r="C170" s="5" t="s">
        <v>242</v>
      </c>
      <c r="D170" s="1" t="s">
        <v>243</v>
      </c>
      <c r="E170" s="3">
        <v>4.8600000000000003</v>
      </c>
      <c r="F170" s="6">
        <f>E170*[77]Main!$J$3</f>
        <v>312.71415336000001</v>
      </c>
      <c r="G170" s="8">
        <f>+[77]Main!$J$5-[77]Main!$J$6</f>
        <v>92.317999999999998</v>
      </c>
      <c r="H170" s="8">
        <f>+F170-G170</f>
        <v>220.39615336000003</v>
      </c>
      <c r="I170" s="3" t="s">
        <v>16</v>
      </c>
    </row>
    <row r="171" spans="2:29" x14ac:dyDescent="0.2">
      <c r="B171" s="1">
        <f t="shared" si="8"/>
        <v>123</v>
      </c>
      <c r="C171" s="5" t="s">
        <v>244</v>
      </c>
      <c r="D171" s="1" t="s">
        <v>245</v>
      </c>
      <c r="E171" s="3">
        <v>7.57</v>
      </c>
      <c r="F171" s="6">
        <f>E171*[78]Main!$M$3</f>
        <v>338.45983246000003</v>
      </c>
      <c r="G171" s="6">
        <f>[78]Main!$M$5-[78]Main!$M$6</f>
        <v>120.43700000000001</v>
      </c>
      <c r="H171" s="8">
        <f t="shared" ref="H171:H176" si="10">+F171-G171</f>
        <v>218.02283246000002</v>
      </c>
      <c r="I171" s="3" t="s">
        <v>16</v>
      </c>
    </row>
    <row r="172" spans="2:29" x14ac:dyDescent="0.2">
      <c r="B172" s="1">
        <f t="shared" si="8"/>
        <v>124</v>
      </c>
      <c r="C172" s="5" t="s">
        <v>246</v>
      </c>
      <c r="D172" s="1" t="s">
        <v>247</v>
      </c>
      <c r="E172" s="7">
        <v>0.7</v>
      </c>
      <c r="F172" s="6">
        <f>E172*[79]Main!$M$3</f>
        <v>128.9392503</v>
      </c>
      <c r="G172" s="6">
        <f>[79]Main!$M$5-[79]Main!$M$6</f>
        <v>-59.50200000000001</v>
      </c>
      <c r="H172" s="8">
        <f t="shared" si="10"/>
        <v>188.44125030000001</v>
      </c>
      <c r="I172" s="3" t="s">
        <v>16</v>
      </c>
    </row>
    <row r="173" spans="2:29" x14ac:dyDescent="0.2">
      <c r="B173" s="1">
        <f t="shared" si="8"/>
        <v>125</v>
      </c>
      <c r="C173" s="5" t="s">
        <v>248</v>
      </c>
      <c r="D173" s="1" t="s">
        <v>249</v>
      </c>
      <c r="E173" s="3">
        <v>1.98</v>
      </c>
      <c r="F173" s="6">
        <f>E173*[80]Main!$N$3</f>
        <v>39.757463459999997</v>
      </c>
      <c r="G173" s="6">
        <f>[80]Main!$N$5-[80]Main!$N$6</f>
        <v>15.942</v>
      </c>
      <c r="H173" s="8">
        <f t="shared" si="10"/>
        <v>23.815463459999997</v>
      </c>
      <c r="I173" s="3" t="s">
        <v>16</v>
      </c>
    </row>
    <row r="174" spans="2:29" x14ac:dyDescent="0.2">
      <c r="B174" s="1">
        <f t="shared" ref="B174:B214" si="11">B173+1</f>
        <v>126</v>
      </c>
      <c r="C174" s="5" t="s">
        <v>250</v>
      </c>
      <c r="D174" s="1" t="s">
        <v>251</v>
      </c>
      <c r="E174" s="3">
        <v>0.62</v>
      </c>
      <c r="F174" s="6">
        <f>E174*[81]Main!$L$3</f>
        <v>30.1881658</v>
      </c>
      <c r="G174" s="6">
        <f>[81]Main!$L$5-[81]Main!$L$6</f>
        <v>13.262999999999998</v>
      </c>
      <c r="H174" s="8">
        <f t="shared" si="10"/>
        <v>16.925165800000002</v>
      </c>
      <c r="I174" s="3" t="s">
        <v>16</v>
      </c>
    </row>
    <row r="175" spans="2:29" x14ac:dyDescent="0.2">
      <c r="B175" s="1">
        <f t="shared" si="11"/>
        <v>127</v>
      </c>
      <c r="C175" s="5" t="s">
        <v>252</v>
      </c>
      <c r="D175" s="1" t="s">
        <v>253</v>
      </c>
      <c r="E175" s="3">
        <v>6.12</v>
      </c>
      <c r="F175" s="6">
        <f>E175*[82]Main!$M$3</f>
        <v>125.46108324000001</v>
      </c>
      <c r="G175" s="6">
        <f>[82]Main!$M$5-[82]Main!$M$6</f>
        <v>131.17699999999999</v>
      </c>
      <c r="H175" s="8">
        <f t="shared" si="10"/>
        <v>-5.7159167599999847</v>
      </c>
      <c r="I175" s="3" t="s">
        <v>16</v>
      </c>
    </row>
    <row r="176" spans="2:29" x14ac:dyDescent="0.2">
      <c r="B176" s="1">
        <f t="shared" si="11"/>
        <v>128</v>
      </c>
      <c r="C176" s="5" t="s">
        <v>254</v>
      </c>
      <c r="D176" s="1" t="s">
        <v>255</v>
      </c>
      <c r="E176" s="3">
        <v>0.98</v>
      </c>
      <c r="F176" s="6">
        <f>E176*[83]Main!$M$3</f>
        <v>20.935517539999999</v>
      </c>
      <c r="G176" s="6">
        <f>[83]Main!$M$5-[83]Main!$M$6</f>
        <v>55.28</v>
      </c>
      <c r="H176" s="8">
        <f t="shared" si="10"/>
        <v>-34.344482460000002</v>
      </c>
      <c r="I176" s="3" t="s">
        <v>16</v>
      </c>
    </row>
    <row r="177" spans="2:6" x14ac:dyDescent="0.2">
      <c r="B177" s="1">
        <f t="shared" si="11"/>
        <v>129</v>
      </c>
      <c r="C177" s="1" t="s">
        <v>256</v>
      </c>
      <c r="D177" s="1" t="s">
        <v>257</v>
      </c>
      <c r="E177" s="3">
        <v>0.61</v>
      </c>
    </row>
    <row r="178" spans="2:6" x14ac:dyDescent="0.2">
      <c r="B178" s="1">
        <f t="shared" si="11"/>
        <v>130</v>
      </c>
      <c r="C178" s="1" t="s">
        <v>258</v>
      </c>
      <c r="D178" s="1" t="s">
        <v>259</v>
      </c>
      <c r="E178" s="3">
        <v>5.55</v>
      </c>
    </row>
    <row r="179" spans="2:6" x14ac:dyDescent="0.2">
      <c r="B179" s="1">
        <f t="shared" si="11"/>
        <v>131</v>
      </c>
      <c r="C179" s="1" t="s">
        <v>356</v>
      </c>
      <c r="D179" t="s">
        <v>357</v>
      </c>
      <c r="E179" s="7">
        <v>4.2</v>
      </c>
    </row>
    <row r="180" spans="2:6" x14ac:dyDescent="0.2">
      <c r="B180" s="1">
        <f t="shared" si="11"/>
        <v>132</v>
      </c>
      <c r="C180" s="1" t="s">
        <v>340</v>
      </c>
      <c r="D180" t="s">
        <v>341</v>
      </c>
      <c r="E180" s="7">
        <v>4</v>
      </c>
    </row>
    <row r="181" spans="2:6" x14ac:dyDescent="0.2">
      <c r="B181" s="1">
        <f t="shared" si="11"/>
        <v>133</v>
      </c>
      <c r="C181" t="s">
        <v>344</v>
      </c>
      <c r="D181" t="s">
        <v>345</v>
      </c>
      <c r="E181" s="3">
        <v>20.18</v>
      </c>
    </row>
    <row r="182" spans="2:6" x14ac:dyDescent="0.2">
      <c r="B182" s="1">
        <f t="shared" si="11"/>
        <v>134</v>
      </c>
      <c r="C182" s="1" t="s">
        <v>389</v>
      </c>
      <c r="D182" s="1" t="s">
        <v>390</v>
      </c>
      <c r="E182" s="3">
        <v>25.85</v>
      </c>
    </row>
    <row r="183" spans="2:6" x14ac:dyDescent="0.2">
      <c r="B183" s="1">
        <f t="shared" si="11"/>
        <v>135</v>
      </c>
      <c r="C183" t="s">
        <v>395</v>
      </c>
      <c r="D183" t="s">
        <v>396</v>
      </c>
      <c r="E183" s="3">
        <v>9.26</v>
      </c>
      <c r="F183" s="3">
        <v>204</v>
      </c>
    </row>
    <row r="184" spans="2:6" x14ac:dyDescent="0.2">
      <c r="B184" s="1">
        <f t="shared" si="11"/>
        <v>136</v>
      </c>
      <c r="C184" t="s">
        <v>442</v>
      </c>
      <c r="D184" t="s">
        <v>441</v>
      </c>
    </row>
    <row r="185" spans="2:6" x14ac:dyDescent="0.2">
      <c r="B185" s="1">
        <f t="shared" si="11"/>
        <v>137</v>
      </c>
      <c r="C185" t="s">
        <v>443</v>
      </c>
      <c r="D185" t="s">
        <v>444</v>
      </c>
    </row>
    <row r="186" spans="2:6" x14ac:dyDescent="0.2">
      <c r="B186" s="1">
        <f t="shared" si="11"/>
        <v>138</v>
      </c>
      <c r="C186" s="1" t="s">
        <v>406</v>
      </c>
      <c r="D186" s="1" t="s">
        <v>407</v>
      </c>
    </row>
    <row r="187" spans="2:6" x14ac:dyDescent="0.2">
      <c r="B187" s="1">
        <f t="shared" si="11"/>
        <v>139</v>
      </c>
      <c r="C187" t="s">
        <v>436</v>
      </c>
      <c r="D187" t="s">
        <v>437</v>
      </c>
      <c r="E187" s="3">
        <v>20.32</v>
      </c>
    </row>
    <row r="188" spans="2:6" x14ac:dyDescent="0.2">
      <c r="B188" s="1">
        <f t="shared" si="11"/>
        <v>140</v>
      </c>
      <c r="C188" s="1" t="s">
        <v>516</v>
      </c>
      <c r="D188" s="1" t="s">
        <v>517</v>
      </c>
    </row>
    <row r="189" spans="2:6" x14ac:dyDescent="0.2">
      <c r="B189" s="1">
        <f t="shared" si="11"/>
        <v>141</v>
      </c>
      <c r="C189" t="s">
        <v>523</v>
      </c>
      <c r="D189" t="s">
        <v>524</v>
      </c>
    </row>
    <row r="190" spans="2:6" x14ac:dyDescent="0.2">
      <c r="B190" s="1">
        <f t="shared" si="11"/>
        <v>142</v>
      </c>
      <c r="C190" s="1" t="s">
        <v>534</v>
      </c>
      <c r="D190" s="1" t="s">
        <v>535</v>
      </c>
    </row>
    <row r="191" spans="2:6" x14ac:dyDescent="0.2">
      <c r="B191" s="1">
        <f t="shared" si="11"/>
        <v>143</v>
      </c>
      <c r="C191" t="s">
        <v>539</v>
      </c>
      <c r="D191" t="s">
        <v>540</v>
      </c>
    </row>
    <row r="192" spans="2:6" x14ac:dyDescent="0.2">
      <c r="B192" s="1">
        <f t="shared" si="11"/>
        <v>144</v>
      </c>
      <c r="C192" s="1" t="s">
        <v>543</v>
      </c>
      <c r="D192" s="1" t="s">
        <v>544</v>
      </c>
    </row>
    <row r="193" spans="2:4" x14ac:dyDescent="0.2">
      <c r="B193" s="1">
        <f t="shared" si="11"/>
        <v>145</v>
      </c>
      <c r="C193" t="s">
        <v>546</v>
      </c>
      <c r="D193" t="s">
        <v>545</v>
      </c>
    </row>
    <row r="194" spans="2:4" x14ac:dyDescent="0.2">
      <c r="B194" s="1">
        <f t="shared" si="11"/>
        <v>146</v>
      </c>
      <c r="C194" t="s">
        <v>547</v>
      </c>
      <c r="D194" t="s">
        <v>548</v>
      </c>
    </row>
    <row r="195" spans="2:4" x14ac:dyDescent="0.2">
      <c r="B195" s="1">
        <f t="shared" si="11"/>
        <v>147</v>
      </c>
      <c r="C195" t="s">
        <v>549</v>
      </c>
      <c r="D195" t="s">
        <v>550</v>
      </c>
    </row>
    <row r="196" spans="2:4" x14ac:dyDescent="0.2">
      <c r="B196" s="1">
        <f t="shared" si="11"/>
        <v>148</v>
      </c>
      <c r="C196" t="s">
        <v>551</v>
      </c>
      <c r="D196" t="s">
        <v>552</v>
      </c>
    </row>
    <row r="197" spans="2:4" x14ac:dyDescent="0.2">
      <c r="B197" s="1">
        <f t="shared" si="11"/>
        <v>149</v>
      </c>
      <c r="C197" t="s">
        <v>553</v>
      </c>
      <c r="D197" t="s">
        <v>554</v>
      </c>
    </row>
    <row r="198" spans="2:4" x14ac:dyDescent="0.2">
      <c r="B198" s="1">
        <f t="shared" si="11"/>
        <v>150</v>
      </c>
      <c r="C198" t="s">
        <v>555</v>
      </c>
      <c r="D198" t="s">
        <v>556</v>
      </c>
    </row>
    <row r="199" spans="2:4" x14ac:dyDescent="0.2">
      <c r="B199" s="1">
        <f t="shared" si="11"/>
        <v>151</v>
      </c>
      <c r="C199" t="s">
        <v>557</v>
      </c>
      <c r="D199" t="s">
        <v>558</v>
      </c>
    </row>
    <row r="200" spans="2:4" x14ac:dyDescent="0.2">
      <c r="B200" s="1">
        <f t="shared" si="11"/>
        <v>152</v>
      </c>
      <c r="C200" t="s">
        <v>559</v>
      </c>
      <c r="D200" t="s">
        <v>560</v>
      </c>
    </row>
    <row r="201" spans="2:4" x14ac:dyDescent="0.2">
      <c r="B201" s="1">
        <f t="shared" si="11"/>
        <v>153</v>
      </c>
      <c r="C201" t="s">
        <v>561</v>
      </c>
      <c r="D201" t="s">
        <v>562</v>
      </c>
    </row>
    <row r="202" spans="2:4" x14ac:dyDescent="0.2">
      <c r="B202" s="1">
        <f t="shared" si="11"/>
        <v>154</v>
      </c>
      <c r="C202" t="s">
        <v>563</v>
      </c>
      <c r="D202" t="s">
        <v>564</v>
      </c>
    </row>
    <row r="203" spans="2:4" x14ac:dyDescent="0.2">
      <c r="B203" s="1">
        <f t="shared" si="11"/>
        <v>155</v>
      </c>
      <c r="C203" t="s">
        <v>565</v>
      </c>
      <c r="D203" t="s">
        <v>566</v>
      </c>
    </row>
    <row r="204" spans="2:4" x14ac:dyDescent="0.2">
      <c r="B204" s="1">
        <f t="shared" si="11"/>
        <v>156</v>
      </c>
      <c r="C204" t="s">
        <v>567</v>
      </c>
      <c r="D204" t="s">
        <v>568</v>
      </c>
    </row>
    <row r="205" spans="2:4" x14ac:dyDescent="0.2">
      <c r="B205" s="1">
        <f t="shared" si="11"/>
        <v>157</v>
      </c>
      <c r="C205" t="s">
        <v>569</v>
      </c>
      <c r="D205" t="s">
        <v>570</v>
      </c>
    </row>
    <row r="206" spans="2:4" x14ac:dyDescent="0.2">
      <c r="B206" s="1">
        <f t="shared" si="11"/>
        <v>158</v>
      </c>
      <c r="C206" t="s">
        <v>571</v>
      </c>
      <c r="D206" t="s">
        <v>572</v>
      </c>
    </row>
    <row r="207" spans="2:4" x14ac:dyDescent="0.2">
      <c r="B207" s="1">
        <f t="shared" si="11"/>
        <v>159</v>
      </c>
      <c r="C207" t="s">
        <v>573</v>
      </c>
      <c r="D207" t="s">
        <v>574</v>
      </c>
    </row>
    <row r="208" spans="2:4" x14ac:dyDescent="0.2">
      <c r="B208" s="1">
        <f t="shared" si="11"/>
        <v>160</v>
      </c>
      <c r="C208" t="s">
        <v>575</v>
      </c>
      <c r="D208" t="s">
        <v>576</v>
      </c>
    </row>
    <row r="209" spans="2:5" x14ac:dyDescent="0.2">
      <c r="B209" s="1">
        <f t="shared" si="11"/>
        <v>161</v>
      </c>
      <c r="C209" t="s">
        <v>577</v>
      </c>
      <c r="D209" t="s">
        <v>578</v>
      </c>
    </row>
    <row r="210" spans="2:5" x14ac:dyDescent="0.2">
      <c r="B210" s="1">
        <f t="shared" si="11"/>
        <v>162</v>
      </c>
      <c r="C210" t="s">
        <v>579</v>
      </c>
      <c r="D210" t="s">
        <v>580</v>
      </c>
    </row>
    <row r="211" spans="2:5" x14ac:dyDescent="0.2">
      <c r="B211" s="1">
        <f t="shared" si="11"/>
        <v>163</v>
      </c>
      <c r="C211" t="s">
        <v>581</v>
      </c>
      <c r="D211" t="s">
        <v>582</v>
      </c>
    </row>
    <row r="212" spans="2:5" x14ac:dyDescent="0.2">
      <c r="B212" s="1">
        <f t="shared" si="11"/>
        <v>164</v>
      </c>
      <c r="C212" t="s">
        <v>583</v>
      </c>
      <c r="D212" t="s">
        <v>584</v>
      </c>
    </row>
    <row r="213" spans="2:5" x14ac:dyDescent="0.2">
      <c r="B213" s="1">
        <f t="shared" si="11"/>
        <v>165</v>
      </c>
      <c r="C213" t="s">
        <v>585</v>
      </c>
      <c r="D213" t="s">
        <v>586</v>
      </c>
    </row>
    <row r="214" spans="2:5" x14ac:dyDescent="0.2">
      <c r="B214" s="1">
        <f t="shared" si="11"/>
        <v>166</v>
      </c>
      <c r="C214" t="s">
        <v>587</v>
      </c>
      <c r="D214" t="s">
        <v>588</v>
      </c>
      <c r="E214"/>
    </row>
    <row r="215" spans="2:5" x14ac:dyDescent="0.2">
      <c r="B215" s="1">
        <f t="shared" ref="B215:B228" si="12">B214+1</f>
        <v>167</v>
      </c>
      <c r="C215" t="s">
        <v>590</v>
      </c>
      <c r="D215" t="s">
        <v>589</v>
      </c>
    </row>
    <row r="216" spans="2:5" x14ac:dyDescent="0.2">
      <c r="B216" s="1">
        <f t="shared" si="12"/>
        <v>168</v>
      </c>
      <c r="C216" t="s">
        <v>591</v>
      </c>
      <c r="D216" t="s">
        <v>592</v>
      </c>
    </row>
    <row r="217" spans="2:5" x14ac:dyDescent="0.2">
      <c r="B217" s="1">
        <f t="shared" si="12"/>
        <v>169</v>
      </c>
      <c r="C217" t="s">
        <v>356</v>
      </c>
      <c r="D217" t="s">
        <v>357</v>
      </c>
    </row>
    <row r="218" spans="2:5" x14ac:dyDescent="0.2">
      <c r="B218" s="1">
        <f t="shared" si="12"/>
        <v>170</v>
      </c>
      <c r="C218" t="s">
        <v>593</v>
      </c>
      <c r="D218" t="s">
        <v>594</v>
      </c>
    </row>
    <row r="219" spans="2:5" x14ac:dyDescent="0.2">
      <c r="B219" s="1">
        <f t="shared" si="12"/>
        <v>171</v>
      </c>
      <c r="C219" t="s">
        <v>595</v>
      </c>
      <c r="D219" t="s">
        <v>596</v>
      </c>
    </row>
    <row r="220" spans="2:5" x14ac:dyDescent="0.2">
      <c r="B220" s="1">
        <f t="shared" si="12"/>
        <v>172</v>
      </c>
      <c r="C220" t="s">
        <v>597</v>
      </c>
      <c r="D220" t="s">
        <v>598</v>
      </c>
    </row>
    <row r="221" spans="2:5" x14ac:dyDescent="0.2">
      <c r="B221" s="1">
        <f t="shared" si="12"/>
        <v>173</v>
      </c>
      <c r="C221" t="s">
        <v>599</v>
      </c>
      <c r="D221" t="s">
        <v>600</v>
      </c>
    </row>
    <row r="222" spans="2:5" x14ac:dyDescent="0.2">
      <c r="B222" s="1">
        <f t="shared" si="12"/>
        <v>174</v>
      </c>
      <c r="C222" t="s">
        <v>601</v>
      </c>
      <c r="D222" t="s">
        <v>602</v>
      </c>
    </row>
    <row r="223" spans="2:5" x14ac:dyDescent="0.2">
      <c r="B223" s="1">
        <f t="shared" si="12"/>
        <v>175</v>
      </c>
      <c r="C223" t="s">
        <v>603</v>
      </c>
      <c r="D223" t="s">
        <v>604</v>
      </c>
    </row>
    <row r="224" spans="2:5" x14ac:dyDescent="0.2">
      <c r="B224" s="1">
        <f t="shared" si="12"/>
        <v>176</v>
      </c>
      <c r="C224" t="s">
        <v>605</v>
      </c>
      <c r="D224" t="s">
        <v>606</v>
      </c>
    </row>
    <row r="225" spans="2:4" x14ac:dyDescent="0.2">
      <c r="B225" s="1">
        <f t="shared" si="12"/>
        <v>177</v>
      </c>
      <c r="C225" t="s">
        <v>607</v>
      </c>
      <c r="D225" t="s">
        <v>608</v>
      </c>
    </row>
    <row r="226" spans="2:4" x14ac:dyDescent="0.2">
      <c r="B226" s="1">
        <f t="shared" si="12"/>
        <v>178</v>
      </c>
      <c r="C226" s="1" t="s">
        <v>609</v>
      </c>
      <c r="D226" s="1" t="s">
        <v>610</v>
      </c>
    </row>
    <row r="227" spans="2:4" x14ac:dyDescent="0.2">
      <c r="B227" s="1">
        <f t="shared" si="12"/>
        <v>179</v>
      </c>
      <c r="C227" t="s">
        <v>611</v>
      </c>
      <c r="D227" t="s">
        <v>612</v>
      </c>
    </row>
    <row r="228" spans="2:4" x14ac:dyDescent="0.2">
      <c r="B228" s="1">
        <f t="shared" si="12"/>
        <v>180</v>
      </c>
      <c r="C228" t="s">
        <v>613</v>
      </c>
      <c r="D228" t="s">
        <v>614</v>
      </c>
    </row>
  </sheetData>
  <sortState xmlns:xlrd2="http://schemas.microsoft.com/office/spreadsheetml/2017/richdata2" ref="A125:AC153">
    <sortCondition descending="1" ref="F125:F153"/>
  </sortState>
  <mergeCells count="2">
    <mergeCell ref="Q2:V2"/>
    <mergeCell ref="W2:AB2"/>
  </mergeCells>
  <hyperlinks>
    <hyperlink ref="C4" r:id="rId1" xr:uid="{31FFFB9E-A269-4EC0-9451-78F4F00A4890}"/>
    <hyperlink ref="C7" r:id="rId2" xr:uid="{C156021C-BE99-4BC0-AA7F-F8904621CB69}"/>
    <hyperlink ref="C11" r:id="rId3" xr:uid="{087C38CF-D4BE-425F-8F38-C4129E6AE209}"/>
    <hyperlink ref="C17" r:id="rId4" xr:uid="{60368EA6-8CB5-4BF4-AD11-2511F2B2CC10}"/>
    <hyperlink ref="C10" r:id="rId5" xr:uid="{686D20FF-3704-45CC-8366-56508FB00F00}"/>
    <hyperlink ref="C12" r:id="rId6" xr:uid="{8513C491-1620-4390-AB90-9384BB1A043B}"/>
    <hyperlink ref="C14" r:id="rId7" xr:uid="{83DA0EB3-074A-48C7-ADA5-0A0973E8354D}"/>
    <hyperlink ref="C5" r:id="rId8" xr:uid="{615921E7-8A8A-4F41-A8F3-1AF78A43F1AC}"/>
    <hyperlink ref="C20" r:id="rId9" xr:uid="{A38EC1E4-9170-422B-A9F5-3B6EB77DF40A}"/>
    <hyperlink ref="C8" r:id="rId10" xr:uid="{CCC45DFB-BF73-4A15-8527-F4C3C617F472}"/>
    <hyperlink ref="C24" r:id="rId11" xr:uid="{FC86E1B4-4BA7-43A8-8FCA-CC27867A7922}"/>
    <hyperlink ref="C16" r:id="rId12" xr:uid="{F9D09B0D-FACB-4CCA-872E-286E56965815}"/>
    <hyperlink ref="C18" r:id="rId13" xr:uid="{5A59EF45-A9EA-44F3-BECB-EFED8413DCF6}"/>
    <hyperlink ref="C22" r:id="rId14" xr:uid="{316E9202-338F-4301-AEBE-A9FA398A76CC}"/>
    <hyperlink ref="C6" r:id="rId15" xr:uid="{0888F4DA-9569-4326-990C-43015A33BD61}"/>
    <hyperlink ref="C19" r:id="rId16" xr:uid="{C2959A9B-7367-43D7-934F-562A915DC4DD}"/>
    <hyperlink ref="C28" r:id="rId17" xr:uid="{A069369A-FB97-4A4A-A581-321FA79E4250}"/>
    <hyperlink ref="C53" r:id="rId18" xr:uid="{6EF35D30-7113-4CE8-9077-C5BE97F74D36}"/>
    <hyperlink ref="C25" r:id="rId19" xr:uid="{1F769FA7-6B90-4B6B-9BCC-7D6679675B06}"/>
    <hyperlink ref="C26" r:id="rId20" xr:uid="{61277D68-67DC-475B-9B61-B7E2F3017110}"/>
    <hyperlink ref="C170" r:id="rId21" xr:uid="{14A63DAF-63A6-4B91-A2AF-AE28EA251457}"/>
    <hyperlink ref="C173" r:id="rId22" xr:uid="{4ACA7C7F-E42A-4687-A776-AB8065DB40FF}"/>
    <hyperlink ref="C169" r:id="rId23" xr:uid="{B3421391-7EC0-4253-8F62-5ED45A5BFA02}"/>
    <hyperlink ref="C174" r:id="rId24" xr:uid="{F6A45FC7-B73C-4143-9CAB-B3ADA19B5FD7}"/>
    <hyperlink ref="C171" r:id="rId25" xr:uid="{BBD267CB-7407-4913-9D05-6A6AA380019F}"/>
    <hyperlink ref="C176" r:id="rId26" xr:uid="{85368858-6D0F-4ABE-975C-AE5530342445}"/>
    <hyperlink ref="C167" r:id="rId27" xr:uid="{8B5BC1F5-14D4-45A0-B224-31FAF227EAF3}"/>
    <hyperlink ref="C175" r:id="rId28" xr:uid="{D5FB3BFE-F0A8-4C09-90A1-9F506EF0ADE4}"/>
    <hyperlink ref="C172" r:id="rId29" xr:uid="{11598046-2AED-42E7-ACA5-251A20A59427}"/>
    <hyperlink ref="C55" r:id="rId30" xr:uid="{A1C90F9B-FBBF-4C72-9A11-3798F692A0D2}"/>
    <hyperlink ref="C62" r:id="rId31" xr:uid="{F7B6503D-1F84-47C4-B87E-BDA7159D1B9F}"/>
    <hyperlink ref="C47" r:id="rId32" xr:uid="{D0EE43E7-C3F5-4256-99AE-DDCA9EC11DCF}"/>
    <hyperlink ref="C35" r:id="rId33" xr:uid="{1C25970A-A568-4869-A34A-5C6C7551D812}"/>
    <hyperlink ref="C154" r:id="rId34" xr:uid="{C3A06396-38CD-486E-9F4F-233A79292B4F}"/>
    <hyperlink ref="C115" r:id="rId35" xr:uid="{B83625D8-44D2-4842-9139-F29C8D5F2D8E}"/>
    <hyperlink ref="C156" r:id="rId36" xr:uid="{5FF32E6A-C6C7-4793-8271-BD230B9C7641}"/>
    <hyperlink ref="C64" r:id="rId37" xr:uid="{E5739E03-9FE4-4D05-90C8-36ABF7D078CB}"/>
    <hyperlink ref="C67" r:id="rId38" xr:uid="{25285F59-771C-40DB-8B78-E1E454C61406}"/>
    <hyperlink ref="C163" r:id="rId39" xr:uid="{C000061C-001D-4088-90A4-B672D181D3C5}"/>
    <hyperlink ref="C30" r:id="rId40" xr:uid="{6A1F812B-EA91-4B3C-B4DC-88F792A7D0DE}"/>
    <hyperlink ref="C46" r:id="rId41" xr:uid="{6930A656-C59A-465F-8634-B30B4FEF47BC}"/>
    <hyperlink ref="C118" r:id="rId42" xr:uid="{559FAD8A-D620-4B93-BE14-CC22630BD57E}"/>
    <hyperlink ref="C9" r:id="rId43" xr:uid="{467EEBCD-6BD7-4E71-B2C9-FCF3DB57F059}"/>
    <hyperlink ref="C168" r:id="rId44" xr:uid="{6A576FDB-A573-4A00-8381-4BECF13B35A1}"/>
    <hyperlink ref="C23" r:id="rId45" xr:uid="{994E2867-C411-41E7-8332-43A0B3B0CC2B}"/>
    <hyperlink ref="C117" r:id="rId46" xr:uid="{51C9506E-5D60-43F8-BADA-7F72A25DAFF6}"/>
    <hyperlink ref="C114" r:id="rId47" xr:uid="{9E4325F2-98CF-4735-96D0-66A9DC5A8E86}"/>
    <hyperlink ref="C157" r:id="rId48" xr:uid="{6D062383-838D-42C7-BFCD-E5C9DC258548}"/>
    <hyperlink ref="C34" r:id="rId49" xr:uid="{3F36D809-73FC-441C-88D2-EEB42A40734A}"/>
    <hyperlink ref="C21" r:id="rId50" xr:uid="{5D73AAA9-EBCA-4613-83CF-E75D37F58B6D}"/>
    <hyperlink ref="C37" r:id="rId51" xr:uid="{C216ACFE-A1E7-4490-95CC-33302FDEACB6}"/>
    <hyperlink ref="C31" r:id="rId52" xr:uid="{203E18C7-425E-49E1-9AA5-204AFBE41E2D}"/>
    <hyperlink ref="C29" r:id="rId53" xr:uid="{5670E9A9-D014-4D7B-962A-54CBDC766969}"/>
    <hyperlink ref="C57" r:id="rId54" xr:uid="{04E7711A-AB14-45D0-B73B-7EA804EC5564}"/>
    <hyperlink ref="C40" r:id="rId55" xr:uid="{547F117B-55D8-401A-AD75-411778B2F717}"/>
    <hyperlink ref="C32" r:id="rId56" xr:uid="{76CA7CFE-7B9B-4C27-8561-3A158A30ED77}"/>
    <hyperlink ref="C15" r:id="rId57" xr:uid="{B0ABAFBD-FFC1-42E3-AFB4-259F4DD19FEC}"/>
    <hyperlink ref="C48" r:id="rId58" xr:uid="{F5D5A68A-4783-46B8-B717-79A0E802B6C4}"/>
    <hyperlink ref="C42" r:id="rId59" xr:uid="{DD930D2F-20A9-46C3-8AA4-5E62A88271DB}"/>
    <hyperlink ref="C33" r:id="rId60" xr:uid="{E248BEED-DD02-463E-BFAC-D02D5521E787}"/>
    <hyperlink ref="C41" r:id="rId61" xr:uid="{01444C35-CEE7-41B7-B694-AE47417B7019}"/>
    <hyperlink ref="C13" r:id="rId62" xr:uid="{57B03CDA-0325-4BAB-BDE9-EF73BAB7F2FB}"/>
    <hyperlink ref="C36" r:id="rId63" xr:uid="{BC97A7B7-8716-48D0-BA90-60A75E6A24CE}"/>
    <hyperlink ref="C45" r:id="rId64" xr:uid="{AD16E898-B1E4-4F25-8E21-E2BC1C6FE9AD}"/>
    <hyperlink ref="C52" r:id="rId65" xr:uid="{E9207892-DA1F-48D2-B2C3-EFA59FCA8A47}"/>
    <hyperlink ref="C69" r:id="rId66" xr:uid="{DE2D1DDB-B5B7-4055-B885-0CD9E7670070}"/>
    <hyperlink ref="C38" r:id="rId67" xr:uid="{9DD12163-063E-4F73-89A5-34D8E8AC0534}"/>
    <hyperlink ref="C39" r:id="rId68" xr:uid="{30732F31-0D9B-4774-8215-75872BFC9B96}"/>
    <hyperlink ref="C61" r:id="rId69" xr:uid="{1D3A6A47-22C9-4CC1-94BD-20DE3BB08016}"/>
    <hyperlink ref="C58" r:id="rId70" xr:uid="{27FB3DB4-8430-405F-9558-F31A0B69ED5F}"/>
    <hyperlink ref="C54" r:id="rId71" xr:uid="{144D13FD-59BD-499B-A0B4-B06985623C68}"/>
    <hyperlink ref="C155" r:id="rId72" xr:uid="{E48CD1EB-CFA1-47B1-BD8B-09F09CDD4FA4}"/>
    <hyperlink ref="C113" r:id="rId73" xr:uid="{6E9AFF81-F520-4A86-9FC2-D5CFE68E7EB7}"/>
    <hyperlink ref="C66" r:id="rId74" xr:uid="{ED527D70-0B51-4151-8378-8C40B68FF19D}"/>
    <hyperlink ref="C51" r:id="rId75" xr:uid="{A902B26E-CA39-4DC5-9F23-4459D8D315E8}"/>
    <hyperlink ref="C56" r:id="rId76" xr:uid="{5F0313F8-3376-4F67-9822-E1412CAA5959}"/>
    <hyperlink ref="C94" r:id="rId77" xr:uid="{AE3A3FD9-E651-4A72-81DB-B29CC61B516B}"/>
    <hyperlink ref="C60" r:id="rId78" xr:uid="{6FA4EBE7-4729-4097-A12F-CAD4CB58FFA6}"/>
    <hyperlink ref="C96" r:id="rId79" xr:uid="{C6F461C3-F385-4BE1-8914-0B22F9A9FF52}"/>
    <hyperlink ref="C44" r:id="rId80" xr:uid="{98D02B7D-F218-457E-B156-7FE773CF515A}"/>
    <hyperlink ref="C43" r:id="rId81" xr:uid="{02CB6FD9-C55D-44A1-9F2E-6A96A222EE6B}"/>
    <hyperlink ref="C68" r:id="rId82" xr:uid="{C691BA46-1169-4CAF-84E5-2A83E1B5404A}"/>
    <hyperlink ref="C50" r:id="rId83" xr:uid="{425EA3DE-2A59-4B96-B380-B688A4EDE233}"/>
    <hyperlink ref="C49" r:id="rId84" xr:uid="{1F24E207-02BC-4A1F-B083-69F8E95AC067}"/>
    <hyperlink ref="C59" r:id="rId85" xr:uid="{CE56D1ED-1CAA-4667-A3D9-82426599D26C}"/>
    <hyperlink ref="C27" r:id="rId86" xr:uid="{A79848CD-7CC3-4C10-B9EC-DDD33362E673}"/>
    <hyperlink ref="C95" r:id="rId87" xr:uid="{ED810682-5208-4265-9E0E-6746A399EA34}"/>
    <hyperlink ref="C116" r:id="rId88" xr:uid="{44DEB74A-F098-4876-A279-D1E6237DF8DB}"/>
    <hyperlink ref="C63" r:id="rId89" xr:uid="{ADF59BEC-B8D8-4144-ADEB-041425B69409}"/>
    <hyperlink ref="C65" r:id="rId90" xr:uid="{5448F263-AB4A-41FB-B7B9-A94746C9D9E1}"/>
  </hyperlinks>
  <pageMargins left="0.7" right="0.7" top="0.75" bottom="0.75" header="0.3" footer="0.3"/>
  <pageSetup paperSize="9" orientation="portrait" r:id="rId9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CW29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12" sqref="I12"/>
    </sheetView>
  </sheetViews>
  <sheetFormatPr defaultRowHeight="12.75" x14ac:dyDescent="0.2"/>
  <cols>
    <col min="1" max="1" width="5" bestFit="1" customWidth="1"/>
    <col min="2" max="2" width="11.42578125" customWidth="1"/>
    <col min="4" max="4" width="10.28515625" customWidth="1"/>
    <col min="5" max="7" width="9.140625" style="28"/>
  </cols>
  <sheetData>
    <row r="1" spans="1:71" x14ac:dyDescent="0.2">
      <c r="A1" s="5" t="s">
        <v>292</v>
      </c>
    </row>
    <row r="2" spans="1:71" x14ac:dyDescent="0.2">
      <c r="C2" t="s">
        <v>659</v>
      </c>
      <c r="D2" t="s">
        <v>656</v>
      </c>
      <c r="E2" s="28" t="s">
        <v>649</v>
      </c>
      <c r="F2" s="28" t="s">
        <v>650</v>
      </c>
      <c r="G2" s="28" t="s">
        <v>651</v>
      </c>
      <c r="H2" s="28" t="s">
        <v>652</v>
      </c>
      <c r="I2" s="28" t="s">
        <v>653</v>
      </c>
      <c r="J2" s="28" t="s">
        <v>654</v>
      </c>
    </row>
    <row r="3" spans="1:71" x14ac:dyDescent="0.2">
      <c r="B3" t="s">
        <v>655</v>
      </c>
      <c r="C3" t="s">
        <v>20</v>
      </c>
      <c r="D3" t="s">
        <v>657</v>
      </c>
      <c r="E3" s="29">
        <v>16</v>
      </c>
      <c r="F3" s="29">
        <v>187.3</v>
      </c>
      <c r="G3" s="29">
        <v>279.2</v>
      </c>
      <c r="H3" s="33">
        <v>568.5</v>
      </c>
    </row>
    <row r="4" spans="1:71" x14ac:dyDescent="0.2">
      <c r="B4" t="s">
        <v>680</v>
      </c>
      <c r="C4" t="s">
        <v>29</v>
      </c>
      <c r="E4" s="28">
        <v>10</v>
      </c>
      <c r="F4" s="28">
        <v>70</v>
      </c>
      <c r="G4" s="28">
        <v>155</v>
      </c>
      <c r="H4">
        <v>365</v>
      </c>
      <c r="I4">
        <v>358</v>
      </c>
      <c r="J4">
        <v>418</v>
      </c>
      <c r="K4">
        <v>450</v>
      </c>
      <c r="L4">
        <v>390</v>
      </c>
      <c r="M4">
        <v>326</v>
      </c>
      <c r="N4">
        <v>401</v>
      </c>
      <c r="O4">
        <v>411</v>
      </c>
      <c r="P4">
        <v>262</v>
      </c>
      <c r="Q4">
        <v>268</v>
      </c>
      <c r="R4">
        <v>311</v>
      </c>
      <c r="S4">
        <v>277</v>
      </c>
      <c r="T4">
        <v>233</v>
      </c>
      <c r="U4">
        <v>219</v>
      </c>
      <c r="V4">
        <v>316</v>
      </c>
      <c r="W4">
        <v>221</v>
      </c>
      <c r="X4">
        <v>214</v>
      </c>
      <c r="Y4">
        <v>277</v>
      </c>
      <c r="Z4">
        <v>445</v>
      </c>
      <c r="AA4">
        <v>274</v>
      </c>
      <c r="AB4">
        <v>284</v>
      </c>
      <c r="AC4">
        <v>324</v>
      </c>
      <c r="AD4">
        <v>581</v>
      </c>
      <c r="AE4">
        <v>442</v>
      </c>
      <c r="AF4">
        <v>390</v>
      </c>
      <c r="AG4">
        <v>383</v>
      </c>
      <c r="AH4">
        <v>665</v>
      </c>
      <c r="AI4">
        <v>394</v>
      </c>
      <c r="AJ4">
        <v>383</v>
      </c>
      <c r="AK4">
        <v>409</v>
      </c>
      <c r="AL4">
        <v>590</v>
      </c>
      <c r="AM4">
        <v>356</v>
      </c>
      <c r="AN4">
        <v>359</v>
      </c>
      <c r="AO4">
        <v>427</v>
      </c>
      <c r="AP4">
        <v>625</v>
      </c>
      <c r="AQ4">
        <v>497</v>
      </c>
      <c r="AR4">
        <v>378</v>
      </c>
      <c r="AS4">
        <v>393</v>
      </c>
      <c r="AT4">
        <v>860</v>
      </c>
      <c r="AU4">
        <v>542</v>
      </c>
      <c r="AV4">
        <v>532</v>
      </c>
      <c r="AW4">
        <v>469</v>
      </c>
      <c r="AX4">
        <v>675</v>
      </c>
      <c r="AY4">
        <v>633</v>
      </c>
      <c r="AZ4">
        <v>660</v>
      </c>
      <c r="BA4">
        <v>608</v>
      </c>
      <c r="BB4">
        <v>1048</v>
      </c>
      <c r="BC4">
        <v>835</v>
      </c>
      <c r="BD4">
        <v>838</v>
      </c>
      <c r="BE4">
        <v>886</v>
      </c>
      <c r="BF4">
        <v>1320</v>
      </c>
      <c r="BG4">
        <v>693</v>
      </c>
      <c r="BH4">
        <v>1097</v>
      </c>
      <c r="BI4">
        <v>656</v>
      </c>
      <c r="BJ4">
        <v>1187</v>
      </c>
      <c r="BK4">
        <v>998</v>
      </c>
      <c r="BL4">
        <v>917</v>
      </c>
      <c r="BM4">
        <v>1234</v>
      </c>
      <c r="BN4">
        <v>1993</v>
      </c>
      <c r="BO4">
        <v>1528</v>
      </c>
      <c r="BP4">
        <v>1460</v>
      </c>
      <c r="BQ4">
        <v>1674</v>
      </c>
      <c r="BR4">
        <v>2294</v>
      </c>
      <c r="BS4">
        <v>1470</v>
      </c>
    </row>
    <row r="5" spans="1:71" x14ac:dyDescent="0.2">
      <c r="B5" t="s">
        <v>683</v>
      </c>
      <c r="C5" t="s">
        <v>29</v>
      </c>
      <c r="E5" s="28">
        <f>E21+E6</f>
        <v>66</v>
      </c>
      <c r="F5" s="28">
        <f>F21+F6</f>
        <v>106</v>
      </c>
      <c r="G5" s="28">
        <f>G21+G6</f>
        <v>174</v>
      </c>
      <c r="H5" s="28">
        <f>H21+H6</f>
        <v>243</v>
      </c>
      <c r="I5" s="28">
        <f>I21+I6</f>
        <v>272</v>
      </c>
      <c r="J5" s="28">
        <f>J21+J6</f>
        <v>373</v>
      </c>
      <c r="K5" s="30">
        <f>K21+K6</f>
        <v>448.5</v>
      </c>
      <c r="L5" s="28">
        <f>L21+L6</f>
        <v>507</v>
      </c>
      <c r="M5" s="28">
        <f>M21+M6</f>
        <v>155</v>
      </c>
      <c r="N5" s="28">
        <f>N21+N6</f>
        <v>584</v>
      </c>
      <c r="O5" s="28">
        <f>O21+O6</f>
        <v>664</v>
      </c>
      <c r="P5" s="28">
        <f>P21+P6</f>
        <v>692</v>
      </c>
      <c r="Q5" s="28">
        <f>Q21+Q6</f>
        <v>776</v>
      </c>
      <c r="R5" s="28">
        <f>R21+R6</f>
        <v>758</v>
      </c>
      <c r="S5" s="28">
        <f>S21+S6</f>
        <v>888</v>
      </c>
      <c r="T5" s="28">
        <f>T21+T6</f>
        <v>905</v>
      </c>
      <c r="U5" s="28">
        <f>U21+U6</f>
        <v>996</v>
      </c>
      <c r="V5" s="28">
        <f>V21+V6</f>
        <v>1089</v>
      </c>
      <c r="W5" s="28">
        <f>W21+W6</f>
        <v>1165</v>
      </c>
      <c r="X5" s="28">
        <f>X21+X6</f>
        <v>1238</v>
      </c>
      <c r="Y5" s="28">
        <f>Y21+Y6</f>
        <v>1371</v>
      </c>
      <c r="Z5" s="28">
        <f>Z21+Z6</f>
        <v>1324</v>
      </c>
      <c r="AA5" s="28">
        <f>AA21+AA6</f>
        <v>1510</v>
      </c>
      <c r="AB5" s="28">
        <f>AB21+AB6</f>
        <v>1384</v>
      </c>
      <c r="AC5" s="28">
        <f>AC21+AC6</f>
        <v>1608</v>
      </c>
      <c r="AD5" s="28">
        <f>AD21+AD6</f>
        <v>1326</v>
      </c>
      <c r="AE5" s="28">
        <f>AE21+AE6</f>
        <v>1575</v>
      </c>
      <c r="AF5" s="28">
        <f>AF21+AF6</f>
        <v>1403</v>
      </c>
      <c r="AG5" s="28">
        <f>AG21+AG6</f>
        <v>1640</v>
      </c>
      <c r="AH5" s="28">
        <f>AH21+AH6</f>
        <v>1363</v>
      </c>
      <c r="AI5" s="28">
        <f>AI21+AI6</f>
        <v>1628</v>
      </c>
      <c r="AJ5" s="28">
        <f>AJ21+AJ6</f>
        <v>1442</v>
      </c>
      <c r="AK5" s="28">
        <f>AK21+AK6</f>
        <v>1636</v>
      </c>
      <c r="AL5" s="28">
        <f>AL21+AL6</f>
        <v>1446</v>
      </c>
      <c r="AM5" s="28">
        <f>AM21+AM6</f>
        <v>1570</v>
      </c>
      <c r="AN5" s="28">
        <f>AN21+AN6</f>
        <v>1520</v>
      </c>
      <c r="AO5" s="28">
        <f>AO21+AO6</f>
        <v>1490</v>
      </c>
      <c r="AP5" s="28">
        <f>AP21+AP6</f>
        <v>1454</v>
      </c>
      <c r="AQ5" s="28">
        <f>AQ21+AQ6</f>
        <v>1641</v>
      </c>
      <c r="AR5" s="28">
        <f>AR21+AR6</f>
        <v>1502</v>
      </c>
      <c r="AS5" s="28">
        <f>AS21+AS6</f>
        <v>1495</v>
      </c>
      <c r="AT5" s="28">
        <f>AT21+AT6</f>
        <v>1352</v>
      </c>
      <c r="AU5" s="28">
        <f>AU21+AU6</f>
        <v>1534</v>
      </c>
      <c r="AV5" s="28">
        <f>AV21+AV6</f>
        <v>1556</v>
      </c>
      <c r="AW5" s="28">
        <f>AW21+AW6</f>
        <v>1523</v>
      </c>
      <c r="AX5" s="28">
        <f>AX21+AX6</f>
        <v>1443</v>
      </c>
      <c r="AY5" s="28">
        <f>AY21+AY6</f>
        <v>1484</v>
      </c>
      <c r="AZ5" s="28">
        <f>AZ21+AZ6</f>
        <v>1457</v>
      </c>
      <c r="BA5" s="28">
        <f>BA21+BA6</f>
        <v>1463</v>
      </c>
      <c r="BB5" s="28">
        <f>BB21+BB6</f>
        <v>1327</v>
      </c>
      <c r="BC5" s="28">
        <f>BC21+BC6</f>
        <v>1383</v>
      </c>
      <c r="BD5" s="28">
        <f>BD21+BD6</f>
        <v>1310</v>
      </c>
      <c r="BE5" s="28">
        <f>BE21+BE6</f>
        <v>1433</v>
      </c>
      <c r="BF5" s="28">
        <f>BF21+BF6</f>
        <v>1280</v>
      </c>
      <c r="BG5" s="28">
        <f>BG21+BG6</f>
        <v>1326</v>
      </c>
      <c r="BH5" s="28">
        <f>BH21+BH6</f>
        <v>1307</v>
      </c>
      <c r="BI5" s="28">
        <f>BI21+BI6</f>
        <v>1334</v>
      </c>
      <c r="BJ5" s="28">
        <f>BJ21+BJ6</f>
        <v>1296</v>
      </c>
      <c r="BK5" s="28">
        <f>BK21+BK6</f>
        <v>1298</v>
      </c>
      <c r="BL5" s="28">
        <f>BL21+BL6</f>
        <v>1306</v>
      </c>
      <c r="BM5" s="28">
        <f>BM21+BM6</f>
        <v>1354</v>
      </c>
      <c r="BN5" s="28">
        <f>BN21+BN6</f>
        <v>1196</v>
      </c>
      <c r="BO5" s="28">
        <f>BO21+BO6</f>
        <v>1109</v>
      </c>
    </row>
    <row r="6" spans="1:71" x14ac:dyDescent="0.2">
      <c r="B6" t="s">
        <v>681</v>
      </c>
      <c r="C6" t="s">
        <v>29</v>
      </c>
      <c r="E6" s="28">
        <v>42</v>
      </c>
      <c r="F6" s="28">
        <v>87</v>
      </c>
      <c r="G6" s="28">
        <v>144</v>
      </c>
      <c r="H6">
        <v>185</v>
      </c>
      <c r="I6">
        <v>200</v>
      </c>
      <c r="J6">
        <v>272</v>
      </c>
      <c r="K6">
        <v>334</v>
      </c>
      <c r="L6">
        <v>379</v>
      </c>
      <c r="N6">
        <v>411</v>
      </c>
      <c r="O6">
        <v>462</v>
      </c>
      <c r="P6">
        <v>491</v>
      </c>
      <c r="Q6">
        <v>558</v>
      </c>
      <c r="R6">
        <v>511</v>
      </c>
      <c r="S6">
        <v>600</v>
      </c>
      <c r="T6">
        <v>600</v>
      </c>
      <c r="U6">
        <v>675</v>
      </c>
      <c r="V6">
        <v>739</v>
      </c>
      <c r="W6">
        <v>779</v>
      </c>
      <c r="X6">
        <v>846</v>
      </c>
      <c r="Y6">
        <v>960</v>
      </c>
      <c r="Z6">
        <v>919</v>
      </c>
      <c r="AA6">
        <v>1058</v>
      </c>
      <c r="AB6">
        <v>975</v>
      </c>
      <c r="AC6">
        <v>1134</v>
      </c>
      <c r="AD6">
        <v>884</v>
      </c>
      <c r="AE6">
        <v>1072</v>
      </c>
      <c r="AF6">
        <v>927</v>
      </c>
      <c r="AG6">
        <v>1121</v>
      </c>
      <c r="AH6">
        <v>858</v>
      </c>
      <c r="AI6">
        <v>1058</v>
      </c>
      <c r="AJ6">
        <v>933</v>
      </c>
      <c r="AK6">
        <v>1082</v>
      </c>
      <c r="AL6">
        <v>884</v>
      </c>
      <c r="AM6">
        <v>1044</v>
      </c>
      <c r="AN6">
        <v>1014</v>
      </c>
      <c r="AO6">
        <v>921</v>
      </c>
      <c r="AP6">
        <v>906</v>
      </c>
      <c r="AQ6">
        <v>1064</v>
      </c>
      <c r="AR6">
        <v>1006</v>
      </c>
      <c r="AS6">
        <v>932</v>
      </c>
      <c r="AT6">
        <v>839</v>
      </c>
      <c r="AU6">
        <v>948</v>
      </c>
      <c r="AV6">
        <v>1012</v>
      </c>
      <c r="AW6">
        <v>938</v>
      </c>
      <c r="AX6">
        <v>880</v>
      </c>
      <c r="AY6">
        <v>949</v>
      </c>
      <c r="AZ6">
        <v>927</v>
      </c>
      <c r="BA6">
        <v>930</v>
      </c>
      <c r="BB6">
        <v>824</v>
      </c>
      <c r="BC6">
        <v>908</v>
      </c>
      <c r="BD6">
        <v>807</v>
      </c>
      <c r="BE6">
        <v>943</v>
      </c>
      <c r="BF6">
        <v>774</v>
      </c>
      <c r="BG6">
        <v>854</v>
      </c>
      <c r="BH6">
        <v>821</v>
      </c>
      <c r="BI6">
        <v>857</v>
      </c>
      <c r="BJ6">
        <v>809</v>
      </c>
      <c r="BK6">
        <v>784</v>
      </c>
      <c r="BL6">
        <v>852</v>
      </c>
      <c r="BM6">
        <v>878</v>
      </c>
      <c r="BN6">
        <v>779</v>
      </c>
      <c r="BO6">
        <v>756</v>
      </c>
      <c r="BP6">
        <v>717</v>
      </c>
      <c r="BQ6">
        <v>561</v>
      </c>
    </row>
    <row r="7" spans="1:71" x14ac:dyDescent="0.2">
      <c r="B7" t="s">
        <v>678</v>
      </c>
      <c r="C7" t="s">
        <v>15</v>
      </c>
      <c r="E7" s="30">
        <v>47</v>
      </c>
      <c r="F7" s="30">
        <v>72</v>
      </c>
      <c r="G7" s="30">
        <v>126</v>
      </c>
      <c r="H7" s="30">
        <v>171</v>
      </c>
      <c r="I7" s="30">
        <v>175</v>
      </c>
      <c r="J7" s="30">
        <v>217</v>
      </c>
      <c r="K7" s="30">
        <v>235</v>
      </c>
      <c r="L7" s="30">
        <v>290</v>
      </c>
      <c r="M7" s="30">
        <v>270</v>
      </c>
      <c r="N7" s="30">
        <v>296</v>
      </c>
      <c r="O7" s="30">
        <v>342</v>
      </c>
      <c r="P7" s="30">
        <v>327</v>
      </c>
      <c r="Q7" s="30">
        <v>382</v>
      </c>
      <c r="R7" s="30">
        <v>418</v>
      </c>
      <c r="S7" s="30">
        <v>479</v>
      </c>
      <c r="T7" s="30">
        <v>537</v>
      </c>
      <c r="U7" s="30">
        <v>693</v>
      </c>
      <c r="V7" s="30">
        <v>590</v>
      </c>
      <c r="W7" s="30">
        <v>597</v>
      </c>
      <c r="X7" s="30">
        <v>729</v>
      </c>
      <c r="Y7" s="30">
        <v>752</v>
      </c>
      <c r="Z7" s="30">
        <v>640</v>
      </c>
    </row>
    <row r="8" spans="1:71" x14ac:dyDescent="0.2">
      <c r="B8" t="s">
        <v>672</v>
      </c>
      <c r="C8" t="s">
        <v>20</v>
      </c>
      <c r="E8" s="30">
        <v>32.5</v>
      </c>
      <c r="F8" s="30">
        <v>61.3</v>
      </c>
      <c r="G8" s="30">
        <v>106.8</v>
      </c>
      <c r="H8" s="30">
        <v>161.4</v>
      </c>
      <c r="I8" s="30">
        <v>182.8</v>
      </c>
      <c r="J8" s="30">
        <v>228.8</v>
      </c>
      <c r="K8" s="30">
        <v>233</v>
      </c>
      <c r="L8" s="30">
        <v>310</v>
      </c>
      <c r="M8" s="30">
        <v>349</v>
      </c>
      <c r="N8" s="30">
        <v>424.1</v>
      </c>
      <c r="O8" s="30">
        <v>441.8</v>
      </c>
      <c r="P8" s="30">
        <v>519.5</v>
      </c>
      <c r="Q8" s="30">
        <v>513.20000000000005</v>
      </c>
      <c r="R8" s="30">
        <v>628.29999999999995</v>
      </c>
      <c r="S8" s="30">
        <v>605.1</v>
      </c>
      <c r="T8" s="30">
        <v>654.4</v>
      </c>
      <c r="U8" s="30">
        <v>716.4</v>
      </c>
      <c r="V8" s="30">
        <v>721.2</v>
      </c>
      <c r="W8" s="30">
        <v>709.3</v>
      </c>
      <c r="X8" s="30">
        <v>744.4</v>
      </c>
      <c r="Y8" s="30">
        <v>790.2</v>
      </c>
      <c r="Z8" s="30">
        <v>830.8</v>
      </c>
      <c r="AA8" s="30">
        <v>803.2</v>
      </c>
      <c r="AB8" s="30">
        <v>867.7</v>
      </c>
      <c r="AC8" s="30">
        <v>825.3</v>
      </c>
      <c r="AD8" s="30">
        <v>984.6</v>
      </c>
      <c r="AE8" s="30">
        <v>908.8</v>
      </c>
      <c r="AF8" s="30">
        <v>1003.4</v>
      </c>
      <c r="AG8" s="30">
        <v>1068.5999999999999</v>
      </c>
      <c r="AH8" s="30">
        <v>1180.7</v>
      </c>
      <c r="AI8" s="30">
        <v>1114.9000000000001</v>
      </c>
      <c r="AJ8" s="30">
        <v>1223.0999999999999</v>
      </c>
      <c r="AK8" s="30">
        <v>1235.8</v>
      </c>
      <c r="AL8" s="30">
        <v>1420.4</v>
      </c>
      <c r="AM8" s="30">
        <v>1328.2</v>
      </c>
      <c r="AN8" s="30">
        <v>1497.2</v>
      </c>
      <c r="AO8" s="30">
        <v>1375.8</v>
      </c>
      <c r="AP8" s="30">
        <v>883.2</v>
      </c>
      <c r="AQ8" s="30">
        <v>478.2</v>
      </c>
      <c r="AR8" s="30">
        <v>401.3</v>
      </c>
      <c r="AS8" s="30">
        <v>368</v>
      </c>
      <c r="AT8" s="30">
        <v>367.3</v>
      </c>
      <c r="AU8" s="30">
        <v>287</v>
      </c>
      <c r="AV8" s="30">
        <v>274.10000000000002</v>
      </c>
      <c r="AW8" s="30">
        <v>242.9</v>
      </c>
      <c r="AX8" s="30">
        <v>223.6</v>
      </c>
      <c r="AY8" s="30">
        <v>198.7</v>
      </c>
      <c r="AZ8" s="30">
        <v>236.5</v>
      </c>
      <c r="BA8" s="30">
        <v>313.5</v>
      </c>
      <c r="BB8" s="30">
        <v>181.8</v>
      </c>
      <c r="BC8" s="30">
        <v>174.6</v>
      </c>
      <c r="BD8" s="30">
        <v>206.6</v>
      </c>
      <c r="BE8" s="30">
        <v>183.2</v>
      </c>
      <c r="BF8" s="30">
        <v>192.8</v>
      </c>
      <c r="BG8" s="30">
        <v>169.6</v>
      </c>
      <c r="BH8" s="30">
        <v>181.9</v>
      </c>
      <c r="BI8" s="30">
        <v>172</v>
      </c>
      <c r="BJ8" s="30">
        <v>184.5</v>
      </c>
      <c r="BK8" s="30">
        <v>164.1</v>
      </c>
    </row>
    <row r="9" spans="1:71" x14ac:dyDescent="0.2">
      <c r="B9" t="s">
        <v>677</v>
      </c>
      <c r="C9" t="s">
        <v>15</v>
      </c>
      <c r="E9" s="28">
        <v>20</v>
      </c>
      <c r="F9" s="28">
        <v>101</v>
      </c>
      <c r="G9" s="28">
        <v>108</v>
      </c>
      <c r="H9" s="36">
        <f>AVERAGE(G9,I9)</f>
        <v>154</v>
      </c>
      <c r="I9">
        <v>200</v>
      </c>
      <c r="J9">
        <v>255</v>
      </c>
      <c r="K9">
        <v>299</v>
      </c>
      <c r="L9">
        <v>317</v>
      </c>
      <c r="M9">
        <v>371</v>
      </c>
      <c r="N9">
        <v>432</v>
      </c>
      <c r="O9">
        <v>511</v>
      </c>
      <c r="P9">
        <v>498</v>
      </c>
      <c r="Q9">
        <v>584</v>
      </c>
      <c r="R9">
        <v>629</v>
      </c>
      <c r="S9">
        <v>774</v>
      </c>
      <c r="T9">
        <v>765</v>
      </c>
      <c r="U9">
        <v>830</v>
      </c>
      <c r="V9">
        <v>937</v>
      </c>
      <c r="W9">
        <v>901</v>
      </c>
      <c r="X9">
        <v>1099</v>
      </c>
      <c r="Y9">
        <v>1253</v>
      </c>
      <c r="Z9">
        <v>1365</v>
      </c>
      <c r="AA9">
        <v>1433</v>
      </c>
      <c r="AB9">
        <v>1580</v>
      </c>
      <c r="AC9">
        <v>1645</v>
      </c>
      <c r="AD9">
        <v>1856</v>
      </c>
      <c r="AE9">
        <v>1986</v>
      </c>
      <c r="AF9">
        <v>2052</v>
      </c>
      <c r="AG9">
        <v>2083</v>
      </c>
      <c r="AH9">
        <v>2264</v>
      </c>
    </row>
    <row r="10" spans="1:71" x14ac:dyDescent="0.2">
      <c r="B10" t="s">
        <v>675</v>
      </c>
      <c r="C10" t="s">
        <v>15</v>
      </c>
      <c r="E10" s="28">
        <v>5</v>
      </c>
      <c r="F10" s="34">
        <f>AVERAGE(E10,G10)</f>
        <v>50</v>
      </c>
      <c r="G10" s="28">
        <v>95</v>
      </c>
      <c r="H10" s="35">
        <f>AVERAGE(G10,I10)</f>
        <v>147.5</v>
      </c>
      <c r="I10">
        <v>200</v>
      </c>
      <c r="J10">
        <v>232</v>
      </c>
      <c r="K10">
        <v>265</v>
      </c>
      <c r="L10">
        <v>264</v>
      </c>
      <c r="M10">
        <v>344</v>
      </c>
      <c r="N10">
        <v>395</v>
      </c>
      <c r="O10">
        <v>464</v>
      </c>
      <c r="P10">
        <v>495</v>
      </c>
      <c r="Q10">
        <v>512</v>
      </c>
      <c r="R10">
        <v>562</v>
      </c>
      <c r="S10">
        <v>568</v>
      </c>
      <c r="T10">
        <v>595</v>
      </c>
      <c r="U10">
        <v>556</v>
      </c>
      <c r="V10">
        <v>546</v>
      </c>
      <c r="W10">
        <v>548</v>
      </c>
      <c r="X10">
        <v>581</v>
      </c>
      <c r="Y10">
        <v>558</v>
      </c>
      <c r="Z10">
        <v>601</v>
      </c>
      <c r="AA10">
        <v>582</v>
      </c>
      <c r="AB10">
        <v>519</v>
      </c>
      <c r="AC10">
        <v>523</v>
      </c>
      <c r="AD10">
        <v>558</v>
      </c>
      <c r="AE10">
        <v>669</v>
      </c>
      <c r="AF10">
        <v>755</v>
      </c>
      <c r="AG10">
        <v>845</v>
      </c>
      <c r="AH10">
        <v>909</v>
      </c>
      <c r="AI10">
        <v>958</v>
      </c>
      <c r="AJ10">
        <v>786</v>
      </c>
      <c r="AK10">
        <v>679</v>
      </c>
      <c r="AL10">
        <v>698</v>
      </c>
      <c r="AM10">
        <v>741</v>
      </c>
      <c r="AN10">
        <v>677</v>
      </c>
      <c r="AO10">
        <v>690</v>
      </c>
      <c r="AP10">
        <v>568</v>
      </c>
      <c r="AQ10">
        <v>590</v>
      </c>
      <c r="AR10">
        <v>622</v>
      </c>
      <c r="AS10">
        <v>638</v>
      </c>
      <c r="AT10">
        <v>563</v>
      </c>
      <c r="AU10">
        <v>548</v>
      </c>
      <c r="AV10">
        <v>548</v>
      </c>
      <c r="AW10">
        <v>539</v>
      </c>
      <c r="AX10">
        <v>505</v>
      </c>
      <c r="AY10">
        <v>456</v>
      </c>
      <c r="AZ10">
        <v>270</v>
      </c>
      <c r="BA10">
        <v>245</v>
      </c>
    </row>
    <row r="11" spans="1:71" x14ac:dyDescent="0.2">
      <c r="B11" t="s">
        <v>686</v>
      </c>
      <c r="C11" t="s">
        <v>29</v>
      </c>
      <c r="E11" s="28">
        <v>47</v>
      </c>
      <c r="F11" s="28">
        <v>77</v>
      </c>
      <c r="G11" s="28">
        <v>107</v>
      </c>
      <c r="H11">
        <v>117</v>
      </c>
      <c r="I11">
        <v>148</v>
      </c>
      <c r="J11">
        <v>172</v>
      </c>
      <c r="K11">
        <v>197</v>
      </c>
      <c r="L11">
        <v>234</v>
      </c>
      <c r="M11">
        <v>232</v>
      </c>
      <c r="N11">
        <v>267</v>
      </c>
      <c r="O11">
        <v>278</v>
      </c>
      <c r="P11">
        <v>313</v>
      </c>
      <c r="Q11">
        <v>292</v>
      </c>
      <c r="R11">
        <v>337</v>
      </c>
      <c r="S11">
        <v>343</v>
      </c>
      <c r="T11">
        <v>387</v>
      </c>
      <c r="U11">
        <v>337</v>
      </c>
      <c r="V11">
        <v>398</v>
      </c>
      <c r="W11">
        <v>399</v>
      </c>
      <c r="X11">
        <v>381</v>
      </c>
      <c r="Y11">
        <v>362</v>
      </c>
      <c r="Z11">
        <v>412</v>
      </c>
      <c r="AA11">
        <v>427</v>
      </c>
      <c r="AB11">
        <v>442</v>
      </c>
      <c r="AC11">
        <v>390</v>
      </c>
      <c r="AD11">
        <v>453</v>
      </c>
      <c r="AE11">
        <v>412</v>
      </c>
      <c r="AF11">
        <v>418</v>
      </c>
      <c r="AG11">
        <v>385</v>
      </c>
      <c r="AH11">
        <v>375</v>
      </c>
      <c r="AI11">
        <v>377</v>
      </c>
      <c r="AJ11">
        <v>374</v>
      </c>
      <c r="AK11">
        <v>340</v>
      </c>
      <c r="AL11">
        <v>338</v>
      </c>
      <c r="AM11">
        <v>372</v>
      </c>
      <c r="AN11">
        <v>337</v>
      </c>
      <c r="AO11">
        <v>305</v>
      </c>
      <c r="AP11">
        <v>282</v>
      </c>
      <c r="AQ11">
        <v>310</v>
      </c>
      <c r="AR11">
        <v>308</v>
      </c>
      <c r="AS11">
        <v>281</v>
      </c>
      <c r="AT11">
        <v>305</v>
      </c>
      <c r="AU11">
        <v>275</v>
      </c>
      <c r="AV11">
        <v>280</v>
      </c>
      <c r="AW11">
        <v>255</v>
      </c>
      <c r="AX11">
        <v>247</v>
      </c>
      <c r="AY11">
        <v>250</v>
      </c>
      <c r="AZ11">
        <v>223</v>
      </c>
      <c r="BA11">
        <v>245</v>
      </c>
      <c r="BB11">
        <v>196</v>
      </c>
      <c r="BC11">
        <v>205</v>
      </c>
      <c r="BD11">
        <v>211</v>
      </c>
      <c r="BE11">
        <v>209</v>
      </c>
      <c r="BF11">
        <v>192</v>
      </c>
      <c r="BG11">
        <v>189</v>
      </c>
      <c r="BH11">
        <v>178</v>
      </c>
      <c r="BI11">
        <v>158</v>
      </c>
      <c r="BJ11">
        <v>147</v>
      </c>
      <c r="BK11">
        <v>161</v>
      </c>
      <c r="BL11">
        <v>167</v>
      </c>
    </row>
    <row r="12" spans="1:71" s="25" customFormat="1" x14ac:dyDescent="0.2">
      <c r="B12" s="25" t="s">
        <v>679</v>
      </c>
      <c r="C12" s="25" t="s">
        <v>29</v>
      </c>
      <c r="E12" s="26">
        <v>4</v>
      </c>
      <c r="F12" s="26">
        <v>50</v>
      </c>
      <c r="G12" s="26">
        <v>83</v>
      </c>
      <c r="H12" s="25">
        <v>110</v>
      </c>
      <c r="I12" s="25">
        <v>159</v>
      </c>
      <c r="J12" s="37">
        <v>214</v>
      </c>
      <c r="K12" s="37">
        <v>249</v>
      </c>
      <c r="L12" s="37">
        <v>314</v>
      </c>
      <c r="M12" s="37">
        <v>356</v>
      </c>
      <c r="N12" s="37">
        <v>483</v>
      </c>
      <c r="O12" s="25">
        <v>584</v>
      </c>
      <c r="P12" s="25">
        <v>881</v>
      </c>
      <c r="Q12" s="25">
        <v>1047</v>
      </c>
      <c r="R12" s="25">
        <v>1297</v>
      </c>
      <c r="S12" s="25">
        <v>1464</v>
      </c>
      <c r="T12" s="25">
        <v>1667</v>
      </c>
      <c r="U12" s="25">
        <v>1889</v>
      </c>
      <c r="V12" s="25">
        <v>2151</v>
      </c>
      <c r="W12" s="25">
        <v>2269</v>
      </c>
      <c r="X12" s="25">
        <v>2634</v>
      </c>
      <c r="Y12" s="25">
        <v>3070</v>
      </c>
      <c r="Z12" s="25">
        <v>3111</v>
      </c>
      <c r="AA12" s="25">
        <v>3284</v>
      </c>
      <c r="AB12" s="25">
        <v>3388</v>
      </c>
      <c r="AC12" s="25">
        <v>3715</v>
      </c>
      <c r="AD12" s="25">
        <v>3993</v>
      </c>
      <c r="AE12" s="25">
        <v>3899</v>
      </c>
      <c r="AF12" s="25">
        <v>4176</v>
      </c>
      <c r="AG12" s="25">
        <v>4534</v>
      </c>
      <c r="AH12" s="25">
        <v>4577</v>
      </c>
      <c r="AI12" s="25">
        <v>4809</v>
      </c>
      <c r="AJ12" s="25">
        <v>5252</v>
      </c>
      <c r="AK12" s="25">
        <v>5426</v>
      </c>
      <c r="AL12" s="25">
        <v>5450</v>
      </c>
    </row>
    <row r="13" spans="1:71" x14ac:dyDescent="0.2">
      <c r="B13" t="s">
        <v>664</v>
      </c>
      <c r="C13" t="s">
        <v>20</v>
      </c>
      <c r="E13" s="29">
        <v>19.3</v>
      </c>
      <c r="F13" s="29">
        <v>32.5</v>
      </c>
      <c r="G13" s="29">
        <v>61.3</v>
      </c>
      <c r="H13" s="29">
        <v>96.6</v>
      </c>
      <c r="I13" s="29">
        <v>138.69999999999999</v>
      </c>
      <c r="J13" s="29">
        <v>151.30000000000001</v>
      </c>
      <c r="K13" s="29">
        <v>172.5</v>
      </c>
      <c r="L13" s="29">
        <v>146.5</v>
      </c>
      <c r="M13" s="29">
        <v>220.1</v>
      </c>
      <c r="N13" s="29">
        <v>263.89999999999998</v>
      </c>
      <c r="O13" s="29">
        <v>307</v>
      </c>
      <c r="P13" s="29">
        <v>252.5</v>
      </c>
      <c r="Q13" s="29">
        <v>353.8</v>
      </c>
      <c r="R13" s="29">
        <v>340</v>
      </c>
      <c r="S13" s="29">
        <v>420.1</v>
      </c>
      <c r="T13" s="29">
        <v>443.5</v>
      </c>
      <c r="U13" s="29">
        <v>395.2</v>
      </c>
      <c r="V13" s="29">
        <v>454.5</v>
      </c>
      <c r="W13" s="29">
        <v>495.3</v>
      </c>
      <c r="X13" s="29">
        <v>403.2</v>
      </c>
      <c r="Y13" s="29">
        <v>569.1</v>
      </c>
      <c r="Z13" s="29">
        <v>593.1</v>
      </c>
      <c r="AA13" s="29">
        <v>647.4</v>
      </c>
      <c r="AB13" s="29">
        <v>488.1</v>
      </c>
      <c r="AC13" s="29">
        <v>606.20000000000005</v>
      </c>
      <c r="AD13" s="29">
        <v>679.9</v>
      </c>
      <c r="AE13" s="29">
        <v>707.8</v>
      </c>
      <c r="AF13" s="29">
        <v>527</v>
      </c>
    </row>
    <row r="14" spans="1:71" x14ac:dyDescent="0.2">
      <c r="B14" t="s">
        <v>676</v>
      </c>
      <c r="C14" t="s">
        <v>15</v>
      </c>
      <c r="E14" s="28">
        <v>10</v>
      </c>
      <c r="F14" s="28">
        <v>42</v>
      </c>
      <c r="G14" s="28">
        <v>56</v>
      </c>
      <c r="H14">
        <v>92</v>
      </c>
      <c r="I14">
        <v>116</v>
      </c>
      <c r="J14">
        <v>154</v>
      </c>
      <c r="K14">
        <v>184</v>
      </c>
      <c r="L14">
        <v>235</v>
      </c>
      <c r="M14">
        <v>261</v>
      </c>
      <c r="N14">
        <v>295</v>
      </c>
      <c r="O14">
        <v>349</v>
      </c>
      <c r="P14">
        <v>346</v>
      </c>
      <c r="Q14">
        <v>409</v>
      </c>
      <c r="R14">
        <v>450</v>
      </c>
      <c r="S14">
        <v>512</v>
      </c>
      <c r="T14">
        <v>522</v>
      </c>
      <c r="U14">
        <v>587</v>
      </c>
      <c r="V14">
        <v>620</v>
      </c>
      <c r="W14">
        <v>705</v>
      </c>
      <c r="X14">
        <v>703</v>
      </c>
      <c r="Y14">
        <v>784</v>
      </c>
      <c r="Z14">
        <v>831</v>
      </c>
      <c r="AA14">
        <v>921</v>
      </c>
      <c r="AB14">
        <v>875</v>
      </c>
      <c r="AC14">
        <v>1031</v>
      </c>
      <c r="AD14">
        <v>949</v>
      </c>
      <c r="AE14">
        <v>1031</v>
      </c>
      <c r="AF14">
        <v>1117</v>
      </c>
      <c r="AG14">
        <v>1125</v>
      </c>
      <c r="AH14">
        <v>1116</v>
      </c>
      <c r="AI14">
        <v>1066</v>
      </c>
      <c r="AJ14">
        <v>1062</v>
      </c>
      <c r="AK14">
        <v>1038</v>
      </c>
      <c r="AL14">
        <v>970</v>
      </c>
      <c r="AM14">
        <v>911</v>
      </c>
      <c r="AN14">
        <v>866</v>
      </c>
      <c r="AO14">
        <v>827</v>
      </c>
    </row>
    <row r="15" spans="1:71" x14ac:dyDescent="0.2">
      <c r="B15" t="s">
        <v>660</v>
      </c>
      <c r="C15" t="s">
        <v>20</v>
      </c>
      <c r="E15" s="30">
        <v>21</v>
      </c>
      <c r="F15" s="30">
        <v>29.7</v>
      </c>
      <c r="G15" s="30">
        <v>57.7</v>
      </c>
      <c r="H15" s="30">
        <v>84.5</v>
      </c>
      <c r="I15" s="30">
        <v>83.1</v>
      </c>
      <c r="J15" s="30">
        <v>109.4</v>
      </c>
      <c r="K15" s="30">
        <v>133.9</v>
      </c>
      <c r="L15" s="30">
        <v>157.19999999999999</v>
      </c>
      <c r="M15" s="30">
        <v>179.1</v>
      </c>
      <c r="N15" s="30">
        <v>188</v>
      </c>
      <c r="O15" s="30">
        <v>208.6</v>
      </c>
      <c r="P15" s="30">
        <v>234.4</v>
      </c>
      <c r="Q15" s="30">
        <v>281.60000000000002</v>
      </c>
      <c r="R15" s="30">
        <v>269</v>
      </c>
      <c r="S15" s="30">
        <v>341.3</v>
      </c>
      <c r="T15" s="30">
        <v>335.5</v>
      </c>
      <c r="U15" s="30">
        <v>404.1</v>
      </c>
      <c r="V15" s="30">
        <v>469.4</v>
      </c>
      <c r="W15" s="30">
        <v>588.5</v>
      </c>
      <c r="X15" s="30">
        <v>617.70000000000005</v>
      </c>
      <c r="Y15" s="30">
        <v>808</v>
      </c>
      <c r="Z15" s="30">
        <v>750.9</v>
      </c>
    </row>
    <row r="16" spans="1:71" x14ac:dyDescent="0.2">
      <c r="B16" t="s">
        <v>666</v>
      </c>
      <c r="C16" t="s">
        <v>20</v>
      </c>
      <c r="E16" s="29">
        <v>10.199999999999999</v>
      </c>
      <c r="F16" s="29">
        <v>18.3</v>
      </c>
      <c r="G16" s="29">
        <v>44.3</v>
      </c>
      <c r="H16" s="29">
        <v>73.7</v>
      </c>
      <c r="I16" s="29">
        <v>112.5</v>
      </c>
      <c r="J16" s="29">
        <v>143.6</v>
      </c>
      <c r="K16" s="29">
        <v>201.3</v>
      </c>
      <c r="L16" s="29">
        <v>243.6</v>
      </c>
      <c r="M16" s="29">
        <v>337</v>
      </c>
      <c r="N16" s="29">
        <v>372.9</v>
      </c>
      <c r="O16" s="29">
        <v>480.2</v>
      </c>
      <c r="P16" s="29">
        <v>527.70000000000005</v>
      </c>
      <c r="Q16" s="29">
        <v>649</v>
      </c>
      <c r="R16" s="29">
        <v>678.3</v>
      </c>
      <c r="S16" s="29">
        <v>779.8</v>
      </c>
      <c r="T16" s="29">
        <v>816.2</v>
      </c>
      <c r="U16" s="29">
        <v>924.7</v>
      </c>
      <c r="V16" s="29">
        <v>879.7</v>
      </c>
      <c r="W16" s="29">
        <v>1028.5</v>
      </c>
      <c r="X16" s="29">
        <v>1011.5</v>
      </c>
      <c r="Y16" s="29">
        <v>1208.0999999999999</v>
      </c>
      <c r="Z16" s="29">
        <v>1229.4000000000001</v>
      </c>
      <c r="AA16" s="29">
        <v>1229.8</v>
      </c>
      <c r="AB16" s="29">
        <v>1106.5999999999999</v>
      </c>
      <c r="AC16" s="29">
        <v>1502.4</v>
      </c>
      <c r="AD16" s="29">
        <v>1452.4</v>
      </c>
      <c r="AE16" s="29">
        <v>1535.6</v>
      </c>
      <c r="AF16" s="29">
        <v>1600.1</v>
      </c>
      <c r="AG16" s="29">
        <v>1883.7</v>
      </c>
      <c r="AH16" s="29">
        <v>1741.3</v>
      </c>
      <c r="AI16" s="29">
        <v>1911.9</v>
      </c>
      <c r="AJ16" s="29">
        <v>1850.4</v>
      </c>
      <c r="AK16" s="29">
        <v>1936.2</v>
      </c>
      <c r="AL16" s="29">
        <v>1977.1</v>
      </c>
    </row>
    <row r="17" spans="2:101" x14ac:dyDescent="0.2">
      <c r="B17" t="s">
        <v>671</v>
      </c>
      <c r="C17" t="s">
        <v>20</v>
      </c>
      <c r="E17" s="30">
        <v>11.6</v>
      </c>
      <c r="F17" s="30">
        <v>17.8</v>
      </c>
      <c r="G17" s="30">
        <v>40</v>
      </c>
      <c r="H17" s="30">
        <v>73.099999999999994</v>
      </c>
      <c r="I17" s="30">
        <v>93.9</v>
      </c>
      <c r="J17" s="30">
        <v>111.2</v>
      </c>
      <c r="K17" s="30">
        <v>122.3</v>
      </c>
      <c r="L17" s="30">
        <v>135.80000000000001</v>
      </c>
      <c r="M17" s="30">
        <v>130</v>
      </c>
      <c r="N17" s="30">
        <v>153</v>
      </c>
      <c r="O17" s="30">
        <v>157</v>
      </c>
      <c r="P17" s="30">
        <v>171.4</v>
      </c>
      <c r="Q17" s="30">
        <v>187.8</v>
      </c>
      <c r="R17" s="30">
        <v>207.1</v>
      </c>
      <c r="S17" s="30">
        <v>215</v>
      </c>
      <c r="T17" s="30">
        <v>244.1</v>
      </c>
      <c r="U17" s="30">
        <v>247.2</v>
      </c>
      <c r="V17" s="30">
        <v>275</v>
      </c>
      <c r="W17" s="30">
        <v>313.89999999999998</v>
      </c>
      <c r="X17" s="30">
        <v>318.7</v>
      </c>
      <c r="Y17" s="30">
        <v>335.3</v>
      </c>
      <c r="Z17" s="30">
        <v>385.3</v>
      </c>
      <c r="AA17" s="30">
        <v>461.9</v>
      </c>
      <c r="AB17" s="30">
        <v>523.6</v>
      </c>
      <c r="AC17" s="30">
        <v>527.4</v>
      </c>
      <c r="AD17" s="30">
        <v>551.79999999999995</v>
      </c>
      <c r="AE17" s="30">
        <v>560.29999999999995</v>
      </c>
      <c r="AF17" s="30">
        <v>569</v>
      </c>
      <c r="AG17" s="30">
        <v>579.9</v>
      </c>
      <c r="AH17" s="30">
        <v>613.4</v>
      </c>
      <c r="AI17" s="30">
        <v>629.70000000000005</v>
      </c>
      <c r="AJ17" s="30">
        <v>638.1</v>
      </c>
      <c r="AK17" s="30">
        <v>606.79999999999995</v>
      </c>
      <c r="AL17" s="30">
        <v>659.5</v>
      </c>
      <c r="AM17" s="30">
        <v>643.6</v>
      </c>
      <c r="AN17" s="30">
        <v>684.3</v>
      </c>
      <c r="AO17" s="30">
        <v>616.79999999999995</v>
      </c>
      <c r="AP17" s="30">
        <v>669.4</v>
      </c>
      <c r="AQ17" s="30">
        <v>690.5</v>
      </c>
      <c r="AR17" s="30">
        <v>726.2</v>
      </c>
      <c r="AS17" s="30">
        <v>632</v>
      </c>
      <c r="AT17" s="30">
        <v>711.6</v>
      </c>
      <c r="AU17" s="30">
        <v>723.4</v>
      </c>
      <c r="AV17" s="30">
        <v>725</v>
      </c>
      <c r="AW17" s="30">
        <v>573</v>
      </c>
      <c r="AX17" s="30">
        <v>664.3</v>
      </c>
      <c r="AY17" s="30">
        <v>628.5</v>
      </c>
      <c r="AZ17" s="30">
        <v>627.20000000000005</v>
      </c>
      <c r="BA17" s="30">
        <v>564.20000000000005</v>
      </c>
      <c r="BB17" s="30">
        <v>607.1</v>
      </c>
      <c r="BC17" s="30">
        <v>570.4</v>
      </c>
      <c r="BD17" s="30">
        <v>541.6</v>
      </c>
      <c r="BE17" s="30">
        <v>489.9</v>
      </c>
      <c r="BF17" s="30">
        <v>532.9</v>
      </c>
      <c r="BG17" s="30">
        <v>514.5</v>
      </c>
      <c r="BH17" s="30">
        <v>525.20000000000005</v>
      </c>
      <c r="BI17" s="30">
        <v>499.6</v>
      </c>
      <c r="BJ17" s="30">
        <v>555.9</v>
      </c>
      <c r="BK17" s="30">
        <v>520.5</v>
      </c>
      <c r="BL17" s="30">
        <v>556.9</v>
      </c>
      <c r="BM17" s="30">
        <v>499.2</v>
      </c>
      <c r="BN17" s="30">
        <v>577.79999999999995</v>
      </c>
      <c r="BO17" s="30">
        <v>508.2</v>
      </c>
      <c r="BP17" s="30">
        <v>530.70000000000005</v>
      </c>
      <c r="BQ17" s="30">
        <v>560.1</v>
      </c>
      <c r="BR17" s="30">
        <v>539.1</v>
      </c>
      <c r="BS17" s="30">
        <v>578</v>
      </c>
      <c r="BT17" s="30">
        <v>652.70000000000005</v>
      </c>
      <c r="BU17" s="30">
        <v>559</v>
      </c>
      <c r="BV17" s="30">
        <v>610.6</v>
      </c>
      <c r="BW17" s="30">
        <v>457</v>
      </c>
      <c r="BX17" s="30">
        <v>434.9</v>
      </c>
      <c r="BY17" s="30">
        <v>343.9</v>
      </c>
      <c r="BZ17" s="30">
        <v>227.7</v>
      </c>
      <c r="CA17" s="30">
        <v>119.4</v>
      </c>
      <c r="CB17" s="30">
        <v>236.6</v>
      </c>
      <c r="CC17" s="30">
        <v>58.2</v>
      </c>
    </row>
    <row r="18" spans="2:101" x14ac:dyDescent="0.2">
      <c r="B18" t="s">
        <v>668</v>
      </c>
      <c r="C18" t="s">
        <v>20</v>
      </c>
      <c r="E18" s="30">
        <v>13.7</v>
      </c>
      <c r="F18" s="30">
        <v>28.4</v>
      </c>
      <c r="G18" s="30">
        <v>33.6</v>
      </c>
      <c r="H18" s="30">
        <v>67.5</v>
      </c>
      <c r="I18" s="30">
        <v>87.7</v>
      </c>
      <c r="J18" s="30">
        <v>111.2</v>
      </c>
      <c r="K18" s="30">
        <v>117.5</v>
      </c>
      <c r="L18" s="30">
        <v>131</v>
      </c>
      <c r="M18" s="30">
        <v>147</v>
      </c>
      <c r="N18" s="30">
        <v>159</v>
      </c>
      <c r="O18" s="30">
        <v>177.1</v>
      </c>
      <c r="P18" s="30">
        <v>171.2</v>
      </c>
      <c r="Q18" s="30">
        <v>186.3</v>
      </c>
      <c r="R18" s="30">
        <v>196</v>
      </c>
      <c r="S18" s="30">
        <v>204.8</v>
      </c>
      <c r="T18" s="30">
        <v>183.6</v>
      </c>
      <c r="U18" s="30">
        <v>218.8</v>
      </c>
      <c r="V18" s="30">
        <v>198.4</v>
      </c>
      <c r="W18" s="30">
        <v>220.6</v>
      </c>
      <c r="X18" s="30">
        <v>198.3</v>
      </c>
      <c r="Y18" s="30">
        <v>241.8</v>
      </c>
      <c r="Z18" s="30">
        <v>240</v>
      </c>
      <c r="AA18" s="30">
        <v>245.1</v>
      </c>
      <c r="AB18" s="30">
        <v>239</v>
      </c>
      <c r="AC18" s="30">
        <v>256.7</v>
      </c>
      <c r="AD18" s="30">
        <v>252.7</v>
      </c>
      <c r="AE18" s="30">
        <v>284.2</v>
      </c>
      <c r="AF18" s="30">
        <v>240.5</v>
      </c>
      <c r="AG18" s="30">
        <v>268.7</v>
      </c>
      <c r="AH18" s="30">
        <v>253.4</v>
      </c>
      <c r="AI18" s="30">
        <v>270.39999999999998</v>
      </c>
      <c r="AJ18" s="30">
        <v>230.3</v>
      </c>
      <c r="AK18" s="30">
        <v>231.3</v>
      </c>
      <c r="AL18" s="30">
        <v>232.1</v>
      </c>
      <c r="AM18" s="30">
        <v>277.8</v>
      </c>
      <c r="AN18" s="30">
        <v>236.8</v>
      </c>
    </row>
    <row r="19" spans="2:101" x14ac:dyDescent="0.2">
      <c r="B19" t="s">
        <v>670</v>
      </c>
      <c r="C19" t="s">
        <v>20</v>
      </c>
      <c r="E19" s="30">
        <v>25.7</v>
      </c>
      <c r="F19" s="30">
        <v>36</v>
      </c>
      <c r="G19" s="30">
        <v>52</v>
      </c>
      <c r="H19" s="30">
        <v>62</v>
      </c>
      <c r="I19" s="30">
        <f>M19/1.34</f>
        <v>68.731343283582078</v>
      </c>
      <c r="J19" s="30">
        <v>72</v>
      </c>
      <c r="K19" s="30">
        <v>152.1</v>
      </c>
      <c r="L19" s="30">
        <v>87.1</v>
      </c>
      <c r="M19" s="30">
        <v>92.1</v>
      </c>
      <c r="N19" s="30">
        <v>82.7</v>
      </c>
      <c r="O19" s="30">
        <v>101.2</v>
      </c>
      <c r="P19" s="30">
        <v>109.2</v>
      </c>
      <c r="Q19" s="30">
        <v>103</v>
      </c>
      <c r="R19" s="30">
        <v>97.5</v>
      </c>
      <c r="S19" s="30">
        <v>114.6</v>
      </c>
      <c r="T19" s="30">
        <v>115.8</v>
      </c>
      <c r="U19" s="30">
        <v>120.5</v>
      </c>
      <c r="V19" s="30">
        <v>115.7</v>
      </c>
      <c r="W19" s="30">
        <v>106.9</v>
      </c>
      <c r="X19" s="30">
        <v>102.7</v>
      </c>
      <c r="Y19" s="30">
        <v>105.3</v>
      </c>
      <c r="Z19" s="30">
        <v>101.8</v>
      </c>
      <c r="AA19" s="30">
        <v>103.9</v>
      </c>
      <c r="AB19" s="30">
        <v>106.7</v>
      </c>
      <c r="AC19" s="30">
        <v>110.3</v>
      </c>
    </row>
    <row r="20" spans="2:101" x14ac:dyDescent="0.2">
      <c r="B20" t="s">
        <v>684</v>
      </c>
      <c r="C20" t="s">
        <v>685</v>
      </c>
      <c r="E20" s="28">
        <v>41</v>
      </c>
      <c r="F20" s="28">
        <v>47</v>
      </c>
      <c r="G20" s="28">
        <v>52</v>
      </c>
      <c r="H20">
        <v>60</v>
      </c>
      <c r="I20">
        <v>58</v>
      </c>
      <c r="J20">
        <v>60</v>
      </c>
      <c r="K20">
        <v>68</v>
      </c>
      <c r="L20">
        <v>75</v>
      </c>
      <c r="M20">
        <v>63</v>
      </c>
      <c r="N20">
        <v>69</v>
      </c>
      <c r="O20">
        <v>75</v>
      </c>
      <c r="P20">
        <v>82</v>
      </c>
      <c r="Q20">
        <v>73</v>
      </c>
      <c r="R20">
        <v>82</v>
      </c>
      <c r="S20">
        <v>90</v>
      </c>
      <c r="T20">
        <v>95</v>
      </c>
      <c r="U20">
        <v>85</v>
      </c>
      <c r="V20">
        <v>87</v>
      </c>
      <c r="W20">
        <v>89</v>
      </c>
      <c r="X20">
        <v>92</v>
      </c>
      <c r="Y20">
        <v>90</v>
      </c>
      <c r="Z20">
        <v>113</v>
      </c>
      <c r="AA20">
        <v>139</v>
      </c>
      <c r="AB20">
        <v>139</v>
      </c>
      <c r="AC20">
        <v>148</v>
      </c>
      <c r="AD20">
        <v>163</v>
      </c>
      <c r="AE20">
        <v>185</v>
      </c>
      <c r="AF20">
        <v>209</v>
      </c>
      <c r="AG20">
        <v>204</v>
      </c>
      <c r="AH20">
        <v>240</v>
      </c>
      <c r="AI20">
        <v>217</v>
      </c>
      <c r="AJ20">
        <v>256</v>
      </c>
      <c r="AK20">
        <v>255</v>
      </c>
      <c r="AL20">
        <v>278</v>
      </c>
      <c r="AM20">
        <v>284</v>
      </c>
      <c r="AN20">
        <v>313</v>
      </c>
      <c r="AO20">
        <v>299</v>
      </c>
      <c r="AP20">
        <v>224</v>
      </c>
      <c r="AQ20">
        <v>320</v>
      </c>
      <c r="AR20">
        <v>355</v>
      </c>
      <c r="AS20">
        <v>340</v>
      </c>
      <c r="AT20">
        <v>387</v>
      </c>
      <c r="AU20">
        <v>369</v>
      </c>
      <c r="AV20">
        <v>436</v>
      </c>
      <c r="AW20">
        <v>395</v>
      </c>
      <c r="AX20">
        <v>426</v>
      </c>
      <c r="AY20">
        <v>423</v>
      </c>
      <c r="AZ20">
        <v>441</v>
      </c>
    </row>
    <row r="21" spans="2:101" x14ac:dyDescent="0.2">
      <c r="B21" t="s">
        <v>682</v>
      </c>
      <c r="C21" t="s">
        <v>29</v>
      </c>
      <c r="E21" s="28">
        <v>24</v>
      </c>
      <c r="F21" s="28">
        <v>19</v>
      </c>
      <c r="G21" s="28">
        <v>30</v>
      </c>
      <c r="H21">
        <v>58</v>
      </c>
      <c r="I21">
        <v>72</v>
      </c>
      <c r="J21">
        <v>101</v>
      </c>
      <c r="K21" s="35">
        <f>AVERAGE(J21,L21)</f>
        <v>114.5</v>
      </c>
      <c r="L21">
        <v>128</v>
      </c>
      <c r="M21">
        <v>155</v>
      </c>
      <c r="N21">
        <v>173</v>
      </c>
      <c r="O21">
        <v>202</v>
      </c>
      <c r="P21">
        <v>201</v>
      </c>
      <c r="Q21">
        <v>218</v>
      </c>
      <c r="R21">
        <v>247</v>
      </c>
      <c r="S21">
        <v>288</v>
      </c>
      <c r="T21">
        <v>305</v>
      </c>
      <c r="U21">
        <v>321</v>
      </c>
      <c r="V21">
        <v>350</v>
      </c>
      <c r="W21">
        <v>386</v>
      </c>
      <c r="X21">
        <v>392</v>
      </c>
      <c r="Y21">
        <v>411</v>
      </c>
      <c r="Z21">
        <v>405</v>
      </c>
      <c r="AA21">
        <v>452</v>
      </c>
      <c r="AB21">
        <v>409</v>
      </c>
      <c r="AC21">
        <v>474</v>
      </c>
      <c r="AD21">
        <v>442</v>
      </c>
      <c r="AE21">
        <v>503</v>
      </c>
      <c r="AF21">
        <v>476</v>
      </c>
      <c r="AG21">
        <v>519</v>
      </c>
      <c r="AH21">
        <v>505</v>
      </c>
      <c r="AI21">
        <v>570</v>
      </c>
      <c r="AJ21">
        <v>509</v>
      </c>
      <c r="AK21">
        <v>554</v>
      </c>
      <c r="AL21">
        <v>562</v>
      </c>
      <c r="AM21">
        <v>526</v>
      </c>
      <c r="AN21">
        <v>506</v>
      </c>
      <c r="AO21">
        <v>569</v>
      </c>
      <c r="AP21">
        <v>548</v>
      </c>
      <c r="AQ21">
        <v>577</v>
      </c>
      <c r="AR21">
        <v>496</v>
      </c>
      <c r="AS21">
        <v>563</v>
      </c>
      <c r="AT21">
        <v>513</v>
      </c>
      <c r="AU21">
        <v>586</v>
      </c>
      <c r="AV21">
        <v>544</v>
      </c>
      <c r="AW21">
        <v>585</v>
      </c>
      <c r="AX21">
        <v>563</v>
      </c>
      <c r="AY21">
        <v>535</v>
      </c>
      <c r="AZ21">
        <v>530</v>
      </c>
      <c r="BA21">
        <v>533</v>
      </c>
      <c r="BB21">
        <v>503</v>
      </c>
      <c r="BC21">
        <v>475</v>
      </c>
      <c r="BD21">
        <v>503</v>
      </c>
      <c r="BE21">
        <v>490</v>
      </c>
      <c r="BF21">
        <v>506</v>
      </c>
      <c r="BG21">
        <v>472</v>
      </c>
      <c r="BH21">
        <v>486</v>
      </c>
      <c r="BI21">
        <v>477</v>
      </c>
      <c r="BJ21">
        <v>487</v>
      </c>
      <c r="BK21">
        <v>514</v>
      </c>
      <c r="BL21">
        <v>454</v>
      </c>
      <c r="BM21">
        <v>476</v>
      </c>
      <c r="BN21">
        <v>417</v>
      </c>
      <c r="BO21">
        <v>353</v>
      </c>
    </row>
    <row r="22" spans="2:101" x14ac:dyDescent="0.2">
      <c r="B22" t="s">
        <v>658</v>
      </c>
      <c r="C22" t="s">
        <v>20</v>
      </c>
      <c r="E22" s="29">
        <v>4.9000000000000004</v>
      </c>
      <c r="F22" s="29">
        <v>14.2</v>
      </c>
      <c r="G22" s="29">
        <v>34.299999999999997</v>
      </c>
      <c r="H22" s="29">
        <v>47.7</v>
      </c>
      <c r="I22" s="29">
        <v>66.3</v>
      </c>
      <c r="J22" s="29">
        <v>74</v>
      </c>
      <c r="K22" s="29">
        <v>87.4</v>
      </c>
      <c r="L22" s="29">
        <v>91.5</v>
      </c>
      <c r="M22" s="29">
        <v>109.9</v>
      </c>
      <c r="N22" s="29">
        <v>119.5</v>
      </c>
      <c r="O22" s="29">
        <v>156.30000000000001</v>
      </c>
      <c r="P22" s="29">
        <v>140</v>
      </c>
      <c r="Q22" s="29">
        <v>161.5</v>
      </c>
      <c r="R22" s="29">
        <v>149.30000000000001</v>
      </c>
      <c r="S22" s="29">
        <v>157.5</v>
      </c>
      <c r="T22" s="29">
        <v>168.5</v>
      </c>
      <c r="U22" s="29">
        <v>175.6</v>
      </c>
      <c r="V22" s="29">
        <v>154.30000000000001</v>
      </c>
    </row>
    <row r="23" spans="2:101" x14ac:dyDescent="0.2">
      <c r="B23" t="s">
        <v>674</v>
      </c>
      <c r="C23" t="s">
        <v>15</v>
      </c>
      <c r="E23" s="28">
        <v>21</v>
      </c>
      <c r="F23" s="28">
        <v>26</v>
      </c>
      <c r="G23" s="28">
        <v>27</v>
      </c>
      <c r="H23">
        <v>41</v>
      </c>
      <c r="I23">
        <v>49</v>
      </c>
      <c r="J23" s="31">
        <v>91.2</v>
      </c>
      <c r="K23" s="31">
        <v>90.8</v>
      </c>
      <c r="L23" s="31">
        <v>139</v>
      </c>
      <c r="M23" s="31">
        <v>131</v>
      </c>
      <c r="N23" s="31">
        <v>171</v>
      </c>
      <c r="O23">
        <v>209</v>
      </c>
      <c r="P23">
        <v>210</v>
      </c>
      <c r="Q23">
        <v>245</v>
      </c>
      <c r="R23">
        <v>332</v>
      </c>
      <c r="S23">
        <v>341</v>
      </c>
      <c r="T23">
        <v>379</v>
      </c>
      <c r="U23">
        <v>409</v>
      </c>
      <c r="V23">
        <v>421</v>
      </c>
      <c r="W23">
        <v>444</v>
      </c>
      <c r="X23">
        <v>456</v>
      </c>
      <c r="Y23">
        <v>464</v>
      </c>
      <c r="Z23">
        <v>539</v>
      </c>
      <c r="AA23">
        <v>545</v>
      </c>
      <c r="AB23">
        <v>598</v>
      </c>
      <c r="AC23">
        <v>577</v>
      </c>
      <c r="AD23">
        <v>642</v>
      </c>
      <c r="AE23">
        <v>624</v>
      </c>
      <c r="AF23">
        <v>692</v>
      </c>
      <c r="AG23">
        <v>681</v>
      </c>
      <c r="AH23">
        <v>777</v>
      </c>
      <c r="AI23">
        <v>776</v>
      </c>
      <c r="AJ23">
        <v>780</v>
      </c>
      <c r="AK23">
        <v>731</v>
      </c>
      <c r="AL23">
        <v>869</v>
      </c>
      <c r="AM23">
        <v>819</v>
      </c>
      <c r="AN23">
        <v>908</v>
      </c>
      <c r="AO23">
        <v>998</v>
      </c>
      <c r="AP23">
        <v>886</v>
      </c>
      <c r="AQ23">
        <v>978</v>
      </c>
      <c r="AR23">
        <v>886</v>
      </c>
      <c r="AS23">
        <v>1028</v>
      </c>
      <c r="AT23">
        <v>1102</v>
      </c>
      <c r="AU23">
        <v>1036</v>
      </c>
      <c r="AV23">
        <v>1138</v>
      </c>
      <c r="AW23">
        <v>1186</v>
      </c>
      <c r="AX23">
        <v>1130</v>
      </c>
      <c r="AY23">
        <v>1229</v>
      </c>
      <c r="AZ23">
        <v>1065</v>
      </c>
      <c r="BA23">
        <v>1285</v>
      </c>
      <c r="BB23">
        <v>1371</v>
      </c>
      <c r="BC23">
        <v>1408</v>
      </c>
      <c r="BD23">
        <v>1428</v>
      </c>
      <c r="BE23">
        <v>1521</v>
      </c>
      <c r="BF23">
        <v>1523</v>
      </c>
      <c r="BG23">
        <v>1591</v>
      </c>
      <c r="BH23">
        <v>1504</v>
      </c>
      <c r="BI23">
        <v>1600</v>
      </c>
      <c r="BJ23">
        <v>1672</v>
      </c>
      <c r="BK23">
        <v>1689</v>
      </c>
      <c r="BL23">
        <v>1712</v>
      </c>
      <c r="BM23">
        <v>1610</v>
      </c>
      <c r="BN23">
        <v>1804</v>
      </c>
      <c r="BO23">
        <v>1782</v>
      </c>
      <c r="BP23">
        <v>1672</v>
      </c>
      <c r="BQ23">
        <v>1600</v>
      </c>
      <c r="BR23">
        <v>1668</v>
      </c>
      <c r="BS23">
        <v>1613</v>
      </c>
      <c r="BT23">
        <v>1680</v>
      </c>
      <c r="BU23">
        <v>1779</v>
      </c>
      <c r="BV23">
        <v>1780</v>
      </c>
      <c r="BW23">
        <v>1783</v>
      </c>
      <c r="BX23">
        <v>1624</v>
      </c>
      <c r="BY23">
        <v>1672</v>
      </c>
      <c r="BZ23">
        <v>1530</v>
      </c>
      <c r="CA23">
        <v>1647</v>
      </c>
      <c r="CB23">
        <v>1466</v>
      </c>
      <c r="CC23">
        <v>1389</v>
      </c>
      <c r="CD23">
        <v>1320</v>
      </c>
      <c r="CE23">
        <v>1379</v>
      </c>
      <c r="CF23">
        <v>1238</v>
      </c>
      <c r="CG23">
        <v>1102</v>
      </c>
      <c r="CH23">
        <v>1107</v>
      </c>
      <c r="CI23">
        <v>1136</v>
      </c>
      <c r="CJ23">
        <v>1035</v>
      </c>
      <c r="CK23">
        <v>990</v>
      </c>
      <c r="CL23">
        <v>935</v>
      </c>
      <c r="CM23">
        <v>921</v>
      </c>
      <c r="CN23">
        <v>901</v>
      </c>
      <c r="CO23">
        <v>777</v>
      </c>
      <c r="CP23">
        <v>888</v>
      </c>
      <c r="CQ23">
        <v>761</v>
      </c>
      <c r="CR23">
        <v>764</v>
      </c>
      <c r="CS23">
        <v>663</v>
      </c>
      <c r="CT23">
        <v>647</v>
      </c>
      <c r="CU23">
        <v>558</v>
      </c>
      <c r="CV23">
        <v>475</v>
      </c>
      <c r="CW23">
        <v>487</v>
      </c>
    </row>
    <row r="24" spans="2:101" x14ac:dyDescent="0.2">
      <c r="B24" t="s">
        <v>662</v>
      </c>
      <c r="C24" t="s">
        <v>20</v>
      </c>
      <c r="E24" s="29">
        <v>9.9</v>
      </c>
      <c r="F24" s="29">
        <v>40.1</v>
      </c>
      <c r="G24" s="29">
        <v>46.6</v>
      </c>
      <c r="H24" s="29">
        <v>37.4</v>
      </c>
      <c r="I24" s="29">
        <v>57.4</v>
      </c>
      <c r="J24" s="29">
        <v>64.099999999999994</v>
      </c>
      <c r="K24" s="29">
        <v>84.4</v>
      </c>
      <c r="L24" s="29">
        <v>102.8</v>
      </c>
      <c r="M24" s="29">
        <v>109.7</v>
      </c>
      <c r="N24" s="29">
        <v>105</v>
      </c>
      <c r="O24" s="29">
        <v>125.6</v>
      </c>
      <c r="P24" s="29">
        <v>77.8</v>
      </c>
      <c r="Q24" s="29">
        <v>85.5</v>
      </c>
      <c r="R24" s="29">
        <v>73.599999999999994</v>
      </c>
      <c r="S24" s="29">
        <v>76.8</v>
      </c>
      <c r="T24" s="29">
        <v>57.5</v>
      </c>
      <c r="U24" s="29">
        <v>61</v>
      </c>
    </row>
    <row r="25" spans="2:101" x14ac:dyDescent="0.2">
      <c r="B25" t="s">
        <v>661</v>
      </c>
      <c r="C25" t="s">
        <v>20</v>
      </c>
      <c r="E25" s="29">
        <v>1.9</v>
      </c>
      <c r="F25" s="29">
        <v>4.8</v>
      </c>
      <c r="G25" s="29">
        <v>16.2</v>
      </c>
      <c r="H25" s="29">
        <v>23</v>
      </c>
      <c r="I25" s="29">
        <v>32.200000000000003</v>
      </c>
      <c r="J25" s="29">
        <v>44.7</v>
      </c>
      <c r="K25" s="29">
        <v>55.6</v>
      </c>
      <c r="L25" s="29">
        <v>70.099999999999994</v>
      </c>
      <c r="M25" s="29">
        <v>82.1</v>
      </c>
      <c r="N25" s="29">
        <v>102.4</v>
      </c>
      <c r="O25" s="29">
        <v>114.6</v>
      </c>
      <c r="P25" s="29">
        <v>127.8</v>
      </c>
      <c r="Q25" s="29">
        <v>139.69999999999999</v>
      </c>
      <c r="R25" s="29">
        <v>145</v>
      </c>
      <c r="S25" s="29">
        <v>162</v>
      </c>
      <c r="T25" s="29">
        <v>192.2</v>
      </c>
      <c r="U25" s="29">
        <v>193.8</v>
      </c>
      <c r="V25" s="29">
        <v>208.4</v>
      </c>
      <c r="W25" s="29">
        <v>406.9</v>
      </c>
      <c r="X25" s="29">
        <v>306</v>
      </c>
      <c r="Y25" s="29">
        <v>255.6</v>
      </c>
      <c r="Z25" s="29">
        <v>186.2</v>
      </c>
      <c r="AA25" s="29">
        <v>182.9</v>
      </c>
      <c r="AB25" s="29">
        <v>205.8</v>
      </c>
      <c r="AC25" s="29">
        <v>228.9</v>
      </c>
    </row>
    <row r="26" spans="2:101" x14ac:dyDescent="0.2">
      <c r="B26" t="s">
        <v>663</v>
      </c>
      <c r="C26" t="s">
        <v>20</v>
      </c>
      <c r="E26" s="30">
        <v>6.3</v>
      </c>
      <c r="F26" s="30">
        <v>11.6</v>
      </c>
      <c r="G26" s="30">
        <v>18.7</v>
      </c>
      <c r="H26" s="30">
        <v>16.8</v>
      </c>
      <c r="I26" s="30">
        <v>25.7</v>
      </c>
      <c r="J26" s="30">
        <v>33.6</v>
      </c>
      <c r="K26" s="30">
        <v>38.6</v>
      </c>
      <c r="L26" s="30">
        <v>41.8</v>
      </c>
      <c r="M26" s="30">
        <v>45</v>
      </c>
      <c r="N26" s="30">
        <v>40.5</v>
      </c>
      <c r="O26" s="30">
        <v>64.599999999999994</v>
      </c>
      <c r="P26" s="30">
        <v>51.4</v>
      </c>
    </row>
    <row r="27" spans="2:101" x14ac:dyDescent="0.2">
      <c r="B27" t="s">
        <v>665</v>
      </c>
      <c r="C27" t="s">
        <v>20</v>
      </c>
      <c r="E27" s="30">
        <v>3.8</v>
      </c>
      <c r="F27" s="30">
        <v>7.3</v>
      </c>
      <c r="G27" s="30">
        <v>10.9</v>
      </c>
      <c r="H27" s="30">
        <v>16.3</v>
      </c>
      <c r="I27" s="30">
        <v>19.399999999999999</v>
      </c>
      <c r="J27" s="30">
        <v>39.5</v>
      </c>
      <c r="K27" s="30">
        <v>46</v>
      </c>
      <c r="L27" s="30">
        <v>86.6</v>
      </c>
      <c r="M27" s="30">
        <v>145.69999999999999</v>
      </c>
      <c r="N27" s="30">
        <v>153.80000000000001</v>
      </c>
      <c r="O27" s="30">
        <v>166</v>
      </c>
      <c r="P27" s="30">
        <v>201.8</v>
      </c>
      <c r="Q27" s="30">
        <v>201.2</v>
      </c>
      <c r="R27" s="30">
        <v>232.2</v>
      </c>
      <c r="S27" s="30">
        <v>251.4</v>
      </c>
      <c r="T27" s="30">
        <v>290.7</v>
      </c>
      <c r="U27" s="30">
        <v>263.2</v>
      </c>
      <c r="V27" s="30">
        <v>307.2</v>
      </c>
      <c r="W27" s="30">
        <v>303.7</v>
      </c>
      <c r="X27" s="30">
        <v>290.39999999999998</v>
      </c>
      <c r="Y27" s="30">
        <v>248.2</v>
      </c>
      <c r="Z27" s="30">
        <v>282.10000000000002</v>
      </c>
      <c r="AA27" s="30">
        <v>246.6</v>
      </c>
      <c r="AB27" s="30">
        <v>210.7</v>
      </c>
      <c r="AC27" s="30">
        <v>192.8</v>
      </c>
      <c r="AD27" s="30">
        <v>242.4</v>
      </c>
      <c r="AE27" s="30">
        <v>191.5</v>
      </c>
      <c r="AF27" s="30">
        <v>174.2</v>
      </c>
      <c r="AG27" s="30">
        <v>193</v>
      </c>
      <c r="AH27" s="30">
        <v>201.7</v>
      </c>
    </row>
    <row r="28" spans="2:101" x14ac:dyDescent="0.2">
      <c r="B28" t="s">
        <v>667</v>
      </c>
      <c r="C28" t="s">
        <v>20</v>
      </c>
      <c r="E28" s="30">
        <v>19.3</v>
      </c>
      <c r="F28" s="30">
        <v>11.1</v>
      </c>
      <c r="G28" s="30">
        <v>15.4</v>
      </c>
      <c r="H28" s="30">
        <v>14.6</v>
      </c>
      <c r="I28" s="30">
        <v>38.200000000000003</v>
      </c>
      <c r="J28" s="30">
        <v>40.1</v>
      </c>
      <c r="K28" s="30">
        <v>47.5</v>
      </c>
      <c r="L28" s="30">
        <v>76.099999999999994</v>
      </c>
      <c r="M28" s="30">
        <v>74</v>
      </c>
      <c r="N28" s="30">
        <v>103.2</v>
      </c>
      <c r="O28" s="30">
        <v>127.2</v>
      </c>
      <c r="P28" s="30">
        <v>143.19999999999999</v>
      </c>
      <c r="Q28" s="30">
        <v>151</v>
      </c>
      <c r="R28" s="30">
        <v>147.19999999999999</v>
      </c>
      <c r="S28" s="30">
        <v>166.9</v>
      </c>
      <c r="T28" s="30">
        <v>193.2</v>
      </c>
      <c r="U28" s="30">
        <v>203.6</v>
      </c>
      <c r="V28" s="30">
        <v>231.9</v>
      </c>
      <c r="W28" s="30">
        <v>240.7</v>
      </c>
      <c r="X28" s="30">
        <v>268</v>
      </c>
      <c r="Y28" s="30">
        <v>267.5</v>
      </c>
      <c r="Z28" s="30">
        <v>262</v>
      </c>
      <c r="AA28" s="30">
        <v>310.8</v>
      </c>
      <c r="AB28" s="30">
        <v>313.60000000000002</v>
      </c>
      <c r="AC28" s="30">
        <v>312</v>
      </c>
      <c r="AD28" s="30">
        <v>356.5</v>
      </c>
      <c r="AE28" s="30">
        <v>390.4</v>
      </c>
      <c r="AF28" s="30">
        <v>431.9</v>
      </c>
      <c r="AG28" s="30">
        <v>419.4</v>
      </c>
      <c r="AH28" s="30">
        <v>461</v>
      </c>
      <c r="AI28" s="30">
        <v>573.29999999999995</v>
      </c>
      <c r="AJ28" s="30">
        <v>612.29999999999995</v>
      </c>
      <c r="AK28" s="30">
        <v>577.5</v>
      </c>
    </row>
    <row r="29" spans="2:101" x14ac:dyDescent="0.2">
      <c r="B29" t="s">
        <v>669</v>
      </c>
      <c r="C29" t="s">
        <v>20</v>
      </c>
      <c r="E29" s="29">
        <v>22.6</v>
      </c>
      <c r="F29" s="29">
        <v>4</v>
      </c>
      <c r="G29" s="29">
        <v>8.8000000000000007</v>
      </c>
      <c r="H29" s="29">
        <v>22.9</v>
      </c>
      <c r="I29" s="29">
        <v>36.299999999999997</v>
      </c>
      <c r="J29" s="29">
        <v>47</v>
      </c>
      <c r="K29" s="29">
        <v>56.3</v>
      </c>
      <c r="L29" s="29">
        <v>71.7</v>
      </c>
      <c r="M29" s="29">
        <v>83.5</v>
      </c>
      <c r="N29" s="29">
        <v>90.9</v>
      </c>
      <c r="O29" s="29">
        <v>115.8</v>
      </c>
      <c r="P29" s="29">
        <v>111</v>
      </c>
      <c r="Q29" s="29">
        <v>109.7</v>
      </c>
      <c r="R29" s="29">
        <v>120.6</v>
      </c>
      <c r="S29" s="29">
        <v>115.9</v>
      </c>
      <c r="T29" s="29">
        <v>137.4</v>
      </c>
      <c r="U29" s="29">
        <v>124.9</v>
      </c>
      <c r="V29" s="29">
        <v>130.6</v>
      </c>
      <c r="W29" s="29">
        <v>119.3</v>
      </c>
      <c r="X29" s="29">
        <v>133.6</v>
      </c>
      <c r="Y29" s="29">
        <v>131.5</v>
      </c>
      <c r="Z29" s="29">
        <v>137.80000000000001</v>
      </c>
      <c r="AA29" s="29">
        <v>121.8</v>
      </c>
      <c r="AB29" s="29">
        <v>128.80000000000001</v>
      </c>
      <c r="AC29" s="29">
        <v>132.1</v>
      </c>
      <c r="AD29" s="29">
        <v>140.30000000000001</v>
      </c>
      <c r="AE29" s="29">
        <v>131.5</v>
      </c>
      <c r="AF29" s="29">
        <v>135.1</v>
      </c>
      <c r="AG29" s="29">
        <v>127.7</v>
      </c>
      <c r="AH29" s="29">
        <v>140.9</v>
      </c>
    </row>
  </sheetData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1:AB9"/>
  <sheetViews>
    <sheetView workbookViewId="0">
      <selection activeCell="B9" sqref="B9"/>
    </sheetView>
  </sheetViews>
  <sheetFormatPr defaultRowHeight="12.75" x14ac:dyDescent="0.2"/>
  <cols>
    <col min="1" max="1" width="2" bestFit="1" customWidth="1"/>
    <col min="2" max="2" width="3" bestFit="1" customWidth="1"/>
    <col min="3" max="3" width="22.28515625" bestFit="1" customWidth="1"/>
    <col min="4" max="4" width="10.140625" bestFit="1" customWidth="1"/>
  </cols>
  <sheetData>
    <row r="1" spans="1:28" s="1" customFormat="1" x14ac:dyDescent="0.2">
      <c r="A1" t="s">
        <v>342</v>
      </c>
      <c r="B1" s="1">
        <f>Main!B40+1</f>
        <v>33</v>
      </c>
      <c r="C1" t="s">
        <v>267</v>
      </c>
      <c r="D1" t="s">
        <v>268</v>
      </c>
      <c r="E1" s="3"/>
      <c r="F1" s="3"/>
      <c r="G1" s="3"/>
      <c r="H1" s="3"/>
      <c r="I1" s="3"/>
      <c r="J1" s="3"/>
      <c r="K1" s="9"/>
      <c r="L1" s="3"/>
      <c r="M1" s="3"/>
      <c r="N1" s="3"/>
      <c r="O1" s="3"/>
      <c r="P1" s="3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s="1" customFormat="1" x14ac:dyDescent="0.2">
      <c r="A2" t="s">
        <v>342</v>
      </c>
      <c r="B2" s="1">
        <f>Main!B41+1</f>
        <v>34</v>
      </c>
      <c r="C2" t="s">
        <v>273</v>
      </c>
      <c r="D2" t="s">
        <v>274</v>
      </c>
      <c r="E2" s="6"/>
      <c r="F2" s="3"/>
      <c r="G2" s="3"/>
      <c r="H2" s="3"/>
      <c r="I2" s="3"/>
      <c r="J2" s="3"/>
      <c r="K2" s="9"/>
      <c r="L2" s="3"/>
      <c r="M2" s="3"/>
      <c r="N2" s="3"/>
      <c r="O2" s="3"/>
      <c r="P2" s="3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s="1" customFormat="1" x14ac:dyDescent="0.2">
      <c r="A3" s="1" t="s">
        <v>342</v>
      </c>
      <c r="B3" s="1">
        <f>Main!B38+1</f>
        <v>31</v>
      </c>
      <c r="C3" t="s">
        <v>284</v>
      </c>
      <c r="D3" t="s">
        <v>285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">
      <c r="A4" t="s">
        <v>342</v>
      </c>
      <c r="B4" s="1">
        <f>B3+1</f>
        <v>32</v>
      </c>
      <c r="C4" t="s">
        <v>415</v>
      </c>
      <c r="D4" t="s">
        <v>416</v>
      </c>
      <c r="E4" s="3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">
      <c r="A5" t="s">
        <v>342</v>
      </c>
      <c r="B5" s="1">
        <f>B4+1</f>
        <v>33</v>
      </c>
      <c r="C5" t="s">
        <v>417</v>
      </c>
      <c r="D5" t="s">
        <v>418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">
      <c r="A6" t="s">
        <v>342</v>
      </c>
      <c r="B6" s="1">
        <f>Main!B58+1</f>
        <v>50</v>
      </c>
      <c r="C6" t="s">
        <v>423</v>
      </c>
      <c r="D6" t="s">
        <v>424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">
      <c r="A7" t="s">
        <v>342</v>
      </c>
      <c r="B7" s="1">
        <f>B6+1</f>
        <v>51</v>
      </c>
      <c r="C7" t="s">
        <v>425</v>
      </c>
      <c r="D7" t="s">
        <v>426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">
      <c r="B8" s="1">
        <f>Main!B81+1</f>
        <v>71</v>
      </c>
      <c r="C8" t="s">
        <v>370</v>
      </c>
      <c r="D8" t="s">
        <v>371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x14ac:dyDescent="0.2">
      <c r="C9" t="s">
        <v>615</v>
      </c>
      <c r="D9" t="s">
        <v>616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B2:C11"/>
  <sheetViews>
    <sheetView zoomScale="160" zoomScaleNormal="160" workbookViewId="0">
      <selection activeCell="C11" sqref="C11"/>
    </sheetView>
  </sheetViews>
  <sheetFormatPr defaultRowHeight="12.75" x14ac:dyDescent="0.2"/>
  <sheetData>
    <row r="2" spans="2:3" x14ac:dyDescent="0.2">
      <c r="B2" s="1" t="s">
        <v>3</v>
      </c>
      <c r="C2" s="2">
        <v>7.3159000000000001</v>
      </c>
    </row>
    <row r="3" spans="2:3" x14ac:dyDescent="0.2">
      <c r="B3" s="1" t="s">
        <v>4</v>
      </c>
      <c r="C3" s="2">
        <v>0.92</v>
      </c>
    </row>
    <row r="4" spans="2:3" x14ac:dyDescent="0.2">
      <c r="B4" s="1" t="s">
        <v>5</v>
      </c>
      <c r="C4" s="1">
        <v>1.0173000000000001</v>
      </c>
    </row>
    <row r="5" spans="2:3" x14ac:dyDescent="0.2">
      <c r="B5" s="1" t="s">
        <v>6</v>
      </c>
      <c r="C5" s="1">
        <v>0.68530000000000002</v>
      </c>
    </row>
    <row r="6" spans="2:3" x14ac:dyDescent="0.2">
      <c r="B6" s="1" t="s">
        <v>7</v>
      </c>
      <c r="C6" s="1">
        <v>1.1200000000000001</v>
      </c>
    </row>
    <row r="7" spans="2:3" x14ac:dyDescent="0.2">
      <c r="B7" t="s">
        <v>384</v>
      </c>
      <c r="C7">
        <v>143.61000000000001</v>
      </c>
    </row>
    <row r="8" spans="2:3" x14ac:dyDescent="0.2">
      <c r="B8" t="s">
        <v>408</v>
      </c>
      <c r="C8">
        <v>7.85</v>
      </c>
    </row>
    <row r="9" spans="2:3" x14ac:dyDescent="0.2">
      <c r="B9" t="s">
        <v>411</v>
      </c>
      <c r="C9">
        <v>1433</v>
      </c>
    </row>
    <row r="10" spans="2:3" x14ac:dyDescent="0.2">
      <c r="B10" t="s">
        <v>447</v>
      </c>
      <c r="C10">
        <v>82.55</v>
      </c>
    </row>
    <row r="11" spans="2:3" x14ac:dyDescent="0.2">
      <c r="B11" t="s">
        <v>453</v>
      </c>
      <c r="C11">
        <v>6.77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I94"/>
  <sheetViews>
    <sheetView zoomScale="145" zoomScaleNormal="145" workbookViewId="0">
      <pane xSplit="2" ySplit="2" topLeftCell="C70" activePane="bottomRight" state="frozen"/>
      <selection pane="topRight" activeCell="C1" sqref="C1"/>
      <selection pane="bottomLeft" activeCell="A3" sqref="A3"/>
      <selection pane="bottomRight" activeCell="E94" sqref="E94"/>
    </sheetView>
  </sheetViews>
  <sheetFormatPr defaultRowHeight="12.75" x14ac:dyDescent="0.2"/>
  <cols>
    <col min="1" max="1" width="5" bestFit="1" customWidth="1"/>
    <col min="2" max="2" width="26.85546875" bestFit="1" customWidth="1"/>
    <col min="5" max="5" width="9.85546875" bestFit="1" customWidth="1"/>
    <col min="8" max="8" width="12.140625" customWidth="1"/>
  </cols>
  <sheetData>
    <row r="1" spans="1:9" x14ac:dyDescent="0.2">
      <c r="A1" s="5" t="s">
        <v>292</v>
      </c>
    </row>
    <row r="2" spans="1:9" x14ac:dyDescent="0.2">
      <c r="B2" t="s">
        <v>1</v>
      </c>
      <c r="C2" t="s">
        <v>2</v>
      </c>
      <c r="D2" t="s">
        <v>290</v>
      </c>
      <c r="E2" t="s">
        <v>332</v>
      </c>
      <c r="F2" t="s">
        <v>334</v>
      </c>
      <c r="G2" t="s">
        <v>335</v>
      </c>
      <c r="H2" t="s">
        <v>338</v>
      </c>
      <c r="I2" t="s">
        <v>440</v>
      </c>
    </row>
    <row r="3" spans="1:9" x14ac:dyDescent="0.2">
      <c r="B3" t="s">
        <v>518</v>
      </c>
      <c r="E3" t="s">
        <v>333</v>
      </c>
      <c r="F3" t="s">
        <v>519</v>
      </c>
      <c r="G3" t="s">
        <v>520</v>
      </c>
    </row>
    <row r="4" spans="1:9" x14ac:dyDescent="0.2">
      <c r="B4" t="s">
        <v>458</v>
      </c>
      <c r="C4">
        <v>2018</v>
      </c>
      <c r="D4" t="s">
        <v>459</v>
      </c>
      <c r="E4" t="s">
        <v>403</v>
      </c>
      <c r="F4" t="s">
        <v>460</v>
      </c>
    </row>
    <row r="5" spans="1:9" x14ac:dyDescent="0.2">
      <c r="B5" t="s">
        <v>495</v>
      </c>
    </row>
    <row r="6" spans="1:9" x14ac:dyDescent="0.2">
      <c r="B6" t="s">
        <v>496</v>
      </c>
    </row>
    <row r="7" spans="1:9" x14ac:dyDescent="0.2">
      <c r="B7" t="s">
        <v>497</v>
      </c>
    </row>
    <row r="8" spans="1:9" x14ac:dyDescent="0.2">
      <c r="B8" t="s">
        <v>498</v>
      </c>
      <c r="C8">
        <v>2019</v>
      </c>
      <c r="I8" t="s">
        <v>522</v>
      </c>
    </row>
    <row r="9" spans="1:9" x14ac:dyDescent="0.2">
      <c r="B9" t="s">
        <v>499</v>
      </c>
    </row>
    <row r="10" spans="1:9" x14ac:dyDescent="0.2">
      <c r="B10" t="s">
        <v>500</v>
      </c>
    </row>
    <row r="11" spans="1:9" x14ac:dyDescent="0.2">
      <c r="B11" t="s">
        <v>501</v>
      </c>
    </row>
    <row r="12" spans="1:9" x14ac:dyDescent="0.2">
      <c r="B12" t="s">
        <v>502</v>
      </c>
    </row>
    <row r="13" spans="1:9" x14ac:dyDescent="0.2">
      <c r="B13" t="s">
        <v>503</v>
      </c>
    </row>
    <row r="14" spans="1:9" x14ac:dyDescent="0.2">
      <c r="B14" t="s">
        <v>504</v>
      </c>
    </row>
    <row r="15" spans="1:9" x14ac:dyDescent="0.2">
      <c r="B15" t="s">
        <v>505</v>
      </c>
      <c r="C15">
        <v>2018</v>
      </c>
      <c r="E15" t="s">
        <v>634</v>
      </c>
      <c r="F15" t="s">
        <v>635</v>
      </c>
      <c r="G15" t="s">
        <v>640</v>
      </c>
      <c r="H15" s="13">
        <v>44817</v>
      </c>
      <c r="I15" t="s">
        <v>633</v>
      </c>
    </row>
    <row r="16" spans="1:9" x14ac:dyDescent="0.2">
      <c r="B16" t="s">
        <v>505</v>
      </c>
      <c r="C16">
        <v>2018</v>
      </c>
      <c r="E16" t="s">
        <v>403</v>
      </c>
      <c r="F16" t="s">
        <v>636</v>
      </c>
      <c r="G16" t="s">
        <v>639</v>
      </c>
      <c r="H16" s="13">
        <v>44362</v>
      </c>
    </row>
    <row r="17" spans="2:8" x14ac:dyDescent="0.2">
      <c r="B17" t="s">
        <v>505</v>
      </c>
      <c r="C17">
        <v>2018</v>
      </c>
      <c r="E17" t="s">
        <v>623</v>
      </c>
      <c r="F17" t="s">
        <v>637</v>
      </c>
      <c r="G17" t="s">
        <v>639</v>
      </c>
      <c r="H17" s="13">
        <v>44173</v>
      </c>
    </row>
    <row r="18" spans="2:8" x14ac:dyDescent="0.2">
      <c r="B18" t="s">
        <v>505</v>
      </c>
      <c r="C18">
        <v>2018</v>
      </c>
      <c r="E18" t="s">
        <v>333</v>
      </c>
      <c r="F18" t="s">
        <v>625</v>
      </c>
      <c r="G18" t="s">
        <v>638</v>
      </c>
      <c r="H18" s="13">
        <v>44118</v>
      </c>
    </row>
    <row r="19" spans="2:8" x14ac:dyDescent="0.2">
      <c r="B19" t="s">
        <v>506</v>
      </c>
    </row>
    <row r="20" spans="2:8" x14ac:dyDescent="0.2">
      <c r="B20" t="s">
        <v>507</v>
      </c>
    </row>
    <row r="21" spans="2:8" x14ac:dyDescent="0.2">
      <c r="B21" t="s">
        <v>508</v>
      </c>
    </row>
    <row r="22" spans="2:8" x14ac:dyDescent="0.2">
      <c r="B22" t="s">
        <v>509</v>
      </c>
    </row>
    <row r="23" spans="2:8" x14ac:dyDescent="0.2">
      <c r="B23" t="s">
        <v>510</v>
      </c>
    </row>
    <row r="24" spans="2:8" x14ac:dyDescent="0.2">
      <c r="B24" t="s">
        <v>511</v>
      </c>
    </row>
    <row r="25" spans="2:8" x14ac:dyDescent="0.2">
      <c r="B25" t="s">
        <v>512</v>
      </c>
    </row>
    <row r="26" spans="2:8" x14ac:dyDescent="0.2">
      <c r="B26" t="s">
        <v>513</v>
      </c>
    </row>
    <row r="27" spans="2:8" x14ac:dyDescent="0.2">
      <c r="B27" t="s">
        <v>514</v>
      </c>
    </row>
    <row r="28" spans="2:8" x14ac:dyDescent="0.2">
      <c r="B28" t="s">
        <v>515</v>
      </c>
    </row>
    <row r="29" spans="2:8" x14ac:dyDescent="0.2">
      <c r="B29" t="s">
        <v>462</v>
      </c>
    </row>
    <row r="30" spans="2:8" x14ac:dyDescent="0.2">
      <c r="B30" t="s">
        <v>463</v>
      </c>
    </row>
    <row r="31" spans="2:8" x14ac:dyDescent="0.2">
      <c r="B31" t="s">
        <v>464</v>
      </c>
    </row>
    <row r="32" spans="2:8" x14ac:dyDescent="0.2">
      <c r="B32" t="s">
        <v>465</v>
      </c>
    </row>
    <row r="33" spans="2:2" x14ac:dyDescent="0.2">
      <c r="B33" t="s">
        <v>466</v>
      </c>
    </row>
    <row r="34" spans="2:2" x14ac:dyDescent="0.2">
      <c r="B34" t="s">
        <v>468</v>
      </c>
    </row>
    <row r="35" spans="2:2" x14ac:dyDescent="0.2">
      <c r="B35" t="s">
        <v>467</v>
      </c>
    </row>
    <row r="36" spans="2:2" x14ac:dyDescent="0.2">
      <c r="B36" t="s">
        <v>469</v>
      </c>
    </row>
    <row r="37" spans="2:2" x14ac:dyDescent="0.2">
      <c r="B37" t="s">
        <v>470</v>
      </c>
    </row>
    <row r="38" spans="2:2" x14ac:dyDescent="0.2">
      <c r="B38" t="s">
        <v>471</v>
      </c>
    </row>
    <row r="39" spans="2:2" x14ac:dyDescent="0.2">
      <c r="B39" t="s">
        <v>472</v>
      </c>
    </row>
    <row r="40" spans="2:2" x14ac:dyDescent="0.2">
      <c r="B40" t="s">
        <v>473</v>
      </c>
    </row>
    <row r="41" spans="2:2" x14ac:dyDescent="0.2">
      <c r="B41" t="s">
        <v>474</v>
      </c>
    </row>
    <row r="42" spans="2:2" x14ac:dyDescent="0.2">
      <c r="B42" t="s">
        <v>491</v>
      </c>
    </row>
    <row r="43" spans="2:2" x14ac:dyDescent="0.2">
      <c r="B43" t="s">
        <v>492</v>
      </c>
    </row>
    <row r="44" spans="2:2" x14ac:dyDescent="0.2">
      <c r="B44" t="s">
        <v>494</v>
      </c>
    </row>
    <row r="45" spans="2:2" x14ac:dyDescent="0.2">
      <c r="B45" t="s">
        <v>493</v>
      </c>
    </row>
    <row r="46" spans="2:2" x14ac:dyDescent="0.2">
      <c r="B46" t="s">
        <v>475</v>
      </c>
    </row>
    <row r="47" spans="2:2" x14ac:dyDescent="0.2">
      <c r="B47" t="s">
        <v>476</v>
      </c>
    </row>
    <row r="48" spans="2:2" x14ac:dyDescent="0.2">
      <c r="B48" t="s">
        <v>477</v>
      </c>
    </row>
    <row r="49" spans="2:2" x14ac:dyDescent="0.2">
      <c r="B49" t="s">
        <v>479</v>
      </c>
    </row>
    <row r="50" spans="2:2" x14ac:dyDescent="0.2">
      <c r="B50" t="s">
        <v>480</v>
      </c>
    </row>
    <row r="51" spans="2:2" x14ac:dyDescent="0.2">
      <c r="B51" t="s">
        <v>481</v>
      </c>
    </row>
    <row r="52" spans="2:2" x14ac:dyDescent="0.2">
      <c r="B52" t="s">
        <v>482</v>
      </c>
    </row>
    <row r="53" spans="2:2" x14ac:dyDescent="0.2">
      <c r="B53" t="s">
        <v>484</v>
      </c>
    </row>
    <row r="54" spans="2:2" x14ac:dyDescent="0.2">
      <c r="B54" t="s">
        <v>485</v>
      </c>
    </row>
    <row r="55" spans="2:2" x14ac:dyDescent="0.2">
      <c r="B55" t="s">
        <v>486</v>
      </c>
    </row>
    <row r="56" spans="2:2" x14ac:dyDescent="0.2">
      <c r="B56" t="s">
        <v>487</v>
      </c>
    </row>
    <row r="57" spans="2:2" x14ac:dyDescent="0.2">
      <c r="B57" t="s">
        <v>488</v>
      </c>
    </row>
    <row r="58" spans="2:2" x14ac:dyDescent="0.2">
      <c r="B58" t="s">
        <v>489</v>
      </c>
    </row>
    <row r="59" spans="2:2" x14ac:dyDescent="0.2">
      <c r="B59" t="s">
        <v>490</v>
      </c>
    </row>
    <row r="60" spans="2:2" x14ac:dyDescent="0.2">
      <c r="B60" t="s">
        <v>483</v>
      </c>
    </row>
    <row r="61" spans="2:2" x14ac:dyDescent="0.2">
      <c r="B61" t="s">
        <v>478</v>
      </c>
    </row>
    <row r="62" spans="2:2" x14ac:dyDescent="0.2">
      <c r="B62" t="s">
        <v>461</v>
      </c>
    </row>
    <row r="63" spans="2:2" x14ac:dyDescent="0.2">
      <c r="B63" t="s">
        <v>0</v>
      </c>
    </row>
    <row r="64" spans="2:2" x14ac:dyDescent="0.2">
      <c r="B64" t="s">
        <v>286</v>
      </c>
    </row>
    <row r="65" spans="2:9" x14ac:dyDescent="0.2">
      <c r="B65" t="s">
        <v>287</v>
      </c>
    </row>
    <row r="66" spans="2:9" x14ac:dyDescent="0.2">
      <c r="B66" t="s">
        <v>288</v>
      </c>
      <c r="C66">
        <v>2019</v>
      </c>
      <c r="D66" t="s">
        <v>289</v>
      </c>
    </row>
    <row r="67" spans="2:9" x14ac:dyDescent="0.2">
      <c r="B67" t="s">
        <v>291</v>
      </c>
    </row>
    <row r="68" spans="2:9" x14ac:dyDescent="0.2">
      <c r="B68" t="s">
        <v>293</v>
      </c>
    </row>
    <row r="69" spans="2:9" x14ac:dyDescent="0.2">
      <c r="B69" t="s">
        <v>296</v>
      </c>
    </row>
    <row r="70" spans="2:9" x14ac:dyDescent="0.2">
      <c r="B70" t="s">
        <v>331</v>
      </c>
      <c r="C70">
        <v>2019</v>
      </c>
      <c r="D70" t="s">
        <v>339</v>
      </c>
      <c r="E70" t="s">
        <v>333</v>
      </c>
      <c r="F70" t="s">
        <v>337</v>
      </c>
      <c r="G70" t="s">
        <v>336</v>
      </c>
      <c r="H70" s="13">
        <v>44599</v>
      </c>
    </row>
    <row r="71" spans="2:9" x14ac:dyDescent="0.2">
      <c r="B71" t="s">
        <v>346</v>
      </c>
      <c r="E71" t="s">
        <v>333</v>
      </c>
      <c r="F71" t="s">
        <v>347</v>
      </c>
    </row>
    <row r="72" spans="2:9" x14ac:dyDescent="0.2">
      <c r="B72" t="s">
        <v>348</v>
      </c>
    </row>
    <row r="73" spans="2:9" x14ac:dyDescent="0.2">
      <c r="B73" t="s">
        <v>349</v>
      </c>
      <c r="I73" t="s">
        <v>350</v>
      </c>
    </row>
    <row r="74" spans="2:9" x14ac:dyDescent="0.2">
      <c r="B74" t="s">
        <v>394</v>
      </c>
    </row>
    <row r="75" spans="2:9" x14ac:dyDescent="0.2">
      <c r="B75" t="s">
        <v>397</v>
      </c>
      <c r="C75" t="s">
        <v>398</v>
      </c>
      <c r="E75" t="s">
        <v>333</v>
      </c>
      <c r="F75" t="s">
        <v>399</v>
      </c>
      <c r="H75" s="13">
        <v>43466</v>
      </c>
      <c r="I75" t="s">
        <v>400</v>
      </c>
    </row>
    <row r="76" spans="2:9" x14ac:dyDescent="0.2">
      <c r="B76" t="s">
        <v>401</v>
      </c>
    </row>
    <row r="77" spans="2:9" x14ac:dyDescent="0.2">
      <c r="B77" t="s">
        <v>402</v>
      </c>
      <c r="E77" t="s">
        <v>403</v>
      </c>
      <c r="F77" t="s">
        <v>404</v>
      </c>
      <c r="I77" t="s">
        <v>405</v>
      </c>
    </row>
    <row r="78" spans="2:9" x14ac:dyDescent="0.2">
      <c r="B78" t="s">
        <v>409</v>
      </c>
      <c r="E78" t="s">
        <v>403</v>
      </c>
      <c r="F78" t="s">
        <v>410</v>
      </c>
    </row>
    <row r="79" spans="2:9" x14ac:dyDescent="0.2">
      <c r="B79" t="s">
        <v>427</v>
      </c>
    </row>
    <row r="80" spans="2:9" x14ac:dyDescent="0.2">
      <c r="B80" t="s">
        <v>431</v>
      </c>
    </row>
    <row r="81" spans="2:9" x14ac:dyDescent="0.2">
      <c r="B81" t="s">
        <v>433</v>
      </c>
    </row>
    <row r="82" spans="2:9" x14ac:dyDescent="0.2">
      <c r="B82" t="s">
        <v>438</v>
      </c>
      <c r="I82" t="s">
        <v>439</v>
      </c>
    </row>
    <row r="83" spans="2:9" x14ac:dyDescent="0.2">
      <c r="B83" t="s">
        <v>457</v>
      </c>
    </row>
    <row r="84" spans="2:9" x14ac:dyDescent="0.2">
      <c r="B84" t="s">
        <v>521</v>
      </c>
    </row>
    <row r="85" spans="2:9" x14ac:dyDescent="0.2">
      <c r="B85" t="s">
        <v>537</v>
      </c>
      <c r="I85" t="s">
        <v>538</v>
      </c>
    </row>
    <row r="86" spans="2:9" x14ac:dyDescent="0.2">
      <c r="B86" t="s">
        <v>541</v>
      </c>
      <c r="I86" t="s">
        <v>538</v>
      </c>
    </row>
    <row r="87" spans="2:9" x14ac:dyDescent="0.2">
      <c r="B87" t="s">
        <v>627</v>
      </c>
      <c r="C87">
        <v>2018</v>
      </c>
      <c r="D87" t="s">
        <v>630</v>
      </c>
      <c r="E87" t="s">
        <v>628</v>
      </c>
      <c r="F87" t="s">
        <v>629</v>
      </c>
      <c r="H87" s="13">
        <v>43251</v>
      </c>
    </row>
    <row r="88" spans="2:9" x14ac:dyDescent="0.2">
      <c r="B88" t="s">
        <v>627</v>
      </c>
      <c r="C88">
        <v>2018</v>
      </c>
      <c r="D88" t="s">
        <v>630</v>
      </c>
      <c r="E88" t="s">
        <v>626</v>
      </c>
      <c r="F88" t="s">
        <v>625</v>
      </c>
    </row>
    <row r="89" spans="2:9" x14ac:dyDescent="0.2">
      <c r="B89" t="s">
        <v>627</v>
      </c>
      <c r="C89">
        <v>2018</v>
      </c>
      <c r="D89" t="s">
        <v>630</v>
      </c>
      <c r="E89" t="s">
        <v>623</v>
      </c>
      <c r="F89" t="s">
        <v>624</v>
      </c>
    </row>
    <row r="90" spans="2:9" x14ac:dyDescent="0.2">
      <c r="B90" t="s">
        <v>631</v>
      </c>
      <c r="I90" t="s">
        <v>632</v>
      </c>
    </row>
    <row r="91" spans="2:9" x14ac:dyDescent="0.2">
      <c r="B91" t="s">
        <v>641</v>
      </c>
      <c r="E91" t="s">
        <v>623</v>
      </c>
      <c r="F91" t="s">
        <v>643</v>
      </c>
    </row>
    <row r="92" spans="2:9" x14ac:dyDescent="0.2">
      <c r="B92" t="s">
        <v>641</v>
      </c>
      <c r="E92" t="s">
        <v>333</v>
      </c>
      <c r="F92" t="s">
        <v>642</v>
      </c>
      <c r="G92" t="s">
        <v>644</v>
      </c>
    </row>
    <row r="93" spans="2:9" x14ac:dyDescent="0.2">
      <c r="B93" t="s">
        <v>645</v>
      </c>
      <c r="E93" t="s">
        <v>403</v>
      </c>
      <c r="F93" t="s">
        <v>646</v>
      </c>
    </row>
    <row r="94" spans="2:9" x14ac:dyDescent="0.2">
      <c r="B94" t="s">
        <v>645</v>
      </c>
      <c r="E94" t="s">
        <v>634</v>
      </c>
      <c r="F94" t="s">
        <v>629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D18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4" sqref="B4"/>
    </sheetView>
  </sheetViews>
  <sheetFormatPr defaultRowHeight="12.75" x14ac:dyDescent="0.2"/>
  <cols>
    <col min="1" max="1" width="5" bestFit="1" customWidth="1"/>
    <col min="2" max="2" width="13.85546875" bestFit="1" customWidth="1"/>
    <col min="3" max="3" width="10.42578125" customWidth="1"/>
  </cols>
  <sheetData>
    <row r="1" spans="1:4" x14ac:dyDescent="0.2">
      <c r="A1" s="5" t="s">
        <v>292</v>
      </c>
    </row>
    <row r="2" spans="1:4" x14ac:dyDescent="0.2">
      <c r="B2" t="s">
        <v>301</v>
      </c>
      <c r="C2" t="s">
        <v>302</v>
      </c>
      <c r="D2" t="s">
        <v>327</v>
      </c>
    </row>
    <row r="3" spans="1:4" x14ac:dyDescent="0.2">
      <c r="B3" t="s">
        <v>300</v>
      </c>
      <c r="C3" t="s">
        <v>94</v>
      </c>
    </row>
    <row r="4" spans="1:4" x14ac:dyDescent="0.2">
      <c r="B4" t="s">
        <v>326</v>
      </c>
      <c r="C4" t="s">
        <v>46</v>
      </c>
      <c r="D4" t="s">
        <v>328</v>
      </c>
    </row>
    <row r="5" spans="1:4" x14ac:dyDescent="0.2">
      <c r="B5" t="s">
        <v>353</v>
      </c>
      <c r="C5" t="s">
        <v>36</v>
      </c>
    </row>
    <row r="6" spans="1:4" x14ac:dyDescent="0.2">
      <c r="B6" t="s">
        <v>354</v>
      </c>
      <c r="C6" t="s">
        <v>14</v>
      </c>
    </row>
    <row r="7" spans="1:4" x14ac:dyDescent="0.2">
      <c r="B7" t="s">
        <v>355</v>
      </c>
      <c r="C7" t="s">
        <v>33</v>
      </c>
    </row>
    <row r="8" spans="1:4" x14ac:dyDescent="0.2">
      <c r="B8" t="s">
        <v>88</v>
      </c>
      <c r="C8" t="s">
        <v>24</v>
      </c>
    </row>
    <row r="9" spans="1:4" x14ac:dyDescent="0.2">
      <c r="B9" t="s">
        <v>412</v>
      </c>
      <c r="C9" t="s">
        <v>24</v>
      </c>
    </row>
    <row r="10" spans="1:4" x14ac:dyDescent="0.2">
      <c r="B10" t="s">
        <v>413</v>
      </c>
      <c r="C10" t="s">
        <v>24</v>
      </c>
    </row>
    <row r="11" spans="1:4" x14ac:dyDescent="0.2">
      <c r="B11" t="s">
        <v>414</v>
      </c>
      <c r="C11" t="s">
        <v>24</v>
      </c>
    </row>
    <row r="12" spans="1:4" x14ac:dyDescent="0.2">
      <c r="B12" t="s">
        <v>428</v>
      </c>
      <c r="C12" t="s">
        <v>36</v>
      </c>
      <c r="D12" t="s">
        <v>429</v>
      </c>
    </row>
    <row r="13" spans="1:4" x14ac:dyDescent="0.2">
      <c r="B13" s="1" t="s">
        <v>194</v>
      </c>
      <c r="C13" s="1" t="s">
        <v>195</v>
      </c>
      <c r="D13" s="3">
        <v>67.849999999999994</v>
      </c>
    </row>
    <row r="14" spans="1:4" x14ac:dyDescent="0.2">
      <c r="B14" s="1" t="s">
        <v>190</v>
      </c>
      <c r="C14" s="1" t="s">
        <v>191</v>
      </c>
      <c r="D14" s="3">
        <v>51.76</v>
      </c>
    </row>
    <row r="15" spans="1:4" x14ac:dyDescent="0.2">
      <c r="A15" s="1"/>
      <c r="B15" s="1" t="s">
        <v>153</v>
      </c>
      <c r="C15" s="1" t="s">
        <v>154</v>
      </c>
      <c r="D15" s="3">
        <v>74.459999999999994</v>
      </c>
    </row>
    <row r="16" spans="1:4" x14ac:dyDescent="0.2">
      <c r="B16" t="s">
        <v>260</v>
      </c>
    </row>
    <row r="17" spans="2:4" x14ac:dyDescent="0.2">
      <c r="B17" t="s">
        <v>448</v>
      </c>
      <c r="C17" t="s">
        <v>18</v>
      </c>
    </row>
    <row r="18" spans="2:4" x14ac:dyDescent="0.2">
      <c r="B18" t="s">
        <v>450</v>
      </c>
      <c r="C18" t="s">
        <v>29</v>
      </c>
      <c r="D18" t="s">
        <v>449</v>
      </c>
    </row>
  </sheetData>
  <hyperlinks>
    <hyperlink ref="A1" location="Main!A1" display="Main" xr:uid="{D25979DB-5EBB-4C30-9F58-BD318CF0CE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10</vt:i4>
      </vt:variant>
    </vt:vector>
  </HeadingPairs>
  <TitlesOfParts>
    <vt:vector size="16" baseType="lpstr">
      <vt:lpstr>Main</vt:lpstr>
      <vt:lpstr>Launches</vt:lpstr>
      <vt:lpstr>China</vt:lpstr>
      <vt:lpstr>FX</vt:lpstr>
      <vt:lpstr>Private</vt:lpstr>
      <vt:lpstr>Acquisitions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2023-05-08T01:44:39Z</dcterms:modified>
</cp:coreProperties>
</file>