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0000048-C533-4C7B-BEC5-257D2B4EED6A}" xr6:coauthVersionLast="47" xr6:coauthVersionMax="47" xr10:uidLastSave="{00000000-0000-0000-0000-000000000000}"/>
  <bookViews>
    <workbookView xWindow="22500" yWindow="105" windowWidth="29115" windowHeight="2046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Model!$A$2:$CV$120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R19" i="8" l="1"/>
  <c r="DS19" i="8" s="1"/>
  <c r="DT19" i="8" s="1"/>
  <c r="DU19" i="8" s="1"/>
  <c r="DV19" i="8" s="1"/>
  <c r="DW19" i="8" s="1"/>
  <c r="DX19" i="8" s="1"/>
  <c r="DY19" i="8" s="1"/>
  <c r="DZ19" i="8" s="1"/>
  <c r="EA19" i="8" s="1"/>
  <c r="EB19" i="8" s="1"/>
  <c r="DQ19" i="8"/>
  <c r="DQ27" i="8"/>
  <c r="DR27" i="8" s="1"/>
  <c r="DS27" i="8" s="1"/>
  <c r="DT27" i="8" s="1"/>
  <c r="DU27" i="8" s="1"/>
  <c r="DV27" i="8" s="1"/>
  <c r="DW27" i="8" s="1"/>
  <c r="DX27" i="8" s="1"/>
  <c r="DY27" i="8" s="1"/>
  <c r="DZ27" i="8" s="1"/>
  <c r="EA27" i="8" s="1"/>
  <c r="EB27" i="8" s="1"/>
  <c r="DQ26" i="8"/>
  <c r="DR26" i="8" s="1"/>
  <c r="DS26" i="8" s="1"/>
  <c r="DT26" i="8" s="1"/>
  <c r="DU26" i="8" s="1"/>
  <c r="DV26" i="8" s="1"/>
  <c r="DW26" i="8" s="1"/>
  <c r="DX26" i="8" s="1"/>
  <c r="DY26" i="8" s="1"/>
  <c r="DZ26" i="8" s="1"/>
  <c r="EA26" i="8" s="1"/>
  <c r="EB26" i="8" s="1"/>
  <c r="DQ25" i="8"/>
  <c r="DR25" i="8" s="1"/>
  <c r="DS25" i="8" s="1"/>
  <c r="DT25" i="8" s="1"/>
  <c r="DU25" i="8" s="1"/>
  <c r="DV25" i="8" s="1"/>
  <c r="DW25" i="8" s="1"/>
  <c r="DX25" i="8" s="1"/>
  <c r="DY25" i="8" s="1"/>
  <c r="DZ25" i="8" s="1"/>
  <c r="EA25" i="8" s="1"/>
  <c r="EB25" i="8" s="1"/>
  <c r="DQ24" i="8"/>
  <c r="DR24" i="8" s="1"/>
  <c r="DS24" i="8" s="1"/>
  <c r="DT24" i="8" s="1"/>
  <c r="DU24" i="8" s="1"/>
  <c r="DV24" i="8" s="1"/>
  <c r="DW24" i="8" s="1"/>
  <c r="DX24" i="8" s="1"/>
  <c r="DY24" i="8" s="1"/>
  <c r="DZ24" i="8" s="1"/>
  <c r="EA24" i="8" s="1"/>
  <c r="EB24" i="8" s="1"/>
  <c r="DR23" i="8"/>
  <c r="DS23" i="8" s="1"/>
  <c r="DT23" i="8" s="1"/>
  <c r="DU23" i="8" s="1"/>
  <c r="DV23" i="8" s="1"/>
  <c r="DW23" i="8" s="1"/>
  <c r="DX23" i="8" s="1"/>
  <c r="DY23" i="8" s="1"/>
  <c r="DZ23" i="8" s="1"/>
  <c r="EA23" i="8" s="1"/>
  <c r="EB23" i="8" s="1"/>
  <c r="DQ23" i="8"/>
  <c r="DX21" i="8"/>
  <c r="DY21" i="8" s="1"/>
  <c r="DZ21" i="8" s="1"/>
  <c r="EA21" i="8" s="1"/>
  <c r="EB21" i="8" s="1"/>
  <c r="DX20" i="8"/>
  <c r="DY20" i="8" s="1"/>
  <c r="DZ20" i="8" s="1"/>
  <c r="EA20" i="8" s="1"/>
  <c r="EB20" i="8" s="1"/>
  <c r="DV16" i="8"/>
  <c r="DW16" i="8" s="1"/>
  <c r="DX16" i="8" s="1"/>
  <c r="DY16" i="8" s="1"/>
  <c r="DZ16" i="8" s="1"/>
  <c r="EA16" i="8" s="1"/>
  <c r="EB16" i="8" s="1"/>
  <c r="DU16" i="8"/>
  <c r="DT16" i="8"/>
  <c r="DS16" i="8"/>
  <c r="DR16" i="8"/>
  <c r="DQ16" i="8"/>
  <c r="DT17" i="8"/>
  <c r="DU17" i="8" s="1"/>
  <c r="DV17" i="8" s="1"/>
  <c r="DW17" i="8" s="1"/>
  <c r="DX17" i="8" s="1"/>
  <c r="DY17" i="8" s="1"/>
  <c r="DZ17" i="8" s="1"/>
  <c r="EA17" i="8" s="1"/>
  <c r="EB17" i="8" s="1"/>
  <c r="DN103" i="8"/>
  <c r="DO101" i="8"/>
  <c r="DN101" i="8"/>
  <c r="DO100" i="8"/>
  <c r="DN100" i="8"/>
  <c r="DO99" i="8"/>
  <c r="DN99" i="8"/>
  <c r="DO93" i="8"/>
  <c r="DN93" i="8"/>
  <c r="DO89" i="8"/>
  <c r="DN89" i="8"/>
  <c r="DO88" i="8"/>
  <c r="DN88" i="8"/>
  <c r="DN87" i="8"/>
  <c r="DO86" i="8"/>
  <c r="DN86" i="8"/>
  <c r="DP105" i="8"/>
  <c r="CM134" i="8"/>
  <c r="CM131" i="8"/>
  <c r="CM122" i="8"/>
  <c r="CM127" i="8"/>
  <c r="CL121" i="8"/>
  <c r="CK121" i="8"/>
  <c r="DO103" i="8"/>
  <c r="DU29" i="8"/>
  <c r="DV29" i="8" s="1"/>
  <c r="DW29" i="8" s="1"/>
  <c r="DX29" i="8" s="1"/>
  <c r="DY29" i="8" s="1"/>
  <c r="DZ29" i="8" s="1"/>
  <c r="EA29" i="8" s="1"/>
  <c r="EB29" i="8" s="1"/>
  <c r="CM117" i="8"/>
  <c r="CM170" i="8"/>
  <c r="CM169" i="8"/>
  <c r="CM116" i="8"/>
  <c r="CM90" i="8"/>
  <c r="CL84" i="8"/>
  <c r="CK84" i="8"/>
  <c r="CJ84" i="8"/>
  <c r="CJ85" i="8" s="1"/>
  <c r="CJ87" i="8" s="1"/>
  <c r="CJ105" i="8" s="1"/>
  <c r="CI84" i="8"/>
  <c r="CI85" i="8" s="1"/>
  <c r="CI106" i="8" s="1"/>
  <c r="CN16" i="8"/>
  <c r="CO16" i="8" s="1"/>
  <c r="CP16" i="8" s="1"/>
  <c r="DO16" i="8"/>
  <c r="CM84" i="8"/>
  <c r="CP17" i="8"/>
  <c r="CO17" i="8"/>
  <c r="CN17" i="8"/>
  <c r="CN7" i="8"/>
  <c r="CO7" i="8" s="1"/>
  <c r="CP7" i="8" s="1"/>
  <c r="DO7" i="8"/>
  <c r="DD76" i="8"/>
  <c r="DD75" i="8"/>
  <c r="DD72" i="8"/>
  <c r="DD68" i="8"/>
  <c r="DD67" i="8"/>
  <c r="DD66" i="8"/>
  <c r="DD63" i="8"/>
  <c r="DD62" i="8"/>
  <c r="DD61" i="8"/>
  <c r="DD59" i="8"/>
  <c r="DD58" i="8"/>
  <c r="DD57" i="8"/>
  <c r="DD56" i="8"/>
  <c r="DD55" i="8"/>
  <c r="DD54" i="8"/>
  <c r="DD53" i="8"/>
  <c r="DD28" i="8"/>
  <c r="DD35" i="8"/>
  <c r="DD34" i="8"/>
  <c r="DD33" i="8"/>
  <c r="DD32" i="8"/>
  <c r="DD25" i="8"/>
  <c r="DD30" i="8"/>
  <c r="DD23" i="8"/>
  <c r="DD41" i="8"/>
  <c r="DD40" i="8"/>
  <c r="DD39" i="8"/>
  <c r="DD37" i="8"/>
  <c r="DD47" i="8"/>
  <c r="DD46" i="8"/>
  <c r="DD45" i="8"/>
  <c r="DD44" i="8"/>
  <c r="DD42" i="8"/>
  <c r="DD18" i="8"/>
  <c r="DD36" i="8"/>
  <c r="DD43" i="8"/>
  <c r="DD17" i="8"/>
  <c r="DD52" i="8"/>
  <c r="DD14" i="8"/>
  <c r="DD49" i="8"/>
  <c r="DD48" i="8"/>
  <c r="DD22" i="8"/>
  <c r="DD13" i="8"/>
  <c r="DD12" i="8"/>
  <c r="DD11" i="8"/>
  <c r="DD10" i="8"/>
  <c r="DE76" i="8"/>
  <c r="DE75" i="8"/>
  <c r="DE68" i="8"/>
  <c r="DE66" i="8"/>
  <c r="DE63" i="8"/>
  <c r="DE62" i="8"/>
  <c r="DE61" i="8"/>
  <c r="DE60" i="8"/>
  <c r="DE59" i="8"/>
  <c r="DE56" i="8"/>
  <c r="DE55" i="8"/>
  <c r="DE54" i="8"/>
  <c r="DE53" i="8"/>
  <c r="DE28" i="8"/>
  <c r="DE35" i="8"/>
  <c r="DE34" i="8"/>
  <c r="DE33" i="8"/>
  <c r="DE32" i="8"/>
  <c r="DE25" i="8"/>
  <c r="DE30" i="8"/>
  <c r="DE23" i="8"/>
  <c r="DE41" i="8"/>
  <c r="DE40" i="8"/>
  <c r="DE39" i="8"/>
  <c r="DE37" i="8"/>
  <c r="DE47" i="8"/>
  <c r="DE46" i="8"/>
  <c r="DE45" i="8"/>
  <c r="DE44" i="8"/>
  <c r="DE42" i="8"/>
  <c r="DE18" i="8"/>
  <c r="DE36" i="8"/>
  <c r="DE43" i="8"/>
  <c r="DE17" i="8"/>
  <c r="DE52" i="8"/>
  <c r="DE51" i="8"/>
  <c r="DE14" i="8"/>
  <c r="DE49" i="8"/>
  <c r="DE48" i="8"/>
  <c r="DE22" i="8"/>
  <c r="DE13" i="8"/>
  <c r="DE12" i="8"/>
  <c r="DE11" i="8"/>
  <c r="DE10" i="8"/>
  <c r="DE9" i="8"/>
  <c r="AI84" i="8"/>
  <c r="AI85" i="8" s="1"/>
  <c r="AK85" i="8"/>
  <c r="AJ85" i="8"/>
  <c r="AQ84" i="8"/>
  <c r="AQ85" i="8" s="1"/>
  <c r="DG76" i="8"/>
  <c r="DF76" i="8"/>
  <c r="DG75" i="8"/>
  <c r="DF75" i="8"/>
  <c r="DG60" i="8"/>
  <c r="DF60" i="8"/>
  <c r="DG54" i="8"/>
  <c r="DF54" i="8"/>
  <c r="DG53" i="8"/>
  <c r="DF53" i="8"/>
  <c r="DG28" i="8"/>
  <c r="DF28" i="8"/>
  <c r="DG35" i="8"/>
  <c r="DF35" i="8"/>
  <c r="DG34" i="8"/>
  <c r="DF34" i="8"/>
  <c r="DG33" i="8"/>
  <c r="DF33" i="8"/>
  <c r="DG32" i="8"/>
  <c r="DF32" i="8"/>
  <c r="DG25" i="8"/>
  <c r="DF25" i="8"/>
  <c r="DG30" i="8"/>
  <c r="DF30" i="8"/>
  <c r="DG23" i="8"/>
  <c r="DF23" i="8"/>
  <c r="DG41" i="8"/>
  <c r="DF41" i="8"/>
  <c r="DG40" i="8"/>
  <c r="DF40" i="8"/>
  <c r="DG39" i="8"/>
  <c r="DF39" i="8"/>
  <c r="DG37" i="8"/>
  <c r="DF37" i="8"/>
  <c r="DG47" i="8"/>
  <c r="DF47" i="8"/>
  <c r="DG46" i="8"/>
  <c r="DF46" i="8"/>
  <c r="DG45" i="8"/>
  <c r="DF45" i="8"/>
  <c r="DG44" i="8"/>
  <c r="DF44" i="8"/>
  <c r="DG42" i="8"/>
  <c r="DF42" i="8"/>
  <c r="DG18" i="8"/>
  <c r="DF18" i="8"/>
  <c r="DG36" i="8"/>
  <c r="DF36" i="8"/>
  <c r="DG43" i="8"/>
  <c r="DF43" i="8"/>
  <c r="DG17" i="8"/>
  <c r="DF17" i="8"/>
  <c r="DG52" i="8"/>
  <c r="DF52" i="8"/>
  <c r="DG51" i="8"/>
  <c r="DF51" i="8"/>
  <c r="DG14" i="8"/>
  <c r="DF14" i="8"/>
  <c r="DG49" i="8"/>
  <c r="DF49" i="8"/>
  <c r="DG48" i="8"/>
  <c r="DF48" i="8"/>
  <c r="DG22" i="8"/>
  <c r="DF22" i="8"/>
  <c r="DG13" i="8"/>
  <c r="DF13" i="8"/>
  <c r="DG12" i="8"/>
  <c r="DF12" i="8"/>
  <c r="DG11" i="8"/>
  <c r="DF11" i="8"/>
  <c r="DG10" i="8"/>
  <c r="DF10" i="8"/>
  <c r="DG9" i="8"/>
  <c r="DF9" i="8"/>
  <c r="DG3" i="8"/>
  <c r="BB84" i="8"/>
  <c r="BB85" i="8" s="1"/>
  <c r="BA84" i="8"/>
  <c r="BA85" i="8" s="1"/>
  <c r="AZ84" i="8"/>
  <c r="AZ85" i="8" s="1"/>
  <c r="AY84" i="8"/>
  <c r="BF84" i="8"/>
  <c r="BF85" i="8" s="1"/>
  <c r="BE84" i="8"/>
  <c r="BE85" i="8" s="1"/>
  <c r="BD84" i="8"/>
  <c r="BD85" i="8" s="1"/>
  <c r="BC84" i="8"/>
  <c r="BC85" i="8" s="1"/>
  <c r="DI75" i="8"/>
  <c r="DH75" i="8"/>
  <c r="DI60" i="8"/>
  <c r="DH60" i="8"/>
  <c r="DI28" i="8"/>
  <c r="DH28" i="8"/>
  <c r="DI33" i="8"/>
  <c r="DH33" i="8"/>
  <c r="DI32" i="8"/>
  <c r="DH32" i="8"/>
  <c r="DI31" i="8"/>
  <c r="DI25" i="8"/>
  <c r="DH25" i="8"/>
  <c r="DI23" i="8"/>
  <c r="DH23" i="8"/>
  <c r="DI41" i="8"/>
  <c r="DH41" i="8"/>
  <c r="DI40" i="8"/>
  <c r="DH40" i="8"/>
  <c r="DI39" i="8"/>
  <c r="DH39" i="8"/>
  <c r="DI38" i="8"/>
  <c r="DH38" i="8"/>
  <c r="DI47" i="8"/>
  <c r="DH47" i="8"/>
  <c r="DI46" i="8"/>
  <c r="DH46" i="8"/>
  <c r="DI45" i="8"/>
  <c r="DH45" i="8"/>
  <c r="DI44" i="8"/>
  <c r="DH44" i="8"/>
  <c r="DI42" i="8"/>
  <c r="DH42" i="8"/>
  <c r="DI18" i="8"/>
  <c r="DH18" i="8"/>
  <c r="DI36" i="8"/>
  <c r="DH36" i="8"/>
  <c r="DI43" i="8"/>
  <c r="DH43" i="8"/>
  <c r="DI17" i="8"/>
  <c r="DH17" i="8"/>
  <c r="DI52" i="8"/>
  <c r="DH52" i="8"/>
  <c r="DI51" i="8"/>
  <c r="DH51" i="8"/>
  <c r="DI14" i="8"/>
  <c r="DH14" i="8"/>
  <c r="DI49" i="8"/>
  <c r="DH49" i="8"/>
  <c r="DI48" i="8"/>
  <c r="DH48" i="8"/>
  <c r="DI22" i="8"/>
  <c r="DH22" i="8"/>
  <c r="DI13" i="8"/>
  <c r="DH13" i="8"/>
  <c r="DI12" i="8"/>
  <c r="DH12" i="8"/>
  <c r="DI11" i="8"/>
  <c r="DH11" i="8"/>
  <c r="DI10" i="8"/>
  <c r="DH10" i="8"/>
  <c r="DI9" i="8"/>
  <c r="DH9" i="8"/>
  <c r="DI3" i="8"/>
  <c r="DH3" i="8"/>
  <c r="BN84" i="8"/>
  <c r="BN85" i="8" s="1"/>
  <c r="BM84" i="8"/>
  <c r="BM85" i="8" s="1"/>
  <c r="BL84" i="8"/>
  <c r="BL85" i="8" s="1"/>
  <c r="BK84" i="8"/>
  <c r="BK85" i="8" s="1"/>
  <c r="BJ84" i="8"/>
  <c r="BJ85" i="8" s="1"/>
  <c r="BI84" i="8"/>
  <c r="BI85" i="8" s="1"/>
  <c r="BH84" i="8"/>
  <c r="BH85" i="8" s="1"/>
  <c r="BG84" i="8"/>
  <c r="DK75" i="8"/>
  <c r="DJ75" i="8"/>
  <c r="DK60" i="8"/>
  <c r="DJ60" i="8"/>
  <c r="DK28" i="8"/>
  <c r="DJ28" i="8"/>
  <c r="DK32" i="8"/>
  <c r="DJ32" i="8"/>
  <c r="DK31" i="8"/>
  <c r="DJ31" i="8"/>
  <c r="DK27" i="8"/>
  <c r="DJ27" i="8"/>
  <c r="DK25" i="8"/>
  <c r="DJ25" i="8"/>
  <c r="DK23" i="8"/>
  <c r="DJ23" i="8"/>
  <c r="DK41" i="8"/>
  <c r="DJ41" i="8"/>
  <c r="DK40" i="8"/>
  <c r="DJ40" i="8"/>
  <c r="DK39" i="8"/>
  <c r="DJ39" i="8"/>
  <c r="DK38" i="8"/>
  <c r="DJ38" i="8"/>
  <c r="DK47" i="8"/>
  <c r="DJ47" i="8"/>
  <c r="DK46" i="8"/>
  <c r="DJ46" i="8"/>
  <c r="DK45" i="8"/>
  <c r="DJ45" i="8"/>
  <c r="DK44" i="8"/>
  <c r="DJ44" i="8"/>
  <c r="DK42" i="8"/>
  <c r="DJ42" i="8"/>
  <c r="DK18" i="8"/>
  <c r="DJ18" i="8"/>
  <c r="DK36" i="8"/>
  <c r="DJ36" i="8"/>
  <c r="DK43" i="8"/>
  <c r="DJ43" i="8"/>
  <c r="DK17" i="8"/>
  <c r="DJ17" i="8"/>
  <c r="DK52" i="8"/>
  <c r="DJ52" i="8"/>
  <c r="DK51" i="8"/>
  <c r="DJ51" i="8"/>
  <c r="DK15" i="8"/>
  <c r="DJ15" i="8"/>
  <c r="DK14" i="8"/>
  <c r="DJ14" i="8"/>
  <c r="DK50" i="8"/>
  <c r="DJ50" i="8"/>
  <c r="DK49" i="8"/>
  <c r="DJ49" i="8"/>
  <c r="DK48" i="8"/>
  <c r="DJ48" i="8"/>
  <c r="DK22" i="8"/>
  <c r="DJ22" i="8"/>
  <c r="DK13" i="8"/>
  <c r="DJ13" i="8"/>
  <c r="DK12" i="8"/>
  <c r="DJ12" i="8"/>
  <c r="DK11" i="8"/>
  <c r="DJ11" i="8"/>
  <c r="DK10" i="8"/>
  <c r="DJ10" i="8"/>
  <c r="DK9" i="8"/>
  <c r="DJ9" i="8"/>
  <c r="DK5" i="8"/>
  <c r="DK4" i="8"/>
  <c r="DJ4" i="8"/>
  <c r="DK3" i="8"/>
  <c r="DJ3" i="8"/>
  <c r="BV84" i="8"/>
  <c r="BV85" i="8" s="1"/>
  <c r="BU84" i="8"/>
  <c r="BU85" i="8" s="1"/>
  <c r="BT84" i="8"/>
  <c r="BT85" i="8" s="1"/>
  <c r="BS84" i="8"/>
  <c r="BR84" i="8"/>
  <c r="BR85" i="8" s="1"/>
  <c r="BQ84" i="8"/>
  <c r="BQ85" i="8" s="1"/>
  <c r="BP84" i="8"/>
  <c r="BP85" i="8" s="1"/>
  <c r="BO84" i="8"/>
  <c r="DO75" i="8"/>
  <c r="DN75" i="8"/>
  <c r="DM75" i="8"/>
  <c r="DL75" i="8"/>
  <c r="DM60" i="8"/>
  <c r="DL60" i="8"/>
  <c r="DO28" i="8"/>
  <c r="DN28" i="8"/>
  <c r="DM28" i="8"/>
  <c r="DL28" i="8"/>
  <c r="DM31" i="8"/>
  <c r="DL31" i="8"/>
  <c r="DO27" i="8"/>
  <c r="DN27" i="8"/>
  <c r="DM27" i="8"/>
  <c r="DL27" i="8"/>
  <c r="DO26" i="8"/>
  <c r="DN26" i="8"/>
  <c r="DM26" i="8"/>
  <c r="DL26" i="8"/>
  <c r="DO25" i="8"/>
  <c r="DN25" i="8"/>
  <c r="DM25" i="8"/>
  <c r="DL25" i="8"/>
  <c r="DO24" i="8"/>
  <c r="DN24" i="8"/>
  <c r="DM24" i="8"/>
  <c r="DL24" i="8"/>
  <c r="DO23" i="8"/>
  <c r="DN23" i="8"/>
  <c r="DM23" i="8"/>
  <c r="DL23" i="8"/>
  <c r="DM40" i="8"/>
  <c r="DL40" i="8"/>
  <c r="DM39" i="8"/>
  <c r="DL39" i="8"/>
  <c r="DO8" i="8"/>
  <c r="DN8" i="8"/>
  <c r="DO6" i="8"/>
  <c r="DN6" i="8"/>
  <c r="DO5" i="8"/>
  <c r="DN5" i="8"/>
  <c r="DM5" i="8"/>
  <c r="DL5" i="8"/>
  <c r="DO4" i="8"/>
  <c r="DN4" i="8"/>
  <c r="DM4" i="8"/>
  <c r="DL4" i="8"/>
  <c r="DO3" i="8"/>
  <c r="DN3" i="8"/>
  <c r="DM3" i="8"/>
  <c r="DL3" i="8"/>
  <c r="DM38" i="8"/>
  <c r="DL38" i="8"/>
  <c r="DO21" i="8"/>
  <c r="DN21" i="8"/>
  <c r="DM21" i="8"/>
  <c r="DL21" i="8"/>
  <c r="DO20" i="8"/>
  <c r="DN20" i="8"/>
  <c r="DO47" i="8"/>
  <c r="DN47" i="8"/>
  <c r="DM47" i="8"/>
  <c r="DL47" i="8"/>
  <c r="DM46" i="8"/>
  <c r="DL46" i="8"/>
  <c r="DM44" i="8"/>
  <c r="DL44" i="8"/>
  <c r="DO19" i="8"/>
  <c r="DN19" i="8"/>
  <c r="DM19" i="8"/>
  <c r="DL19" i="8"/>
  <c r="DO18" i="8"/>
  <c r="DN18" i="8"/>
  <c r="DM18" i="8"/>
  <c r="DL18" i="8"/>
  <c r="DO36" i="8"/>
  <c r="DN36" i="8"/>
  <c r="DM36" i="8"/>
  <c r="DL36" i="8"/>
  <c r="DM43" i="8"/>
  <c r="DL43" i="8"/>
  <c r="DO17" i="8"/>
  <c r="DN17" i="8"/>
  <c r="DM17" i="8"/>
  <c r="DL17" i="8"/>
  <c r="DM52" i="8"/>
  <c r="DL52" i="8"/>
  <c r="DM51" i="8"/>
  <c r="DL51" i="8"/>
  <c r="DO15" i="8"/>
  <c r="DN15" i="8"/>
  <c r="DM15" i="8"/>
  <c r="DL15" i="8"/>
  <c r="DO14" i="8"/>
  <c r="DN14" i="8"/>
  <c r="DM14" i="8"/>
  <c r="DL14" i="8"/>
  <c r="DM50" i="8"/>
  <c r="DL50" i="8"/>
  <c r="DM49" i="8"/>
  <c r="DL49" i="8"/>
  <c r="DM48" i="8"/>
  <c r="DL48" i="8"/>
  <c r="DO22" i="8"/>
  <c r="DN22" i="8"/>
  <c r="DM22" i="8"/>
  <c r="DL22" i="8"/>
  <c r="DO13" i="8"/>
  <c r="DN13" i="8"/>
  <c r="DM13" i="8"/>
  <c r="DL13" i="8"/>
  <c r="DO12" i="8"/>
  <c r="DN12" i="8"/>
  <c r="DM12" i="8"/>
  <c r="DL12" i="8"/>
  <c r="DO11" i="8"/>
  <c r="DN11" i="8"/>
  <c r="DM11" i="8"/>
  <c r="DL11" i="8"/>
  <c r="DO10" i="8"/>
  <c r="DN10" i="8"/>
  <c r="DM10" i="8"/>
  <c r="DL10" i="8"/>
  <c r="DO9" i="8"/>
  <c r="DN9" i="8"/>
  <c r="DM9" i="8"/>
  <c r="DL9" i="8"/>
  <c r="CJ134" i="8"/>
  <c r="CJ131" i="8"/>
  <c r="CJ127" i="8"/>
  <c r="CJ122" i="8"/>
  <c r="CJ121" i="8" s="1"/>
  <c r="CK100" i="8"/>
  <c r="CN23" i="8"/>
  <c r="CO23" i="8" s="1"/>
  <c r="CP23" i="8" s="1"/>
  <c r="CN89" i="8"/>
  <c r="CP89" i="8"/>
  <c r="CO89" i="8"/>
  <c r="CO88" i="8"/>
  <c r="CN88" i="8"/>
  <c r="CP88" i="8"/>
  <c r="CN103" i="8"/>
  <c r="CO103" i="8" s="1"/>
  <c r="CP103" i="8" s="1"/>
  <c r="CC84" i="8"/>
  <c r="CC85" i="8" s="1"/>
  <c r="CC90" i="8"/>
  <c r="CG90" i="8"/>
  <c r="CJ170" i="8"/>
  <c r="CI170" i="8"/>
  <c r="CH170" i="8"/>
  <c r="CG170" i="8"/>
  <c r="CF170" i="8"/>
  <c r="CE170" i="8"/>
  <c r="CD170" i="8"/>
  <c r="CC170" i="8"/>
  <c r="CB170" i="8"/>
  <c r="CA170" i="8"/>
  <c r="CI169" i="8"/>
  <c r="CH169" i="8"/>
  <c r="CG169" i="8"/>
  <c r="CF169" i="8"/>
  <c r="CE169" i="8"/>
  <c r="CD169" i="8"/>
  <c r="CC169" i="8"/>
  <c r="CB169" i="8"/>
  <c r="CA169" i="8"/>
  <c r="CJ169" i="8"/>
  <c r="CN24" i="8"/>
  <c r="CO24" i="8" s="1"/>
  <c r="CP24" i="8" s="1"/>
  <c r="CN25" i="8"/>
  <c r="CO25" i="8" s="1"/>
  <c r="CP25" i="8" s="1"/>
  <c r="CN26" i="8"/>
  <c r="CO26" i="8" s="1"/>
  <c r="CP26" i="8" s="1"/>
  <c r="CN27" i="8"/>
  <c r="CO27" i="8" s="1"/>
  <c r="CP27" i="8" s="1"/>
  <c r="CN21" i="8"/>
  <c r="CO21" i="8" s="1"/>
  <c r="CP21" i="8" s="1"/>
  <c r="CN20" i="8"/>
  <c r="CP20" i="8"/>
  <c r="CO20" i="8"/>
  <c r="CN19" i="8"/>
  <c r="CO19" i="8" s="1"/>
  <c r="CP19" i="8" s="1"/>
  <c r="CN18" i="8"/>
  <c r="CP18" i="8"/>
  <c r="CO18" i="8"/>
  <c r="CN15" i="8"/>
  <c r="CP15" i="8"/>
  <c r="CO15" i="8"/>
  <c r="CN14" i="8"/>
  <c r="CP14" i="8"/>
  <c r="CO14" i="8"/>
  <c r="CN22" i="8"/>
  <c r="CP22" i="8"/>
  <c r="CO22" i="8"/>
  <c r="CN11" i="8"/>
  <c r="CO11" i="8" s="1"/>
  <c r="CP11" i="8" s="1"/>
  <c r="CP170" i="8" s="1"/>
  <c r="CK169" i="8"/>
  <c r="CN5" i="8"/>
  <c r="CP5" i="8"/>
  <c r="CO5" i="8"/>
  <c r="CN6" i="8"/>
  <c r="CO6" i="8" s="1"/>
  <c r="CP6" i="8" s="1"/>
  <c r="CN4" i="8"/>
  <c r="CP4" i="8"/>
  <c r="CO4" i="8"/>
  <c r="CN13" i="8"/>
  <c r="CP13" i="8"/>
  <c r="CO13" i="8"/>
  <c r="CN12" i="8"/>
  <c r="CP12" i="8"/>
  <c r="CO12" i="8"/>
  <c r="CN9" i="8"/>
  <c r="CN117" i="8" s="1"/>
  <c r="CP9" i="8"/>
  <c r="CP117" i="8" s="1"/>
  <c r="CK117" i="8"/>
  <c r="CI117" i="8"/>
  <c r="CH117" i="8"/>
  <c r="CG117" i="8"/>
  <c r="CF117" i="8"/>
  <c r="CE117" i="8"/>
  <c r="CD117" i="8"/>
  <c r="CC117" i="8"/>
  <c r="CB117" i="8"/>
  <c r="CA117" i="8"/>
  <c r="CJ117" i="8"/>
  <c r="CN8" i="8"/>
  <c r="CO8" i="8" s="1"/>
  <c r="CP8" i="8" s="1"/>
  <c r="CA116" i="8"/>
  <c r="CH116" i="8"/>
  <c r="CG116" i="8"/>
  <c r="CF116" i="8"/>
  <c r="CE116" i="8"/>
  <c r="CD116" i="8"/>
  <c r="CC116" i="8"/>
  <c r="CB116" i="8"/>
  <c r="CJ116" i="8"/>
  <c r="CD90" i="8"/>
  <c r="CH90" i="8"/>
  <c r="CE90" i="8"/>
  <c r="CI90" i="8"/>
  <c r="CF90" i="8"/>
  <c r="CJ90" i="8"/>
  <c r="CT85" i="8"/>
  <c r="CN28" i="8"/>
  <c r="CO28" i="8" s="1"/>
  <c r="CP28" i="8" s="1"/>
  <c r="CN75" i="8"/>
  <c r="CP75" i="8"/>
  <c r="CO75" i="8"/>
  <c r="DP75" i="8" s="1"/>
  <c r="CP3" i="8"/>
  <c r="CP116" i="8" s="1"/>
  <c r="CO3" i="8"/>
  <c r="CO116" i="8" s="1"/>
  <c r="CN3" i="8"/>
  <c r="CN116" i="8" s="1"/>
  <c r="CD84" i="8"/>
  <c r="CD85" i="8" s="1"/>
  <c r="CD87" i="8" s="1"/>
  <c r="CD105" i="8" s="1"/>
  <c r="CB84" i="8"/>
  <c r="CB85" i="8" s="1"/>
  <c r="CA84" i="8"/>
  <c r="CA85" i="8" s="1"/>
  <c r="BZ84" i="8"/>
  <c r="BZ85" i="8" s="1"/>
  <c r="BY84" i="8"/>
  <c r="BY85" i="8" s="1"/>
  <c r="BX84" i="8"/>
  <c r="BX85" i="8" s="1"/>
  <c r="BW84" i="8"/>
  <c r="BW85" i="8" s="1"/>
  <c r="CI116" i="8"/>
  <c r="CH84" i="8"/>
  <c r="CH85" i="8" s="1"/>
  <c r="CH87" i="8" s="1"/>
  <c r="CH105" i="8" s="1"/>
  <c r="CG84" i="8"/>
  <c r="CG85" i="8" s="1"/>
  <c r="CG87" i="8" s="1"/>
  <c r="CG105" i="8" s="1"/>
  <c r="CF84" i="8"/>
  <c r="CF85" i="8" s="1"/>
  <c r="CF87" i="8" s="1"/>
  <c r="CF105" i="8" s="1"/>
  <c r="CE84" i="8"/>
  <c r="CE85" i="8" s="1"/>
  <c r="CE87" i="8" s="1"/>
  <c r="CE105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4" i="8"/>
  <c r="AX85" i="8" s="1"/>
  <c r="AW84" i="8"/>
  <c r="AW85" i="8" s="1"/>
  <c r="AV84" i="8"/>
  <c r="AV85" i="8" s="1"/>
  <c r="AU84" i="8"/>
  <c r="AT84" i="8"/>
  <c r="AT85" i="8" s="1"/>
  <c r="AS84" i="8"/>
  <c r="AS85" i="8" s="1"/>
  <c r="AR84" i="8"/>
  <c r="AR85" i="8" s="1"/>
  <c r="J4" i="2"/>
  <c r="AQ98" i="8"/>
  <c r="AQ90" i="8"/>
  <c r="DC68" i="8"/>
  <c r="AT89" i="8"/>
  <c r="AS89" i="8"/>
  <c r="AR89" i="8"/>
  <c r="AQ118" i="8"/>
  <c r="AP118" i="8"/>
  <c r="AO118" i="8"/>
  <c r="AN118" i="8"/>
  <c r="AM118" i="8"/>
  <c r="AK118" i="8"/>
  <c r="AJ118" i="8"/>
  <c r="AI118" i="8"/>
  <c r="AG118" i="8"/>
  <c r="AF118" i="8"/>
  <c r="AE118" i="8"/>
  <c r="AT118" i="8"/>
  <c r="AS118" i="8"/>
  <c r="AR118" i="8"/>
  <c r="AT117" i="8"/>
  <c r="AS117" i="8"/>
  <c r="AR117" i="8"/>
  <c r="AQ117" i="8"/>
  <c r="AP117" i="8"/>
  <c r="AO117" i="8"/>
  <c r="AN117" i="8"/>
  <c r="AM117" i="8"/>
  <c r="AK117" i="8"/>
  <c r="AJ117" i="8"/>
  <c r="AI117" i="8"/>
  <c r="AG117" i="8"/>
  <c r="AF117" i="8"/>
  <c r="AE117" i="8"/>
  <c r="AD117" i="8"/>
  <c r="AQ170" i="8"/>
  <c r="AP170" i="8"/>
  <c r="AO170" i="8"/>
  <c r="AN170" i="8"/>
  <c r="AM170" i="8"/>
  <c r="AK170" i="8"/>
  <c r="AJ170" i="8"/>
  <c r="AI170" i="8"/>
  <c r="AG170" i="8"/>
  <c r="AF170" i="8"/>
  <c r="AR173" i="8"/>
  <c r="AR172" i="8"/>
  <c r="AQ172" i="8"/>
  <c r="AP173" i="8"/>
  <c r="AO173" i="8"/>
  <c r="AN173" i="8"/>
  <c r="AK173" i="8"/>
  <c r="AJ173" i="8"/>
  <c r="AI173" i="8"/>
  <c r="AG173" i="8"/>
  <c r="AF173" i="8"/>
  <c r="AE173" i="8"/>
  <c r="AD173" i="8"/>
  <c r="AP172" i="8"/>
  <c r="AO172" i="8"/>
  <c r="AN172" i="8"/>
  <c r="AM172" i="8"/>
  <c r="AK172" i="8"/>
  <c r="AJ172" i="8"/>
  <c r="AI172" i="8"/>
  <c r="AG172" i="8"/>
  <c r="AF172" i="8"/>
  <c r="AE172" i="8"/>
  <c r="AD172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S169" i="8"/>
  <c r="AR169" i="8"/>
  <c r="AT170" i="8"/>
  <c r="AS170" i="8"/>
  <c r="AR170" i="8"/>
  <c r="AP169" i="8"/>
  <c r="DD92" i="8"/>
  <c r="DD98" i="8" s="1"/>
  <c r="DC72" i="8"/>
  <c r="DC49" i="8"/>
  <c r="DC52" i="8"/>
  <c r="DC22" i="8"/>
  <c r="DC89" i="8"/>
  <c r="DC88" i="8"/>
  <c r="AO100" i="8"/>
  <c r="AO98" i="8"/>
  <c r="AO90" i="8"/>
  <c r="AO84" i="8"/>
  <c r="AO85" i="8" s="1"/>
  <c r="AP100" i="8"/>
  <c r="AP98" i="8"/>
  <c r="AP90" i="8"/>
  <c r="AP84" i="8"/>
  <c r="AP85" i="8" s="1"/>
  <c r="AN100" i="8"/>
  <c r="AN98" i="8"/>
  <c r="AN84" i="8"/>
  <c r="AN85" i="8" s="1"/>
  <c r="AH100" i="8"/>
  <c r="AH98" i="8"/>
  <c r="AL100" i="8"/>
  <c r="AL84" i="8"/>
  <c r="AL98" i="8"/>
  <c r="AL90" i="8"/>
  <c r="AO169" i="8"/>
  <c r="AN169" i="8"/>
  <c r="AE169" i="8"/>
  <c r="AD169" i="8"/>
  <c r="AK169" i="8"/>
  <c r="AJ169" i="8"/>
  <c r="AI169" i="8"/>
  <c r="AG169" i="8"/>
  <c r="AF169" i="8"/>
  <c r="AM169" i="8"/>
  <c r="AM48" i="8"/>
  <c r="AM66" i="8"/>
  <c r="DC66" i="8" s="1"/>
  <c r="DC44" i="8"/>
  <c r="AM53" i="8"/>
  <c r="DC53" i="8" s="1"/>
  <c r="AM35" i="8"/>
  <c r="DC35" i="8" s="1"/>
  <c r="AM45" i="8"/>
  <c r="DC45" i="8" s="1"/>
  <c r="AM51" i="8"/>
  <c r="DC51" i="8" s="1"/>
  <c r="DD51" i="8" s="1"/>
  <c r="AM60" i="8"/>
  <c r="DC60" i="8" s="1"/>
  <c r="DC37" i="8"/>
  <c r="AM100" i="8"/>
  <c r="DC43" i="8"/>
  <c r="DB12" i="8"/>
  <c r="DB45" i="8"/>
  <c r="AN90" i="8"/>
  <c r="AM90" i="8"/>
  <c r="AM84" i="8"/>
  <c r="DC75" i="8"/>
  <c r="DC25" i="8"/>
  <c r="AL17" i="8"/>
  <c r="DB17" i="8" s="1"/>
  <c r="DC17" i="8"/>
  <c r="DC54" i="8"/>
  <c r="DC56" i="8"/>
  <c r="DB60" i="8"/>
  <c r="DC61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U85" i="8"/>
  <c r="DB62" i="8"/>
  <c r="DB59" i="8"/>
  <c r="DB44" i="8"/>
  <c r="DB33" i="8"/>
  <c r="DB25" i="8"/>
  <c r="DB30" i="8"/>
  <c r="DB49" i="8"/>
  <c r="DA60" i="8"/>
  <c r="AI89" i="8"/>
  <c r="AI88" i="8"/>
  <c r="AI86" i="8"/>
  <c r="AI100" i="8"/>
  <c r="AA84" i="8"/>
  <c r="AB84" i="8"/>
  <c r="AB85" i="8" s="1"/>
  <c r="AB106" i="8" s="1"/>
  <c r="AC84" i="8"/>
  <c r="AC85" i="8" s="1"/>
  <c r="AE84" i="8"/>
  <c r="AE85" i="8" s="1"/>
  <c r="AF84" i="8"/>
  <c r="AF85" i="8" s="1"/>
  <c r="AG84" i="8"/>
  <c r="AG85" i="8" s="1"/>
  <c r="AJ100" i="8"/>
  <c r="AJ89" i="8"/>
  <c r="AJ88" i="8"/>
  <c r="AJ86" i="8"/>
  <c r="C33" i="4"/>
  <c r="C34" i="4"/>
  <c r="C35" i="4"/>
  <c r="C31" i="4"/>
  <c r="AG98" i="8"/>
  <c r="AG90" i="8"/>
  <c r="AL169" i="8"/>
  <c r="AH49" i="8"/>
  <c r="AH172" i="8" s="1"/>
  <c r="AH45" i="8"/>
  <c r="DA45" i="8" s="1"/>
  <c r="AH52" i="8"/>
  <c r="DA73" i="8"/>
  <c r="AH59" i="8"/>
  <c r="DA59" i="8" s="1"/>
  <c r="DA42" i="8"/>
  <c r="DA48" i="8"/>
  <c r="AH9" i="8"/>
  <c r="AL117" i="8" s="1"/>
  <c r="AH14" i="8"/>
  <c r="AH12" i="8"/>
  <c r="DA12" i="8" s="1"/>
  <c r="AH17" i="8"/>
  <c r="DA17" i="8" s="1"/>
  <c r="AH70" i="8"/>
  <c r="DA70" i="8" s="1"/>
  <c r="AH69" i="8"/>
  <c r="DA69" i="8" s="1"/>
  <c r="AH44" i="8"/>
  <c r="DA44" i="8" s="1"/>
  <c r="AH36" i="8"/>
  <c r="DA36" i="8" s="1"/>
  <c r="AH30" i="8"/>
  <c r="DA30" i="8" s="1"/>
  <c r="AH57" i="8"/>
  <c r="DA57" i="8" s="1"/>
  <c r="AH46" i="8"/>
  <c r="DA46" i="8" s="1"/>
  <c r="AH47" i="8"/>
  <c r="DA47" i="8" s="1"/>
  <c r="AH25" i="8"/>
  <c r="DA25" i="8" s="1"/>
  <c r="AH53" i="8"/>
  <c r="DA53" i="8" s="1"/>
  <c r="AH55" i="8"/>
  <c r="DA55" i="8" s="1"/>
  <c r="AH62" i="8"/>
  <c r="DA62" i="8" s="1"/>
  <c r="AH71" i="8"/>
  <c r="DA71" i="8" s="1"/>
  <c r="AH33" i="8"/>
  <c r="DA33" i="8" s="1"/>
  <c r="AH74" i="8"/>
  <c r="DA74" i="8" s="1"/>
  <c r="AD25" i="8"/>
  <c r="CZ25" i="8" s="1"/>
  <c r="AD36" i="8"/>
  <c r="CZ36" i="8" s="1"/>
  <c r="AD12" i="8"/>
  <c r="CZ12" i="8" s="1"/>
  <c r="AD30" i="8"/>
  <c r="CZ30" i="8" s="1"/>
  <c r="AD44" i="8"/>
  <c r="CZ44" i="8" s="1"/>
  <c r="AD57" i="8"/>
  <c r="CZ57" i="8" s="1"/>
  <c r="AD46" i="8"/>
  <c r="CZ46" i="8" s="1"/>
  <c r="AD47" i="8"/>
  <c r="CZ47" i="8" s="1"/>
  <c r="AD59" i="8"/>
  <c r="CZ59" i="8" s="1"/>
  <c r="AD53" i="8"/>
  <c r="CZ53" i="8" s="1"/>
  <c r="AD55" i="8"/>
  <c r="CZ55" i="8" s="1"/>
  <c r="AD62" i="8"/>
  <c r="CZ62" i="8" s="1"/>
  <c r="AD69" i="8"/>
  <c r="CZ69" i="8" s="1"/>
  <c r="AD70" i="8"/>
  <c r="CZ70" i="8" s="1"/>
  <c r="AD71" i="8"/>
  <c r="CZ71" i="8" s="1"/>
  <c r="AD73" i="8"/>
  <c r="CZ73" i="8" s="1"/>
  <c r="AD74" i="8"/>
  <c r="CZ74" i="8" s="1"/>
  <c r="CZ92" i="8"/>
  <c r="CZ93" i="8"/>
  <c r="CZ94" i="8"/>
  <c r="CZ95" i="8"/>
  <c r="CZ96" i="8"/>
  <c r="DA96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AE88" i="8"/>
  <c r="DA88" i="8" s="1"/>
  <c r="AE86" i="8"/>
  <c r="DA86" i="8" s="1"/>
  <c r="AE98" i="8"/>
  <c r="AF90" i="8"/>
  <c r="AF98" i="8"/>
  <c r="Z12" i="8"/>
  <c r="Z84" i="8" s="1"/>
  <c r="Z85" i="8" s="1"/>
  <c r="CZ2" i="8"/>
  <c r="CY2" i="8" s="1"/>
  <c r="CX2" i="8" s="1"/>
  <c r="CW2" i="8" s="1"/>
  <c r="CV2" i="8" s="1"/>
  <c r="CU2" i="8" s="1"/>
  <c r="CT2" i="8" s="1"/>
  <c r="I88" i="8"/>
  <c r="CU88" i="8" s="1"/>
  <c r="O88" i="8"/>
  <c r="O84" i="8"/>
  <c r="O85" i="8" s="1"/>
  <c r="P88" i="8"/>
  <c r="P197" i="8" s="1"/>
  <c r="T197" i="8" s="1"/>
  <c r="P84" i="8"/>
  <c r="Q84" i="8"/>
  <c r="Q85" i="8" s="1"/>
  <c r="R88" i="8"/>
  <c r="R90" i="8" s="1"/>
  <c r="R84" i="8"/>
  <c r="R85" i="8" s="1"/>
  <c r="O89" i="8"/>
  <c r="P89" i="8"/>
  <c r="Q89" i="8"/>
  <c r="Q90" i="8" s="1"/>
  <c r="C90" i="8"/>
  <c r="C91" i="8" s="1"/>
  <c r="D90" i="8"/>
  <c r="D91" i="8" s="1"/>
  <c r="E90" i="8"/>
  <c r="E91" i="8" s="1"/>
  <c r="F90" i="8"/>
  <c r="F91" i="8" s="1"/>
  <c r="G90" i="8"/>
  <c r="G91" i="8" s="1"/>
  <c r="H86" i="8"/>
  <c r="H90" i="8" s="1"/>
  <c r="H91" i="8" s="1"/>
  <c r="I86" i="8"/>
  <c r="J86" i="8"/>
  <c r="J90" i="8" s="1"/>
  <c r="J91" i="8" s="1"/>
  <c r="K86" i="8"/>
  <c r="K198" i="8" s="1"/>
  <c r="L86" i="8"/>
  <c r="L198" i="8" s="1"/>
  <c r="M90" i="8"/>
  <c r="M91" i="8" s="1"/>
  <c r="N90" i="8"/>
  <c r="N91" i="8" s="1"/>
  <c r="O86" i="8"/>
  <c r="O198" i="8" s="1"/>
  <c r="P86" i="8"/>
  <c r="P198" i="8" s="1"/>
  <c r="C98" i="8"/>
  <c r="D98" i="8"/>
  <c r="E98" i="8"/>
  <c r="F98" i="8"/>
  <c r="G92" i="8"/>
  <c r="CU92" i="8" s="1"/>
  <c r="G93" i="8"/>
  <c r="CU93" i="8" s="1"/>
  <c r="G94" i="8"/>
  <c r="CU94" i="8" s="1"/>
  <c r="G95" i="8"/>
  <c r="CU95" i="8" s="1"/>
  <c r="H97" i="8"/>
  <c r="H98" i="8" s="1"/>
  <c r="I97" i="8"/>
  <c r="I98" i="8" s="1"/>
  <c r="J97" i="8"/>
  <c r="J98" i="8" s="1"/>
  <c r="K97" i="8"/>
  <c r="K98" i="8" s="1"/>
  <c r="L97" i="8"/>
  <c r="L98" i="8" s="1"/>
  <c r="M98" i="8"/>
  <c r="N97" i="8"/>
  <c r="N98" i="8" s="1"/>
  <c r="O98" i="8"/>
  <c r="P98" i="8"/>
  <c r="Q98" i="8"/>
  <c r="R98" i="8"/>
  <c r="F100" i="8"/>
  <c r="CT100" i="8" s="1"/>
  <c r="CY60" i="8"/>
  <c r="CY52" i="8"/>
  <c r="CY45" i="8"/>
  <c r="CY49" i="8"/>
  <c r="CY48" i="8"/>
  <c r="CY9" i="8"/>
  <c r="X12" i="8"/>
  <c r="Y12" i="8"/>
  <c r="Y84" i="8" s="1"/>
  <c r="Y85" i="8" s="1"/>
  <c r="CY10" i="8"/>
  <c r="CY17" i="8"/>
  <c r="CY30" i="8"/>
  <c r="CY33" i="8"/>
  <c r="CY25" i="8"/>
  <c r="CY36" i="8"/>
  <c r="CY42" i="8"/>
  <c r="CY44" i="8"/>
  <c r="CY57" i="8"/>
  <c r="CY46" i="8"/>
  <c r="CY47" i="8"/>
  <c r="CY59" i="8"/>
  <c r="CY53" i="8"/>
  <c r="CY55" i="8"/>
  <c r="CY62" i="8"/>
  <c r="CY69" i="8"/>
  <c r="CY70" i="8"/>
  <c r="CY71" i="8"/>
  <c r="CY73" i="8"/>
  <c r="CY74" i="8"/>
  <c r="W84" i="8"/>
  <c r="W85" i="8" s="1"/>
  <c r="W86" i="8"/>
  <c r="X86" i="8"/>
  <c r="Z86" i="8"/>
  <c r="W89" i="8"/>
  <c r="W90" i="8" s="1"/>
  <c r="X89" i="8"/>
  <c r="Z89" i="8"/>
  <c r="Z88" i="8"/>
  <c r="CY92" i="8"/>
  <c r="CY93" i="8"/>
  <c r="CY94" i="8"/>
  <c r="CY95" i="8"/>
  <c r="CY96" i="8"/>
  <c r="CY97" i="8"/>
  <c r="CZ60" i="8"/>
  <c r="CZ52" i="8"/>
  <c r="CZ45" i="8"/>
  <c r="CZ49" i="8"/>
  <c r="CZ48" i="8"/>
  <c r="CZ9" i="8"/>
  <c r="CZ10" i="8"/>
  <c r="CZ17" i="8"/>
  <c r="CZ33" i="8"/>
  <c r="CZ42" i="8"/>
  <c r="CZ11" i="8"/>
  <c r="AC89" i="8"/>
  <c r="AC90" i="8" s="1"/>
  <c r="CZ97" i="8"/>
  <c r="CY100" i="8"/>
  <c r="CX60" i="8"/>
  <c r="CX52" i="8"/>
  <c r="CX45" i="8"/>
  <c r="CX49" i="8"/>
  <c r="CX48" i="8"/>
  <c r="CX9" i="8"/>
  <c r="CX12" i="8"/>
  <c r="CX10" i="8"/>
  <c r="CX17" i="8"/>
  <c r="CX30" i="8"/>
  <c r="CX33" i="8"/>
  <c r="CX25" i="8"/>
  <c r="CX36" i="8"/>
  <c r="CX42" i="8"/>
  <c r="CX44" i="8"/>
  <c r="CX57" i="8"/>
  <c r="CX46" i="8"/>
  <c r="CX47" i="8"/>
  <c r="CX59" i="8"/>
  <c r="CX53" i="8"/>
  <c r="CX55" i="8"/>
  <c r="CX62" i="8"/>
  <c r="CX69" i="8"/>
  <c r="CX70" i="8"/>
  <c r="CX71" i="8"/>
  <c r="CX73" i="8"/>
  <c r="CX74" i="8"/>
  <c r="S84" i="8"/>
  <c r="T84" i="8"/>
  <c r="T85" i="8" s="1"/>
  <c r="U84" i="8"/>
  <c r="U85" i="8" s="1"/>
  <c r="V84" i="8"/>
  <c r="V85" i="8" s="1"/>
  <c r="V86" i="8"/>
  <c r="CX86" i="8" s="1"/>
  <c r="V89" i="8"/>
  <c r="CX89" i="8" s="1"/>
  <c r="U88" i="8"/>
  <c r="U90" i="8" s="1"/>
  <c r="V88" i="8"/>
  <c r="CX92" i="8"/>
  <c r="CX93" i="8"/>
  <c r="CX94" i="8"/>
  <c r="CX95" i="8"/>
  <c r="CX96" i="8"/>
  <c r="CX97" i="8"/>
  <c r="T100" i="8"/>
  <c r="CX100" i="8" s="1"/>
  <c r="CT86" i="8"/>
  <c r="CT89" i="8"/>
  <c r="CT88" i="8"/>
  <c r="CU89" i="8"/>
  <c r="CV89" i="8"/>
  <c r="CV88" i="8"/>
  <c r="CT96" i="8"/>
  <c r="CT97" i="8"/>
  <c r="CU96" i="8"/>
  <c r="CV92" i="8"/>
  <c r="CV93" i="8"/>
  <c r="CV94" i="8"/>
  <c r="CV95" i="8"/>
  <c r="CV96" i="8"/>
  <c r="CW96" i="8"/>
  <c r="CU100" i="8"/>
  <c r="CV100" i="8"/>
  <c r="CY103" i="8"/>
  <c r="CW100" i="8"/>
  <c r="CW92" i="8"/>
  <c r="CW93" i="8"/>
  <c r="CW94" i="8"/>
  <c r="CW95" i="8"/>
  <c r="CW97" i="8"/>
  <c r="CW60" i="8"/>
  <c r="CW52" i="8"/>
  <c r="CW45" i="8"/>
  <c r="CW49" i="8"/>
  <c r="CW48" i="8"/>
  <c r="CW9" i="8"/>
  <c r="CW12" i="8"/>
  <c r="CW10" i="8"/>
  <c r="CW17" i="8"/>
  <c r="CW30" i="8"/>
  <c r="CW33" i="8"/>
  <c r="CW25" i="8"/>
  <c r="CW36" i="8"/>
  <c r="CW42" i="8"/>
  <c r="CW44" i="8"/>
  <c r="CW57" i="8"/>
  <c r="CW46" i="8"/>
  <c r="CW47" i="8"/>
  <c r="CW59" i="8"/>
  <c r="CW53" i="8"/>
  <c r="CW55" i="8"/>
  <c r="CW62" i="8"/>
  <c r="CW69" i="8"/>
  <c r="CW70" i="8"/>
  <c r="CW71" i="8"/>
  <c r="CW73" i="8"/>
  <c r="CW81" i="8"/>
  <c r="S90" i="8"/>
  <c r="S98" i="8"/>
  <c r="T98" i="8"/>
  <c r="T90" i="8"/>
  <c r="U98" i="8"/>
  <c r="V98" i="8"/>
  <c r="W98" i="8"/>
  <c r="X98" i="8"/>
  <c r="Y98" i="8"/>
  <c r="Y90" i="8"/>
  <c r="Z98" i="8"/>
  <c r="AA90" i="8"/>
  <c r="AA98" i="8"/>
  <c r="AB90" i="8"/>
  <c r="AB98" i="8"/>
  <c r="AC98" i="8"/>
  <c r="Q197" i="8"/>
  <c r="E28" i="3"/>
  <c r="F28" i="3"/>
  <c r="G28" i="3"/>
  <c r="H28" i="3"/>
  <c r="I28" i="3"/>
  <c r="J28" i="3"/>
  <c r="K28" i="3"/>
  <c r="CX179" i="8"/>
  <c r="T180" i="8"/>
  <c r="U180" i="8"/>
  <c r="V180" i="8"/>
  <c r="CX178" i="8"/>
  <c r="CX103" i="8"/>
  <c r="T185" i="8"/>
  <c r="S189" i="8"/>
  <c r="U189" i="8"/>
  <c r="S186" i="8"/>
  <c r="S183" i="8"/>
  <c r="V183" i="8" s="1"/>
  <c r="S180" i="8"/>
  <c r="O193" i="8"/>
  <c r="CW193" i="8" s="1"/>
  <c r="CW103" i="8"/>
  <c r="CV103" i="8"/>
  <c r="T187" i="8"/>
  <c r="U187" i="8" s="1"/>
  <c r="P183" i="8"/>
  <c r="P184" i="8" s="1"/>
  <c r="Q183" i="8"/>
  <c r="Q184" i="8" s="1"/>
  <c r="R183" i="8"/>
  <c r="R184" i="8" s="1"/>
  <c r="O183" i="8"/>
  <c r="O184" i="8" s="1"/>
  <c r="CW178" i="8"/>
  <c r="O180" i="8"/>
  <c r="O179" i="8" s="1"/>
  <c r="P180" i="8"/>
  <c r="P179" i="8" s="1"/>
  <c r="Q180" i="8"/>
  <c r="Q179" i="8" s="1"/>
  <c r="R180" i="8"/>
  <c r="R179" i="8" s="1"/>
  <c r="Q187" i="8"/>
  <c r="R187" i="8" s="1"/>
  <c r="R186" i="8"/>
  <c r="CW185" i="8"/>
  <c r="O189" i="8"/>
  <c r="P189" i="8"/>
  <c r="Q189" i="8"/>
  <c r="R189" i="8"/>
  <c r="N187" i="8"/>
  <c r="L186" i="8"/>
  <c r="CW194" i="8"/>
  <c r="R198" i="8"/>
  <c r="Q198" i="8"/>
  <c r="M198" i="8"/>
  <c r="N198" i="8"/>
  <c r="K197" i="8"/>
  <c r="L197" i="8"/>
  <c r="M197" i="8"/>
  <c r="N197" i="8"/>
  <c r="CV196" i="8"/>
  <c r="CV195" i="8"/>
  <c r="CV194" i="8"/>
  <c r="CV193" i="8"/>
  <c r="CV185" i="8"/>
  <c r="CW196" i="8"/>
  <c r="CW195" i="8"/>
  <c r="CV186" i="8"/>
  <c r="S185" i="8"/>
  <c r="DB9" i="8"/>
  <c r="DB14" i="8"/>
  <c r="DB36" i="8"/>
  <c r="DB46" i="8"/>
  <c r="DB42" i="8"/>
  <c r="DB70" i="8"/>
  <c r="DB57" i="8"/>
  <c r="DB47" i="8"/>
  <c r="DB53" i="8"/>
  <c r="DB55" i="8"/>
  <c r="DB69" i="8"/>
  <c r="DB71" i="8"/>
  <c r="DB74" i="8"/>
  <c r="DB11" i="8"/>
  <c r="CV85" i="8"/>
  <c r="AK90" i="8"/>
  <c r="V186" i="8"/>
  <c r="T183" i="8"/>
  <c r="V185" i="8"/>
  <c r="U185" i="8"/>
  <c r="DB48" i="8"/>
  <c r="DB10" i="8"/>
  <c r="DB52" i="8"/>
  <c r="T189" i="8"/>
  <c r="U183" i="8"/>
  <c r="DC30" i="8"/>
  <c r="DC36" i="8"/>
  <c r="DC9" i="8"/>
  <c r="DC55" i="8"/>
  <c r="DA92" i="8"/>
  <c r="DB96" i="8"/>
  <c r="DB98" i="8" s="1"/>
  <c r="DC12" i="8"/>
  <c r="DC57" i="8"/>
  <c r="DC11" i="8"/>
  <c r="DC33" i="8"/>
  <c r="AH90" i="8"/>
  <c r="DA89" i="8"/>
  <c r="DC23" i="8"/>
  <c r="DC67" i="8"/>
  <c r="CZ88" i="8"/>
  <c r="CZ86" i="8"/>
  <c r="CZ100" i="8"/>
  <c r="DC10" i="8"/>
  <c r="DC65" i="8"/>
  <c r="DC14" i="8"/>
  <c r="DC42" i="8"/>
  <c r="DC58" i="8"/>
  <c r="DC32" i="8"/>
  <c r="DC76" i="8"/>
  <c r="DC59" i="8"/>
  <c r="DC63" i="8"/>
  <c r="DC62" i="8"/>
  <c r="DC64" i="8"/>
  <c r="DC47" i="8"/>
  <c r="DC46" i="8"/>
  <c r="DC40" i="8"/>
  <c r="DC39" i="8"/>
  <c r="AQ169" i="8"/>
  <c r="AH173" i="8"/>
  <c r="DA10" i="8"/>
  <c r="AH169" i="8"/>
  <c r="DD9" i="8"/>
  <c r="AL173" i="8"/>
  <c r="DD60" i="8"/>
  <c r="AL170" i="8"/>
  <c r="AH170" i="8"/>
  <c r="DA11" i="8"/>
  <c r="AT169" i="8"/>
  <c r="AT173" i="8"/>
  <c r="AS172" i="8"/>
  <c r="AS173" i="8"/>
  <c r="AT172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DP20" i="8" l="1"/>
  <c r="DQ20" i="8" s="1"/>
  <c r="DR20" i="8" s="1"/>
  <c r="DS20" i="8" s="1"/>
  <c r="DT20" i="8" s="1"/>
  <c r="DU20" i="8" s="1"/>
  <c r="DV20" i="8" s="1"/>
  <c r="DW20" i="8" s="1"/>
  <c r="DP8" i="8"/>
  <c r="DQ8" i="8" s="1"/>
  <c r="DR8" i="8" s="1"/>
  <c r="DS8" i="8" s="1"/>
  <c r="DT8" i="8" s="1"/>
  <c r="DU8" i="8" s="1"/>
  <c r="DV8" i="8" s="1"/>
  <c r="DW8" i="8" s="1"/>
  <c r="DX8" i="8" s="1"/>
  <c r="DY8" i="8" s="1"/>
  <c r="DZ8" i="8" s="1"/>
  <c r="EA8" i="8" s="1"/>
  <c r="EB8" i="8" s="1"/>
  <c r="DP11" i="8"/>
  <c r="DP5" i="8"/>
  <c r="DQ5" i="8" s="1"/>
  <c r="DR5" i="8" s="1"/>
  <c r="DS5" i="8" s="1"/>
  <c r="DT5" i="8" s="1"/>
  <c r="DU5" i="8" s="1"/>
  <c r="DV5" i="8" s="1"/>
  <c r="DW5" i="8" s="1"/>
  <c r="DX5" i="8" s="1"/>
  <c r="DY5" i="8" s="1"/>
  <c r="DZ5" i="8" s="1"/>
  <c r="EA5" i="8" s="1"/>
  <c r="EB5" i="8" s="1"/>
  <c r="DO84" i="8"/>
  <c r="CM129" i="8"/>
  <c r="CM138" i="8"/>
  <c r="DP88" i="8"/>
  <c r="CM121" i="8"/>
  <c r="DO90" i="8"/>
  <c r="DP4" i="8"/>
  <c r="DQ4" i="8" s="1"/>
  <c r="DR4" i="8" s="1"/>
  <c r="DS4" i="8" s="1"/>
  <c r="DT4" i="8" s="1"/>
  <c r="DU4" i="8" s="1"/>
  <c r="DV4" i="8" s="1"/>
  <c r="DP22" i="8"/>
  <c r="DQ22" i="8" s="1"/>
  <c r="DR22" i="8" s="1"/>
  <c r="DS22" i="8" s="1"/>
  <c r="DT22" i="8" s="1"/>
  <c r="DU22" i="8" s="1"/>
  <c r="DV22" i="8" s="1"/>
  <c r="DW22" i="8" s="1"/>
  <c r="DX22" i="8" s="1"/>
  <c r="DY22" i="8" s="1"/>
  <c r="DZ22" i="8" s="1"/>
  <c r="EA22" i="8" s="1"/>
  <c r="EB22" i="8" s="1"/>
  <c r="DP89" i="8"/>
  <c r="DP90" i="8" s="1"/>
  <c r="DP6" i="8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DP7" i="8"/>
  <c r="DQ7" i="8" s="1"/>
  <c r="DR7" i="8" s="1"/>
  <c r="DS7" i="8" s="1"/>
  <c r="DT7" i="8" s="1"/>
  <c r="DU7" i="8" s="1"/>
  <c r="DV7" i="8" s="1"/>
  <c r="DW7" i="8" s="1"/>
  <c r="DX7" i="8" s="1"/>
  <c r="DY7" i="8" s="1"/>
  <c r="DZ7" i="8" s="1"/>
  <c r="EA7" i="8" s="1"/>
  <c r="EB7" i="8" s="1"/>
  <c r="DE84" i="8"/>
  <c r="DP21" i="8"/>
  <c r="DQ21" i="8" s="1"/>
  <c r="DR21" i="8" s="1"/>
  <c r="DS21" i="8" s="1"/>
  <c r="DT21" i="8" s="1"/>
  <c r="DU21" i="8" s="1"/>
  <c r="DV21" i="8" s="1"/>
  <c r="DW21" i="8" s="1"/>
  <c r="DP103" i="8"/>
  <c r="DQ103" i="8" s="1"/>
  <c r="DR103" i="8" s="1"/>
  <c r="DS103" i="8" s="1"/>
  <c r="DT103" i="8" s="1"/>
  <c r="DU103" i="8" s="1"/>
  <c r="DV103" i="8" s="1"/>
  <c r="DW103" i="8" s="1"/>
  <c r="DX103" i="8" s="1"/>
  <c r="DY103" i="8" s="1"/>
  <c r="DZ103" i="8" s="1"/>
  <c r="EA103" i="8" s="1"/>
  <c r="EB103" i="8" s="1"/>
  <c r="DP23" i="8"/>
  <c r="DP12" i="8"/>
  <c r="DQ12" i="8" s="1"/>
  <c r="DR12" i="8" s="1"/>
  <c r="DS12" i="8" s="1"/>
  <c r="DT12" i="8" s="1"/>
  <c r="DU12" i="8" s="1"/>
  <c r="DV12" i="8" s="1"/>
  <c r="DW12" i="8" s="1"/>
  <c r="DX12" i="8" s="1"/>
  <c r="DY12" i="8" s="1"/>
  <c r="DZ12" i="8" s="1"/>
  <c r="EA12" i="8" s="1"/>
  <c r="EB12" i="8" s="1"/>
  <c r="DP18" i="8"/>
  <c r="DQ18" i="8" s="1"/>
  <c r="DR18" i="8" s="1"/>
  <c r="DS18" i="8" s="1"/>
  <c r="DT18" i="8" s="1"/>
  <c r="DU18" i="8" s="1"/>
  <c r="DV18" i="8" s="1"/>
  <c r="DW18" i="8" s="1"/>
  <c r="DX18" i="8" s="1"/>
  <c r="DY18" i="8" s="1"/>
  <c r="DZ18" i="8" s="1"/>
  <c r="EA18" i="8" s="1"/>
  <c r="EB18" i="8" s="1"/>
  <c r="DP17" i="8"/>
  <c r="DQ17" i="8" s="1"/>
  <c r="DR17" i="8" s="1"/>
  <c r="DS17" i="8" s="1"/>
  <c r="DP13" i="8"/>
  <c r="DQ13" i="8" s="1"/>
  <c r="DR13" i="8" s="1"/>
  <c r="DS13" i="8" s="1"/>
  <c r="DT13" i="8" s="1"/>
  <c r="DU13" i="8" s="1"/>
  <c r="DV13" i="8" s="1"/>
  <c r="DW13" i="8" s="1"/>
  <c r="DX13" i="8" s="1"/>
  <c r="DY13" i="8" s="1"/>
  <c r="DZ13" i="8" s="1"/>
  <c r="EA13" i="8" s="1"/>
  <c r="EB13" i="8" s="1"/>
  <c r="DP14" i="8"/>
  <c r="DQ14" i="8" s="1"/>
  <c r="DR14" i="8" s="1"/>
  <c r="DS14" i="8" s="1"/>
  <c r="DT14" i="8" s="1"/>
  <c r="DU14" i="8" s="1"/>
  <c r="DV14" i="8" s="1"/>
  <c r="DW14" i="8" s="1"/>
  <c r="DX14" i="8" s="1"/>
  <c r="DY14" i="8" s="1"/>
  <c r="DZ14" i="8" s="1"/>
  <c r="EA14" i="8" s="1"/>
  <c r="EB14" i="8" s="1"/>
  <c r="DP15" i="8"/>
  <c r="DQ15" i="8" s="1"/>
  <c r="DR15" i="8" s="1"/>
  <c r="DS15" i="8" s="1"/>
  <c r="DT15" i="8" s="1"/>
  <c r="DU15" i="8" s="1"/>
  <c r="DV15" i="8" s="1"/>
  <c r="DW15" i="8" s="1"/>
  <c r="DX15" i="8" s="1"/>
  <c r="DY15" i="8" s="1"/>
  <c r="DZ15" i="8" s="1"/>
  <c r="EA15" i="8" s="1"/>
  <c r="EB15" i="8" s="1"/>
  <c r="DK84" i="8"/>
  <c r="DK85" i="8" s="1"/>
  <c r="DP16" i="8"/>
  <c r="DP26" i="8"/>
  <c r="DP24" i="8"/>
  <c r="DP3" i="8"/>
  <c r="DQ3" i="8" s="1"/>
  <c r="DR3" i="8" s="1"/>
  <c r="DS3" i="8" s="1"/>
  <c r="DT3" i="8" s="1"/>
  <c r="DU3" i="8" s="1"/>
  <c r="DV3" i="8" s="1"/>
  <c r="DW3" i="8" s="1"/>
  <c r="DX3" i="8" s="1"/>
  <c r="DY3" i="8" s="1"/>
  <c r="DZ3" i="8" s="1"/>
  <c r="EA3" i="8" s="1"/>
  <c r="EB3" i="8" s="1"/>
  <c r="DP27" i="8"/>
  <c r="DP19" i="8"/>
  <c r="DP25" i="8"/>
  <c r="DP28" i="8"/>
  <c r="DQ28" i="8" s="1"/>
  <c r="DR28" i="8" s="1"/>
  <c r="DS28" i="8" s="1"/>
  <c r="DT28" i="8" s="1"/>
  <c r="DU28" i="8" s="1"/>
  <c r="DV28" i="8" s="1"/>
  <c r="DW28" i="8" s="1"/>
  <c r="DX28" i="8" s="1"/>
  <c r="DY28" i="8" s="1"/>
  <c r="DZ28" i="8" s="1"/>
  <c r="EA28" i="8" s="1"/>
  <c r="EB28" i="8" s="1"/>
  <c r="DQ11" i="8"/>
  <c r="DR11" i="8" s="1"/>
  <c r="DS11" i="8" s="1"/>
  <c r="DT11" i="8" s="1"/>
  <c r="DU11" i="8" s="1"/>
  <c r="DV11" i="8" s="1"/>
  <c r="DW11" i="8" s="1"/>
  <c r="DX11" i="8" s="1"/>
  <c r="DY11" i="8" s="1"/>
  <c r="DZ11" i="8" s="1"/>
  <c r="EA11" i="8" s="1"/>
  <c r="EB11" i="8" s="1"/>
  <c r="DJ84" i="8"/>
  <c r="DJ85" i="8" s="1"/>
  <c r="BS85" i="8"/>
  <c r="CJ138" i="8"/>
  <c r="DF84" i="8"/>
  <c r="DF85" i="8" s="1"/>
  <c r="AY85" i="8"/>
  <c r="DE85" i="8"/>
  <c r="DG84" i="8"/>
  <c r="DG85" i="8" s="1"/>
  <c r="AU85" i="8"/>
  <c r="DH84" i="8"/>
  <c r="DH85" i="8" s="1"/>
  <c r="DI84" i="8"/>
  <c r="DI85" i="8" s="1"/>
  <c r="CN90" i="8"/>
  <c r="DL84" i="8"/>
  <c r="DL85" i="8" s="1"/>
  <c r="DD84" i="8"/>
  <c r="DD85" i="8" s="1"/>
  <c r="BO85" i="8"/>
  <c r="DM84" i="8"/>
  <c r="DM85" i="8" s="1"/>
  <c r="AL85" i="8"/>
  <c r="AM85" i="8"/>
  <c r="DN84" i="8"/>
  <c r="DN85" i="8" s="1"/>
  <c r="BG85" i="8"/>
  <c r="CJ129" i="8"/>
  <c r="CD107" i="8"/>
  <c r="CJ106" i="8"/>
  <c r="CI107" i="8"/>
  <c r="CH107" i="8"/>
  <c r="CE107" i="8"/>
  <c r="CD106" i="8"/>
  <c r="DQ75" i="8"/>
  <c r="DR75" i="8" s="1"/>
  <c r="DS75" i="8" s="1"/>
  <c r="DT75" i="8" s="1"/>
  <c r="DU75" i="8" s="1"/>
  <c r="DV75" i="8" s="1"/>
  <c r="DW75" i="8" s="1"/>
  <c r="DX75" i="8" s="1"/>
  <c r="DY75" i="8" s="1"/>
  <c r="DZ75" i="8" s="1"/>
  <c r="EA75" i="8" s="1"/>
  <c r="EB75" i="8" s="1"/>
  <c r="CC87" i="8"/>
  <c r="CC105" i="8" s="1"/>
  <c r="CC107" i="8"/>
  <c r="CC106" i="8"/>
  <c r="CE106" i="8"/>
  <c r="CF106" i="8"/>
  <c r="CG106" i="8"/>
  <c r="CH106" i="8"/>
  <c r="CF107" i="8"/>
  <c r="CG107" i="8"/>
  <c r="CJ107" i="8"/>
  <c r="CN93" i="8"/>
  <c r="CO90" i="8"/>
  <c r="CP90" i="8"/>
  <c r="CK90" i="8"/>
  <c r="CL90" i="8"/>
  <c r="CG91" i="8"/>
  <c r="CA114" i="8"/>
  <c r="DB89" i="8"/>
  <c r="CD91" i="8"/>
  <c r="CD108" i="8" s="1"/>
  <c r="CB114" i="8"/>
  <c r="CF114" i="8"/>
  <c r="CN10" i="8"/>
  <c r="CH114" i="8"/>
  <c r="CO9" i="8"/>
  <c r="CO117" i="8" s="1"/>
  <c r="CE114" i="8"/>
  <c r="CK170" i="8"/>
  <c r="CL170" i="8"/>
  <c r="CG114" i="8"/>
  <c r="CC114" i="8"/>
  <c r="CT87" i="8"/>
  <c r="CL117" i="8"/>
  <c r="CK116" i="8"/>
  <c r="CL116" i="8"/>
  <c r="CI87" i="8"/>
  <c r="CD114" i="8"/>
  <c r="CO170" i="8"/>
  <c r="CN170" i="8"/>
  <c r="CJ114" i="8"/>
  <c r="CJ91" i="8"/>
  <c r="CF91" i="8"/>
  <c r="O87" i="8"/>
  <c r="CH91" i="8"/>
  <c r="CE91" i="8"/>
  <c r="J7" i="2"/>
  <c r="I90" i="8"/>
  <c r="I91" i="8" s="1"/>
  <c r="I99" i="8" s="1"/>
  <c r="I101" i="8" s="1"/>
  <c r="I102" i="8" s="1"/>
  <c r="CI114" i="8"/>
  <c r="CT106" i="8"/>
  <c r="F99" i="8"/>
  <c r="F101" i="8" s="1"/>
  <c r="F102" i="8" s="1"/>
  <c r="T184" i="8"/>
  <c r="T91" i="8"/>
  <c r="T99" i="8" s="1"/>
  <c r="DA90" i="8"/>
  <c r="AL172" i="8"/>
  <c r="CY98" i="8"/>
  <c r="DA49" i="8"/>
  <c r="CZ89" i="8"/>
  <c r="CZ90" i="8" s="1"/>
  <c r="W91" i="8"/>
  <c r="W99" i="8" s="1"/>
  <c r="W101" i="8" s="1"/>
  <c r="W102" i="8" s="1"/>
  <c r="E99" i="8"/>
  <c r="E101" i="8" s="1"/>
  <c r="E102" i="8" s="1"/>
  <c r="CW88" i="8"/>
  <c r="CV198" i="8"/>
  <c r="CU90" i="8"/>
  <c r="R197" i="8"/>
  <c r="V197" i="8" s="1"/>
  <c r="CY86" i="8"/>
  <c r="CT98" i="8"/>
  <c r="Q186" i="8"/>
  <c r="U184" i="8"/>
  <c r="CU86" i="8"/>
  <c r="CW86" i="8"/>
  <c r="M99" i="8"/>
  <c r="DC90" i="8"/>
  <c r="AH117" i="8"/>
  <c r="DA9" i="8"/>
  <c r="DA98" i="8"/>
  <c r="Y91" i="8"/>
  <c r="Y99" i="8" s="1"/>
  <c r="Y101" i="8" s="1"/>
  <c r="Y102" i="8" s="1"/>
  <c r="CV97" i="8"/>
  <c r="CV98" i="8" s="1"/>
  <c r="T186" i="8"/>
  <c r="U186" i="8" s="1"/>
  <c r="O90" i="8"/>
  <c r="DB88" i="8"/>
  <c r="AD118" i="8"/>
  <c r="CW89" i="8"/>
  <c r="DA52" i="8"/>
  <c r="CV197" i="8"/>
  <c r="DC100" i="8"/>
  <c r="L90" i="8"/>
  <c r="L91" i="8" s="1"/>
  <c r="L99" i="8" s="1"/>
  <c r="L190" i="8" s="1"/>
  <c r="CV86" i="8"/>
  <c r="AR114" i="8"/>
  <c r="U197" i="8"/>
  <c r="CW98" i="8"/>
  <c r="CX98" i="8"/>
  <c r="AJ90" i="8"/>
  <c r="Q91" i="8"/>
  <c r="Q99" i="8" s="1"/>
  <c r="Q101" i="8" s="1"/>
  <c r="CX180" i="8"/>
  <c r="CV90" i="8"/>
  <c r="AE90" i="8"/>
  <c r="AS114" i="8"/>
  <c r="AD85" i="8"/>
  <c r="Z107" i="8"/>
  <c r="CW198" i="8"/>
  <c r="V184" i="8"/>
  <c r="CT107" i="8"/>
  <c r="V90" i="8"/>
  <c r="H99" i="8"/>
  <c r="H101" i="8" s="1"/>
  <c r="H102" i="8" s="1"/>
  <c r="DD89" i="8"/>
  <c r="AT114" i="8"/>
  <c r="AC107" i="8"/>
  <c r="AC106" i="8"/>
  <c r="P90" i="8"/>
  <c r="R91" i="8"/>
  <c r="R99" i="8" s="1"/>
  <c r="R101" i="8" s="1"/>
  <c r="DC98" i="8"/>
  <c r="G97" i="8"/>
  <c r="CU97" i="8" s="1"/>
  <c r="CU98" i="8" s="1"/>
  <c r="J99" i="8"/>
  <c r="J101" i="8" s="1"/>
  <c r="J102" i="8" s="1"/>
  <c r="AH118" i="8"/>
  <c r="O197" i="8"/>
  <c r="CT90" i="8"/>
  <c r="AL118" i="8"/>
  <c r="CW179" i="8"/>
  <c r="CW180" i="8" s="1"/>
  <c r="V187" i="8"/>
  <c r="S184" i="8"/>
  <c r="K90" i="8"/>
  <c r="K91" i="8" s="1"/>
  <c r="K99" i="8" s="1"/>
  <c r="C99" i="8"/>
  <c r="C101" i="8" s="1"/>
  <c r="C102" i="8" s="1"/>
  <c r="AI90" i="8"/>
  <c r="CX88" i="8"/>
  <c r="CX90" i="8" s="1"/>
  <c r="DC84" i="8"/>
  <c r="Z90" i="8"/>
  <c r="CY89" i="8"/>
  <c r="X90" i="8"/>
  <c r="DB84" i="8"/>
  <c r="DE203" i="8"/>
  <c r="CW84" i="8"/>
  <c r="CW85" i="8" s="1"/>
  <c r="P85" i="8"/>
  <c r="P87" i="8" s="1"/>
  <c r="U91" i="8"/>
  <c r="U99" i="8" s="1"/>
  <c r="CY88" i="8"/>
  <c r="Z106" i="8"/>
  <c r="DD203" i="8"/>
  <c r="D99" i="8"/>
  <c r="D101" i="8" s="1"/>
  <c r="D102" i="8" s="1"/>
  <c r="CZ84" i="8"/>
  <c r="CZ85" i="8" s="1"/>
  <c r="AA85" i="8"/>
  <c r="AM173" i="8"/>
  <c r="DC48" i="8"/>
  <c r="AQ173" i="8"/>
  <c r="AO114" i="8"/>
  <c r="CZ98" i="8"/>
  <c r="DA14" i="8"/>
  <c r="AH84" i="8"/>
  <c r="X84" i="8"/>
  <c r="CY12" i="8"/>
  <c r="AB107" i="8"/>
  <c r="N99" i="8"/>
  <c r="S85" i="8"/>
  <c r="S91" i="8" s="1"/>
  <c r="S99" i="8" s="1"/>
  <c r="CX84" i="8"/>
  <c r="CX85" i="8" s="1"/>
  <c r="DW4" i="8" l="1"/>
  <c r="DX4" i="8" s="1"/>
  <c r="DY4" i="8" s="1"/>
  <c r="DZ4" i="8" s="1"/>
  <c r="EA4" i="8" s="1"/>
  <c r="EB4" i="8" s="1"/>
  <c r="CO10" i="8"/>
  <c r="CP10" i="8" s="1"/>
  <c r="CP169" i="8" s="1"/>
  <c r="DP10" i="8"/>
  <c r="DP9" i="8"/>
  <c r="DQ9" i="8" s="1"/>
  <c r="DR9" i="8" s="1"/>
  <c r="DS9" i="8" s="1"/>
  <c r="DT9" i="8" s="1"/>
  <c r="DU9" i="8" s="1"/>
  <c r="DV9" i="8" s="1"/>
  <c r="DW9" i="8" s="1"/>
  <c r="DX9" i="8" s="1"/>
  <c r="DY9" i="8" s="1"/>
  <c r="DZ9" i="8" s="1"/>
  <c r="EA9" i="8" s="1"/>
  <c r="EB9" i="8" s="1"/>
  <c r="DC85" i="8"/>
  <c r="DC107" i="8" s="1"/>
  <c r="DQ10" i="8"/>
  <c r="DO85" i="8"/>
  <c r="DO87" i="8" s="1"/>
  <c r="CD99" i="8"/>
  <c r="CD101" i="8" s="1"/>
  <c r="CC91" i="8"/>
  <c r="CC99" i="8" s="1"/>
  <c r="CH99" i="8"/>
  <c r="CH108" i="8"/>
  <c r="CF99" i="8"/>
  <c r="CF108" i="8"/>
  <c r="CI91" i="8"/>
  <c r="CI105" i="8"/>
  <c r="CE99" i="8"/>
  <c r="CE108" i="8"/>
  <c r="DB90" i="8"/>
  <c r="CG99" i="8"/>
  <c r="CG108" i="8"/>
  <c r="CJ99" i="8"/>
  <c r="CJ108" i="8"/>
  <c r="CM85" i="8"/>
  <c r="CL169" i="8"/>
  <c r="CN169" i="8"/>
  <c r="CO93" i="8"/>
  <c r="CP93" i="8" s="1"/>
  <c r="CW107" i="8"/>
  <c r="O91" i="8"/>
  <c r="O99" i="8" s="1"/>
  <c r="O190" i="8" s="1"/>
  <c r="DD204" i="8"/>
  <c r="CK85" i="8"/>
  <c r="DB73" i="8"/>
  <c r="DB85" i="8" s="1"/>
  <c r="CX106" i="8"/>
  <c r="CL85" i="8"/>
  <c r="CL87" i="8" s="1"/>
  <c r="CT91" i="8"/>
  <c r="CT108" i="8" s="1"/>
  <c r="CN84" i="8"/>
  <c r="AI91" i="8"/>
  <c r="AI99" i="8" s="1"/>
  <c r="R190" i="8"/>
  <c r="AQ91" i="8"/>
  <c r="Z91" i="8"/>
  <c r="Z108" i="8" s="1"/>
  <c r="L101" i="8"/>
  <c r="L188" i="8" s="1"/>
  <c r="P91" i="8"/>
  <c r="P99" i="8" s="1"/>
  <c r="P190" i="8" s="1"/>
  <c r="CU91" i="8"/>
  <c r="CU99" i="8" s="1"/>
  <c r="CU111" i="8" s="1"/>
  <c r="CW90" i="8"/>
  <c r="DB106" i="8"/>
  <c r="CV91" i="8"/>
  <c r="CV99" i="8" s="1"/>
  <c r="CV190" i="8" s="1"/>
  <c r="AP114" i="8"/>
  <c r="AL87" i="8"/>
  <c r="AL91" i="8" s="1"/>
  <c r="M101" i="8"/>
  <c r="M190" i="8"/>
  <c r="V91" i="8"/>
  <c r="V99" i="8" s="1"/>
  <c r="V101" i="8" s="1"/>
  <c r="V102" i="8" s="1"/>
  <c r="Q190" i="8"/>
  <c r="AK91" i="8"/>
  <c r="DC203" i="8"/>
  <c r="CT102" i="8"/>
  <c r="AN91" i="8"/>
  <c r="AC91" i="8"/>
  <c r="AP91" i="8"/>
  <c r="AG91" i="8"/>
  <c r="CW197" i="8"/>
  <c r="CX193" i="8" s="1"/>
  <c r="S197" i="8"/>
  <c r="G98" i="8"/>
  <c r="G99" i="8" s="1"/>
  <c r="G101" i="8" s="1"/>
  <c r="G102" i="8" s="1"/>
  <c r="AF91" i="8"/>
  <c r="K190" i="8"/>
  <c r="K101" i="8"/>
  <c r="AN114" i="8"/>
  <c r="AB91" i="8"/>
  <c r="AM87" i="8"/>
  <c r="AQ114" i="8"/>
  <c r="AM114" i="8"/>
  <c r="Q188" i="8"/>
  <c r="Q102" i="8"/>
  <c r="CY90" i="8"/>
  <c r="CX107" i="8"/>
  <c r="CZ107" i="8"/>
  <c r="DE204" i="8"/>
  <c r="DA84" i="8"/>
  <c r="DA85" i="8" s="1"/>
  <c r="AH85" i="8"/>
  <c r="U190" i="8"/>
  <c r="U101" i="8"/>
  <c r="S190" i="8"/>
  <c r="S101" i="8"/>
  <c r="N190" i="8"/>
  <c r="N101" i="8"/>
  <c r="T190" i="8"/>
  <c r="T101" i="8"/>
  <c r="CX194" i="8"/>
  <c r="CW106" i="8"/>
  <c r="AO91" i="8"/>
  <c r="R102" i="8"/>
  <c r="R188" i="8"/>
  <c r="AE91" i="8"/>
  <c r="AA106" i="8"/>
  <c r="AA107" i="8"/>
  <c r="DF203" i="8"/>
  <c r="CY84" i="8"/>
  <c r="CY85" i="8" s="1"/>
  <c r="X85" i="8"/>
  <c r="X91" i="8" s="1"/>
  <c r="X99" i="8" s="1"/>
  <c r="X101" i="8" s="1"/>
  <c r="X102" i="8" s="1"/>
  <c r="CZ106" i="8"/>
  <c r="DO91" i="8" l="1"/>
  <c r="DO105" i="8"/>
  <c r="DC204" i="8"/>
  <c r="CO169" i="8"/>
  <c r="O101" i="8"/>
  <c r="O102" i="8" s="1"/>
  <c r="DC106" i="8"/>
  <c r="CC108" i="8"/>
  <c r="CN85" i="8"/>
  <c r="DP93" i="8"/>
  <c r="CM107" i="8"/>
  <c r="CM87" i="8"/>
  <c r="CM114" i="8"/>
  <c r="CM106" i="8"/>
  <c r="CD111" i="8"/>
  <c r="CT99" i="8"/>
  <c r="DR10" i="8"/>
  <c r="DD88" i="8"/>
  <c r="DD90" i="8" s="1"/>
  <c r="DD87" i="8"/>
  <c r="DD86" i="8" s="1"/>
  <c r="AQ99" i="8"/>
  <c r="AQ111" i="8" s="1"/>
  <c r="CG101" i="8"/>
  <c r="CG111" i="8"/>
  <c r="CK87" i="8"/>
  <c r="CK114" i="8"/>
  <c r="CC101" i="8"/>
  <c r="CC111" i="8"/>
  <c r="CE101" i="8"/>
  <c r="CE111" i="8"/>
  <c r="CI99" i="8"/>
  <c r="CI108" i="8"/>
  <c r="CJ101" i="8"/>
  <c r="CJ111" i="8"/>
  <c r="CF101" i="8"/>
  <c r="CF111" i="8"/>
  <c r="CH101" i="8"/>
  <c r="CH111" i="8"/>
  <c r="CD102" i="8"/>
  <c r="CD110" i="8"/>
  <c r="CL114" i="8"/>
  <c r="CL107" i="8"/>
  <c r="CL106" i="8"/>
  <c r="CN114" i="8"/>
  <c r="CN107" i="8"/>
  <c r="CN87" i="8"/>
  <c r="CN106" i="8"/>
  <c r="CK107" i="8"/>
  <c r="CK106" i="8"/>
  <c r="Z99" i="8"/>
  <c r="Z109" i="8" s="1"/>
  <c r="CW91" i="8"/>
  <c r="CW108" i="8" s="1"/>
  <c r="P101" i="8"/>
  <c r="P188" i="8" s="1"/>
  <c r="DB91" i="8"/>
  <c r="DB108" i="8" s="1"/>
  <c r="DB107" i="8"/>
  <c r="CO84" i="8"/>
  <c r="CO85" i="8" s="1"/>
  <c r="L102" i="8"/>
  <c r="CU101" i="8"/>
  <c r="CU102" i="8" s="1"/>
  <c r="O188" i="8"/>
  <c r="CV101" i="8"/>
  <c r="CV102" i="8" s="1"/>
  <c r="CV111" i="8"/>
  <c r="M188" i="8"/>
  <c r="M102" i="8"/>
  <c r="AN99" i="8"/>
  <c r="AK99" i="8"/>
  <c r="V188" i="8"/>
  <c r="AG99" i="8"/>
  <c r="K102" i="8"/>
  <c r="K188" i="8"/>
  <c r="AP99" i="8"/>
  <c r="CY107" i="8"/>
  <c r="AC99" i="8"/>
  <c r="AC108" i="8"/>
  <c r="AF99" i="8"/>
  <c r="CT109" i="8"/>
  <c r="CT101" i="8"/>
  <c r="CT110" i="8" s="1"/>
  <c r="CT111" i="8"/>
  <c r="AL99" i="8"/>
  <c r="AI111" i="8"/>
  <c r="AI101" i="8"/>
  <c r="AB99" i="8"/>
  <c r="AB108" i="8"/>
  <c r="AM91" i="8"/>
  <c r="N188" i="8"/>
  <c r="N102" i="8"/>
  <c r="DF204" i="8"/>
  <c r="S188" i="8"/>
  <c r="S102" i="8"/>
  <c r="CZ105" i="8"/>
  <c r="CZ91" i="8"/>
  <c r="AE99" i="8"/>
  <c r="U188" i="8"/>
  <c r="U102" i="8"/>
  <c r="CX91" i="8"/>
  <c r="CX105" i="8"/>
  <c r="CY106" i="8"/>
  <c r="AO99" i="8"/>
  <c r="AL114" i="8"/>
  <c r="DA107" i="8"/>
  <c r="DA106" i="8"/>
  <c r="DG203" i="8"/>
  <c r="AA91" i="8"/>
  <c r="CY91" i="8"/>
  <c r="CY105" i="8"/>
  <c r="T188" i="8"/>
  <c r="T102" i="8"/>
  <c r="DE88" i="8"/>
  <c r="DE90" i="8" s="1"/>
  <c r="DE87" i="8"/>
  <c r="DE86" i="8" s="1"/>
  <c r="Z111" i="8" l="1"/>
  <c r="CM105" i="8"/>
  <c r="CM91" i="8"/>
  <c r="CM108" i="8" s="1"/>
  <c r="Z101" i="8"/>
  <c r="DS10" i="8"/>
  <c r="DD91" i="8"/>
  <c r="DD99" i="8" s="1"/>
  <c r="DD100" i="8" s="1"/>
  <c r="DD111" i="8" s="1"/>
  <c r="AQ101" i="8"/>
  <c r="AQ102" i="8" s="1"/>
  <c r="CF102" i="8"/>
  <c r="CF110" i="8"/>
  <c r="CI101" i="8"/>
  <c r="CI111" i="8"/>
  <c r="CW99" i="8"/>
  <c r="CW111" i="8" s="1"/>
  <c r="CH102" i="8"/>
  <c r="CH110" i="8"/>
  <c r="CE102" i="8"/>
  <c r="CE110" i="8"/>
  <c r="CC102" i="8"/>
  <c r="CC110" i="8"/>
  <c r="CJ102" i="8"/>
  <c r="CJ110" i="8"/>
  <c r="CG102" i="8"/>
  <c r="CG110" i="8"/>
  <c r="CP84" i="8"/>
  <c r="CP85" i="8" s="1"/>
  <c r="CP114" i="8" s="1"/>
  <c r="CN105" i="8"/>
  <c r="CN91" i="8"/>
  <c r="CN86" i="8"/>
  <c r="CL105" i="8"/>
  <c r="CL91" i="8"/>
  <c r="CO114" i="8"/>
  <c r="CO87" i="8"/>
  <c r="CO106" i="8"/>
  <c r="CO107" i="8"/>
  <c r="CK105" i="8"/>
  <c r="CK91" i="8"/>
  <c r="P102" i="8"/>
  <c r="DB99" i="8"/>
  <c r="DB100" i="8" s="1"/>
  <c r="DB111" i="8" s="1"/>
  <c r="DD108" i="8"/>
  <c r="AK100" i="8"/>
  <c r="AK111" i="8" s="1"/>
  <c r="AN111" i="8"/>
  <c r="AN101" i="8"/>
  <c r="AI102" i="8"/>
  <c r="AF101" i="8"/>
  <c r="AF111" i="8"/>
  <c r="AC109" i="8"/>
  <c r="AC111" i="8"/>
  <c r="AC101" i="8"/>
  <c r="AL111" i="8"/>
  <c r="AL101" i="8"/>
  <c r="AP101" i="8"/>
  <c r="AP111" i="8"/>
  <c r="AG111" i="8"/>
  <c r="AG101" i="8"/>
  <c r="DF88" i="8"/>
  <c r="DF90" i="8" s="1"/>
  <c r="DF87" i="8"/>
  <c r="DA105" i="8"/>
  <c r="DA91" i="8"/>
  <c r="CX108" i="8"/>
  <c r="CX99" i="8"/>
  <c r="DC91" i="8"/>
  <c r="DC105" i="8"/>
  <c r="Z102" i="8"/>
  <c r="Z110" i="8"/>
  <c r="AM99" i="8"/>
  <c r="CY108" i="8"/>
  <c r="CY99" i="8"/>
  <c r="AO101" i="8"/>
  <c r="AO111" i="8"/>
  <c r="AE100" i="8"/>
  <c r="AE111" i="8" s="1"/>
  <c r="AJ91" i="8"/>
  <c r="AA99" i="8"/>
  <c r="AA108" i="8"/>
  <c r="DE91" i="8"/>
  <c r="DE108" i="8" s="1"/>
  <c r="DH203" i="8"/>
  <c r="CZ108" i="8"/>
  <c r="CZ99" i="8"/>
  <c r="AB109" i="8"/>
  <c r="AB111" i="8"/>
  <c r="AB101" i="8"/>
  <c r="CW190" i="8" l="1"/>
  <c r="DT10" i="8"/>
  <c r="CW101" i="8"/>
  <c r="CW109" i="8"/>
  <c r="DD109" i="8"/>
  <c r="DP84" i="8"/>
  <c r="CM99" i="8"/>
  <c r="CM111" i="8" s="1"/>
  <c r="CI102" i="8"/>
  <c r="CI110" i="8"/>
  <c r="CP106" i="8"/>
  <c r="CP87" i="8"/>
  <c r="CP86" i="8" s="1"/>
  <c r="CP107" i="8"/>
  <c r="CL108" i="8"/>
  <c r="CL99" i="8"/>
  <c r="CN99" i="8"/>
  <c r="CN108" i="8"/>
  <c r="CO105" i="8"/>
  <c r="CO91" i="8"/>
  <c r="CO86" i="8"/>
  <c r="DP86" i="8" s="1"/>
  <c r="CK108" i="8"/>
  <c r="CK99" i="8"/>
  <c r="DB109" i="8"/>
  <c r="AN102" i="8"/>
  <c r="DD101" i="8"/>
  <c r="DF91" i="8"/>
  <c r="DF108" i="8" s="1"/>
  <c r="AK101" i="8"/>
  <c r="AL102" i="8"/>
  <c r="AC102" i="8"/>
  <c r="AC110" i="8"/>
  <c r="AF102" i="8"/>
  <c r="AE101" i="8"/>
  <c r="AE102" i="8" s="1"/>
  <c r="AG102" i="8"/>
  <c r="DB101" i="8"/>
  <c r="DB110" i="8" s="1"/>
  <c r="AP102" i="8"/>
  <c r="DG87" i="8"/>
  <c r="DG88" i="8"/>
  <c r="DG90" i="8" s="1"/>
  <c r="CX111" i="8"/>
  <c r="CX101" i="8"/>
  <c r="CX190" i="8"/>
  <c r="CX109" i="8"/>
  <c r="AO102" i="8"/>
  <c r="DH204" i="8"/>
  <c r="AM101" i="8"/>
  <c r="AM111" i="8"/>
  <c r="CW102" i="8"/>
  <c r="CW110" i="8"/>
  <c r="AH91" i="8"/>
  <c r="DG204" i="8"/>
  <c r="AB102" i="8"/>
  <c r="AB110" i="8"/>
  <c r="AJ99" i="8"/>
  <c r="CZ101" i="8"/>
  <c r="CZ111" i="8"/>
  <c r="CZ109" i="8"/>
  <c r="AA101" i="8"/>
  <c r="AA109" i="8"/>
  <c r="AA111" i="8"/>
  <c r="DF86" i="8"/>
  <c r="DI203" i="8"/>
  <c r="DA108" i="8"/>
  <c r="DA99" i="8"/>
  <c r="CY109" i="8"/>
  <c r="CY101" i="8"/>
  <c r="CY111" i="8"/>
  <c r="DC108" i="8"/>
  <c r="DC99" i="8"/>
  <c r="DQ84" i="8" l="1"/>
  <c r="DP85" i="8"/>
  <c r="DP87" i="8" s="1"/>
  <c r="DP91" i="8" s="1"/>
  <c r="DU10" i="8"/>
  <c r="CP91" i="8"/>
  <c r="DD120" i="8"/>
  <c r="DE92" i="8" s="1"/>
  <c r="DE98" i="8" s="1"/>
  <c r="DE99" i="8" s="1"/>
  <c r="DD110" i="8"/>
  <c r="CP105" i="8"/>
  <c r="CM101" i="8"/>
  <c r="CP108" i="8"/>
  <c r="CP99" i="8"/>
  <c r="CN100" i="8"/>
  <c r="CL111" i="8"/>
  <c r="CK111" i="8"/>
  <c r="CO108" i="8"/>
  <c r="CO99" i="8"/>
  <c r="AK102" i="8"/>
  <c r="DI204" i="8"/>
  <c r="CX110" i="8"/>
  <c r="CX102" i="8"/>
  <c r="CZ110" i="8"/>
  <c r="AJ111" i="8"/>
  <c r="AJ101" i="8"/>
  <c r="DJ203" i="8"/>
  <c r="AM102" i="8"/>
  <c r="DC101" i="8"/>
  <c r="DC111" i="8"/>
  <c r="DC109" i="8"/>
  <c r="AA102" i="8"/>
  <c r="AA110" i="8"/>
  <c r="DA109" i="8"/>
  <c r="DA100" i="8"/>
  <c r="DA111" i="8" s="1"/>
  <c r="DG91" i="8"/>
  <c r="DG108" i="8" s="1"/>
  <c r="DH87" i="8"/>
  <c r="DH86" i="8" s="1"/>
  <c r="DH88" i="8"/>
  <c r="DH90" i="8" s="1"/>
  <c r="CY110" i="8"/>
  <c r="CY102" i="8"/>
  <c r="AH99" i="8"/>
  <c r="DG86" i="8"/>
  <c r="CN111" i="8" l="1"/>
  <c r="DV10" i="8"/>
  <c r="DR84" i="8"/>
  <c r="DQ85" i="8"/>
  <c r="DQ87" i="8" s="1"/>
  <c r="CM102" i="8"/>
  <c r="CM110" i="8"/>
  <c r="CN101" i="8"/>
  <c r="CK101" i="8"/>
  <c r="CK110" i="8" s="1"/>
  <c r="CL101" i="8"/>
  <c r="CP100" i="8"/>
  <c r="CP111" i="8" s="1"/>
  <c r="CO100" i="8"/>
  <c r="CO111" i="8" s="1"/>
  <c r="CK102" i="8"/>
  <c r="DA101" i="8"/>
  <c r="DA110" i="8" s="1"/>
  <c r="DE109" i="8"/>
  <c r="DE100" i="8"/>
  <c r="DE111" i="8" s="1"/>
  <c r="DC110" i="8"/>
  <c r="DI88" i="8"/>
  <c r="DI90" i="8" s="1"/>
  <c r="DI87" i="8"/>
  <c r="DI86" i="8" s="1"/>
  <c r="AJ102" i="8"/>
  <c r="AH101" i="8"/>
  <c r="DH91" i="8"/>
  <c r="DH108" i="8" s="1"/>
  <c r="DK203" i="8"/>
  <c r="DQ86" i="8" l="1"/>
  <c r="DQ105" i="8"/>
  <c r="CN102" i="8"/>
  <c r="CN121" i="8"/>
  <c r="DS84" i="8"/>
  <c r="DR85" i="8"/>
  <c r="DP100" i="8"/>
  <c r="DW10" i="8"/>
  <c r="CN110" i="8"/>
  <c r="CP101" i="8"/>
  <c r="CP102" i="8" s="1"/>
  <c r="CO101" i="8"/>
  <c r="CO102" i="8" s="1"/>
  <c r="CL102" i="8"/>
  <c r="CL110" i="8"/>
  <c r="DI91" i="8"/>
  <c r="DI108" i="8" s="1"/>
  <c r="DE101" i="8"/>
  <c r="DJ88" i="8"/>
  <c r="DJ90" i="8" s="1"/>
  <c r="DJ87" i="8"/>
  <c r="DL203" i="8"/>
  <c r="DJ204" i="8"/>
  <c r="AH102" i="8"/>
  <c r="CO121" i="8" l="1"/>
  <c r="CP121" i="8" s="1"/>
  <c r="DP121" i="8" s="1"/>
  <c r="DQ93" i="8" s="1"/>
  <c r="DQ98" i="8" s="1"/>
  <c r="DX10" i="8"/>
  <c r="DR87" i="8"/>
  <c r="DR105" i="8" s="1"/>
  <c r="DR86" i="8"/>
  <c r="DT84" i="8"/>
  <c r="DS85" i="8"/>
  <c r="CP110" i="8"/>
  <c r="CO110" i="8"/>
  <c r="DJ91" i="8"/>
  <c r="DJ108" i="8" s="1"/>
  <c r="DK88" i="8"/>
  <c r="DK90" i="8" s="1"/>
  <c r="DK87" i="8"/>
  <c r="DJ86" i="8"/>
  <c r="DE110" i="8"/>
  <c r="DE120" i="8"/>
  <c r="DK204" i="8"/>
  <c r="DU84" i="8" l="1"/>
  <c r="DT85" i="8"/>
  <c r="DS87" i="8"/>
  <c r="DY10" i="8"/>
  <c r="DK91" i="8"/>
  <c r="DK108" i="8" s="1"/>
  <c r="DK86" i="8"/>
  <c r="DF92" i="8"/>
  <c r="DF98" i="8" s="1"/>
  <c r="DF99" i="8" s="1"/>
  <c r="DL87" i="8"/>
  <c r="DL86" i="8" s="1"/>
  <c r="DL88" i="8"/>
  <c r="DL204" i="8"/>
  <c r="DS86" i="8" l="1"/>
  <c r="DS105" i="8"/>
  <c r="DT88" i="8"/>
  <c r="DT90" i="8" s="1"/>
  <c r="DT87" i="8"/>
  <c r="DZ10" i="8"/>
  <c r="DV84" i="8"/>
  <c r="DU85" i="8"/>
  <c r="DL90" i="8"/>
  <c r="DL91" i="8" s="1"/>
  <c r="DL108" i="8" s="1"/>
  <c r="DM88" i="8"/>
  <c r="DM87" i="8"/>
  <c r="DM86" i="8" s="1"/>
  <c r="DF109" i="8"/>
  <c r="DF100" i="8"/>
  <c r="DF111" i="8" s="1"/>
  <c r="DT91" i="8" l="1"/>
  <c r="DT105" i="8"/>
  <c r="DT86" i="8"/>
  <c r="DW84" i="8"/>
  <c r="DV85" i="8"/>
  <c r="DU88" i="8"/>
  <c r="DU90" i="8" s="1"/>
  <c r="DU87" i="8"/>
  <c r="DU105" i="8" s="1"/>
  <c r="EA10" i="8"/>
  <c r="DF101" i="8"/>
  <c r="DM90" i="8"/>
  <c r="DM91" i="8" s="1"/>
  <c r="DU91" i="8" l="1"/>
  <c r="EB10" i="8"/>
  <c r="DU86" i="8"/>
  <c r="DV88" i="8"/>
  <c r="DV90" i="8" s="1"/>
  <c r="DV87" i="8"/>
  <c r="DV105" i="8" s="1"/>
  <c r="DV86" i="8"/>
  <c r="DX84" i="8"/>
  <c r="DW85" i="8"/>
  <c r="DN90" i="8"/>
  <c r="DF110" i="8"/>
  <c r="DY84" i="8" l="1"/>
  <c r="DX85" i="8"/>
  <c r="DW88" i="8"/>
  <c r="DW90" i="8" s="1"/>
  <c r="DW87" i="8"/>
  <c r="DW105" i="8" s="1"/>
  <c r="DV91" i="8"/>
  <c r="DG92" i="8"/>
  <c r="DG98" i="8" s="1"/>
  <c r="DG99" i="8" s="1"/>
  <c r="DW86" i="8" l="1"/>
  <c r="DW91" i="8"/>
  <c r="DX88" i="8"/>
  <c r="DX90" i="8" s="1"/>
  <c r="DX87" i="8"/>
  <c r="DX86" i="8"/>
  <c r="DZ84" i="8"/>
  <c r="DY85" i="8"/>
  <c r="DG109" i="8"/>
  <c r="DG100" i="8"/>
  <c r="DG111" i="8" s="1"/>
  <c r="DQ88" i="8"/>
  <c r="DX91" i="8" l="1"/>
  <c r="DX105" i="8"/>
  <c r="DY88" i="8"/>
  <c r="DY90" i="8" s="1"/>
  <c r="DY87" i="8"/>
  <c r="EA84" i="8"/>
  <c r="DZ85" i="8"/>
  <c r="DR88" i="8"/>
  <c r="DQ90" i="8"/>
  <c r="DQ91" i="8" s="1"/>
  <c r="DQ99" i="8" s="1"/>
  <c r="DG101" i="8"/>
  <c r="DY91" i="8" l="1"/>
  <c r="DY105" i="8"/>
  <c r="DZ88" i="8"/>
  <c r="DZ90" i="8" s="1"/>
  <c r="DZ87" i="8"/>
  <c r="DZ86" i="8" s="1"/>
  <c r="EB84" i="8"/>
  <c r="EB85" i="8" s="1"/>
  <c r="EA85" i="8"/>
  <c r="DY86" i="8"/>
  <c r="DG110" i="8"/>
  <c r="DR90" i="8"/>
  <c r="DR91" i="8" s="1"/>
  <c r="DS88" i="8"/>
  <c r="DS90" i="8" s="1"/>
  <c r="DZ91" i="8" l="1"/>
  <c r="DZ105" i="8"/>
  <c r="EA88" i="8"/>
  <c r="EA90" i="8" s="1"/>
  <c r="EA87" i="8"/>
  <c r="EB88" i="8"/>
  <c r="EB90" i="8" s="1"/>
  <c r="EB87" i="8"/>
  <c r="EB105" i="8" s="1"/>
  <c r="DH92" i="8"/>
  <c r="DH98" i="8" s="1"/>
  <c r="DH99" i="8" s="1"/>
  <c r="DS91" i="8"/>
  <c r="EB86" i="8" l="1"/>
  <c r="EA86" i="8"/>
  <c r="EA105" i="8"/>
  <c r="EB91" i="8"/>
  <c r="EA91" i="8"/>
  <c r="DH109" i="8"/>
  <c r="DH100" i="8"/>
  <c r="DH111" i="8" s="1"/>
  <c r="DH101" i="8" l="1"/>
  <c r="DH110" i="8" l="1"/>
  <c r="DI92" i="8" l="1"/>
  <c r="DI98" i="8" s="1"/>
  <c r="DI99" i="8" s="1"/>
  <c r="DI109" i="8" l="1"/>
  <c r="DI100" i="8"/>
  <c r="DI111" i="8" s="1"/>
  <c r="DI101" i="8" l="1"/>
  <c r="DI110" i="8" s="1"/>
  <c r="DJ92" i="8" l="1"/>
  <c r="DJ98" i="8" s="1"/>
  <c r="DJ99" i="8" s="1"/>
  <c r="DJ100" i="8" l="1"/>
  <c r="DJ111" i="8" s="1"/>
  <c r="DJ109" i="8"/>
  <c r="DJ101" i="8" l="1"/>
  <c r="DJ110" i="8" l="1"/>
  <c r="DK92" i="8" l="1"/>
  <c r="DK98" i="8" s="1"/>
  <c r="DK99" i="8" s="1"/>
  <c r="DK109" i="8" l="1"/>
  <c r="DK100" i="8"/>
  <c r="DK111" i="8" s="1"/>
  <c r="DK101" i="8" l="1"/>
  <c r="DK110" i="8" l="1"/>
  <c r="DL92" i="8" l="1"/>
  <c r="DL98" i="8" s="1"/>
  <c r="DL99" i="8" s="1"/>
  <c r="DL109" i="8" l="1"/>
  <c r="DL100" i="8"/>
  <c r="DL111" i="8" s="1"/>
  <c r="DL101" i="8" l="1"/>
  <c r="DL110" i="8" s="1"/>
  <c r="DM92" i="8" l="1"/>
  <c r="DM98" i="8" s="1"/>
  <c r="DM99" i="8" s="1"/>
  <c r="DM100" i="8" l="1"/>
  <c r="DM101" i="8" s="1"/>
  <c r="DN98" i="8" l="1"/>
  <c r="DO98" i="8" l="1"/>
  <c r="DO102" i="8" l="1"/>
  <c r="DP98" i="8" l="1"/>
  <c r="DP99" i="8" s="1"/>
  <c r="DP101" i="8" s="1"/>
  <c r="DP102" i="8" l="1"/>
  <c r="DQ100" i="8" l="1"/>
  <c r="DQ101" i="8" s="1"/>
  <c r="DQ121" i="8" l="1"/>
  <c r="DR93" i="8" s="1"/>
  <c r="DR98" i="8" s="1"/>
  <c r="DR99" i="8" s="1"/>
  <c r="DQ102" i="8"/>
  <c r="DR100" i="8" l="1"/>
  <c r="DR101" i="8" s="1"/>
  <c r="DR121" i="8" l="1"/>
  <c r="DS93" i="8" s="1"/>
  <c r="DS98" i="8" s="1"/>
  <c r="DS99" i="8" s="1"/>
  <c r="DR102" i="8"/>
  <c r="DS100" i="8" l="1"/>
  <c r="DS101" i="8" s="1"/>
  <c r="DS121" i="8" l="1"/>
  <c r="DS102" i="8"/>
  <c r="DT93" i="8" l="1"/>
  <c r="DT98" i="8" s="1"/>
  <c r="DT99" i="8" s="1"/>
  <c r="DT100" i="8" s="1"/>
  <c r="DT101" i="8" s="1"/>
  <c r="DT102" i="8" l="1"/>
  <c r="DT121" i="8"/>
  <c r="DU93" i="8" l="1"/>
  <c r="DU98" i="8" s="1"/>
  <c r="DU99" i="8" s="1"/>
  <c r="DU100" i="8" s="1"/>
  <c r="DU101" i="8" s="1"/>
  <c r="DU102" i="8" l="1"/>
  <c r="DU121" i="8"/>
  <c r="DV93" i="8" l="1"/>
  <c r="DV98" i="8" s="1"/>
  <c r="DV99" i="8" s="1"/>
  <c r="DV100" i="8" s="1"/>
  <c r="DV101" i="8" s="1"/>
  <c r="DV102" i="8" l="1"/>
  <c r="DV121" i="8"/>
  <c r="DW93" i="8" l="1"/>
  <c r="DW98" i="8" s="1"/>
  <c r="DW99" i="8" s="1"/>
  <c r="DW100" i="8" s="1"/>
  <c r="DW101" i="8" s="1"/>
  <c r="DW121" i="8" s="1"/>
  <c r="DX93" i="8" l="1"/>
  <c r="DX98" i="8" s="1"/>
  <c r="DX99" i="8" s="1"/>
  <c r="DX100" i="8" s="1"/>
  <c r="DX101" i="8" s="1"/>
  <c r="DX102" i="8" s="1"/>
  <c r="DW102" i="8"/>
  <c r="DX121" i="8" l="1"/>
  <c r="DY93" i="8" l="1"/>
  <c r="DY98" i="8" s="1"/>
  <c r="DY99" i="8" s="1"/>
  <c r="DY100" i="8" s="1"/>
  <c r="DY101" i="8" s="1"/>
  <c r="DY102" i="8" l="1"/>
  <c r="DY121" i="8"/>
  <c r="DZ93" i="8" l="1"/>
  <c r="DZ98" i="8" s="1"/>
  <c r="DZ99" i="8" s="1"/>
  <c r="DZ100" i="8" s="1"/>
  <c r="DZ101" i="8" s="1"/>
  <c r="DZ102" i="8" s="1"/>
  <c r="DZ121" i="8" l="1"/>
  <c r="EA93" i="8" l="1"/>
  <c r="EA98" i="8" s="1"/>
  <c r="EA99" i="8" s="1"/>
  <c r="EA100" i="8" s="1"/>
  <c r="EA101" i="8" s="1"/>
  <c r="EA102" i="8" s="1"/>
  <c r="EA121" i="8" l="1"/>
  <c r="EB93" i="8" l="1"/>
  <c r="EB98" i="8" s="1"/>
  <c r="EB99" i="8" s="1"/>
  <c r="EB100" i="8" l="1"/>
  <c r="EB101" i="8" s="1"/>
  <c r="EC101" i="8" l="1"/>
  <c r="ED101" i="8" s="1"/>
  <c r="EE101" i="8" s="1"/>
  <c r="EF101" i="8" s="1"/>
  <c r="EG101" i="8" s="1"/>
  <c r="EH101" i="8" s="1"/>
  <c r="EI101" i="8" s="1"/>
  <c r="EJ101" i="8" s="1"/>
  <c r="EK101" i="8" s="1"/>
  <c r="EL101" i="8" s="1"/>
  <c r="EM101" i="8" s="1"/>
  <c r="EN101" i="8" s="1"/>
  <c r="EO101" i="8" s="1"/>
  <c r="EP101" i="8" s="1"/>
  <c r="EQ101" i="8" s="1"/>
  <c r="ER101" i="8" s="1"/>
  <c r="ES101" i="8" s="1"/>
  <c r="ET101" i="8" s="1"/>
  <c r="EU101" i="8" s="1"/>
  <c r="EV101" i="8" s="1"/>
  <c r="EW101" i="8" s="1"/>
  <c r="EX101" i="8" s="1"/>
  <c r="EY101" i="8" s="1"/>
  <c r="EZ101" i="8" s="1"/>
  <c r="FA101" i="8" s="1"/>
  <c r="FB101" i="8" s="1"/>
  <c r="FC101" i="8" s="1"/>
  <c r="FD101" i="8" s="1"/>
  <c r="FE101" i="8" s="1"/>
  <c r="FF101" i="8" s="1"/>
  <c r="FG101" i="8" s="1"/>
  <c r="FH101" i="8" s="1"/>
  <c r="FI101" i="8" s="1"/>
  <c r="FJ101" i="8" s="1"/>
  <c r="FK101" i="8" s="1"/>
  <c r="FL101" i="8" s="1"/>
  <c r="FM101" i="8" s="1"/>
  <c r="FN101" i="8" s="1"/>
  <c r="FO101" i="8" s="1"/>
  <c r="FP101" i="8" s="1"/>
  <c r="FQ101" i="8" s="1"/>
  <c r="FR101" i="8" s="1"/>
  <c r="FS101" i="8" s="1"/>
  <c r="FT101" i="8" s="1"/>
  <c r="FU101" i="8" s="1"/>
  <c r="FV101" i="8" s="1"/>
  <c r="FW101" i="8" s="1"/>
  <c r="FX101" i="8" s="1"/>
  <c r="FY101" i="8" s="1"/>
  <c r="FZ101" i="8" s="1"/>
  <c r="GA101" i="8" s="1"/>
  <c r="GB101" i="8" s="1"/>
  <c r="GC101" i="8" s="1"/>
  <c r="GD101" i="8" s="1"/>
  <c r="GE101" i="8" s="1"/>
  <c r="GF101" i="8" s="1"/>
  <c r="GG101" i="8" s="1"/>
  <c r="GH101" i="8" s="1"/>
  <c r="GI101" i="8" s="1"/>
  <c r="GJ101" i="8" s="1"/>
  <c r="GK101" i="8" s="1"/>
  <c r="GL101" i="8" s="1"/>
  <c r="GM101" i="8" s="1"/>
  <c r="GN101" i="8" s="1"/>
  <c r="GO101" i="8" s="1"/>
  <c r="GP101" i="8" s="1"/>
  <c r="GQ101" i="8" s="1"/>
  <c r="GR101" i="8" s="1"/>
  <c r="GS101" i="8" s="1"/>
  <c r="EE108" i="8" s="1"/>
  <c r="EE109" i="8" s="1"/>
  <c r="EB121" i="8"/>
  <c r="EB102" i="8"/>
  <c r="GT101" i="8" l="1"/>
  <c r="GU101" i="8" s="1"/>
  <c r="GV101" i="8" s="1"/>
  <c r="GW101" i="8" s="1"/>
  <c r="GX101" i="8" s="1"/>
  <c r="GY101" i="8" s="1"/>
  <c r="GZ101" i="8" s="1"/>
  <c r="HA101" i="8" s="1"/>
  <c r="HB101" i="8" s="1"/>
  <c r="HC101" i="8" s="1"/>
  <c r="HD101" i="8" s="1"/>
  <c r="HE101" i="8" s="1"/>
  <c r="HF101" i="8" s="1"/>
  <c r="HG101" i="8" s="1"/>
  <c r="HH101" i="8" s="1"/>
  <c r="HI101" i="8" s="1"/>
  <c r="HJ101" i="8" s="1"/>
  <c r="HK101" i="8" s="1"/>
  <c r="HL101" i="8" s="1"/>
  <c r="HM101" i="8" s="1"/>
  <c r="HN101" i="8" s="1"/>
  <c r="HO101" i="8" s="1"/>
  <c r="HP101" i="8" s="1"/>
  <c r="HQ101" i="8" s="1"/>
  <c r="HR101" i="8" s="1"/>
  <c r="HS101" i="8" s="1"/>
  <c r="HT101" i="8" s="1"/>
  <c r="HU101" i="8" s="1"/>
  <c r="HV101" i="8" s="1"/>
  <c r="HW101" i="8" s="1"/>
  <c r="HX101" i="8" s="1"/>
  <c r="HY101" i="8" s="1"/>
  <c r="HZ101" i="8" s="1"/>
  <c r="IA101" i="8" s="1"/>
  <c r="IB101" i="8" s="1"/>
  <c r="IC101" i="8" s="1"/>
  <c r="ID101" i="8" s="1"/>
  <c r="IE101" i="8" s="1"/>
  <c r="IF101" i="8" s="1"/>
  <c r="IG101" i="8" s="1"/>
  <c r="IH101" i="8" s="1"/>
  <c r="DN91" i="8" l="1"/>
  <c r="DN10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33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33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5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5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35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7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9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3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4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48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49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51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51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2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2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52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4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5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5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6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8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60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60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60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60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1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3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4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5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6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7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2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3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5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6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4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4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5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5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5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5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5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5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9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9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9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7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7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0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100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2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2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102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102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102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102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102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102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A105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5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AH167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7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4" authorId="13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5" authorId="13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7" authorId="13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<sst xmlns="http://schemas.openxmlformats.org/spreadsheetml/2006/main" count="1310" uniqueCount="956">
  <si>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</si>
  <si>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</si>
  <si>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</si>
  <si>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</si>
  <si>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</si>
  <si>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</si>
  <si>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</si>
  <si>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</si>
  <si>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</si>
  <si>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</si>
  <si>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</si>
  <si>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</si>
  <si>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</si>
  <si>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</si>
  <si>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</si>
  <si>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</si>
  <si>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</si>
  <si>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</si>
  <si>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</si>
  <si>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</si>
  <si>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</si>
  <si>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</si>
  <si>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</si>
  <si>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</si>
  <si>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</si>
  <si>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</si>
  <si>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</si>
  <si>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</si>
  <si>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</si>
  <si>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</si>
  <si>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</si>
  <si>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</si>
  <si>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</si>
  <si>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</si>
  <si>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</si>
  <si>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</si>
  <si>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</si>
  <si>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</si>
  <si>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</si>
  <si>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</si>
  <si>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</si>
  <si>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</si>
  <si>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</si>
  <si>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</si>
  <si>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</si>
  <si>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</si>
  <si>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</si>
  <si>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</si>
  <si>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</si>
  <si>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</si>
  <si>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</si>
  <si>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</si>
  <si>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</si>
  <si>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</si>
  <si>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</si>
  <si>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</si>
  <si>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</si>
  <si>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</si>
  <si>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</si>
  <si>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</si>
  <si>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</si>
  <si>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</si>
  <si>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</si>
  <si>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</si>
  <si>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</si>
  <si>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</si>
  <si>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</si>
  <si>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</si>
  <si>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</si>
  <si>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</si>
  <si>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</si>
  <si>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</si>
  <si>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</si>
  <si>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</si>
  <si>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</si>
  <si>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</si>
  <si>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</si>
  <si>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</si>
  <si>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</si>
  <si>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</si>
  <si>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</si>
  <si>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</si>
  <si>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</si>
  <si>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</si>
  <si>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</si>
  <si>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</si>
  <si>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</si>
  <si>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</si>
  <si>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</si>
  <si>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</si>
  <si>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</si>
  <si>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</si>
  <si>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</si>
  <si>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</si>
  <si>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</si>
  <si>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</si>
  <si>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</si>
  <si>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</si>
  <si>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</si>
  <si>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</si>
  <si>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</si>
  <si>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</si>
  <si>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</si>
  <si>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</si>
  <si>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</si>
  <si>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</si>
  <si>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</si>
  <si>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</si>
  <si>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</si>
  <si>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</si>
  <si>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</si>
  <si>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</si>
  <si>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</si>
  <si>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</si>
  <si>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</si>
  <si>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</si>
  <si>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</si>
  <si>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</si>
  <si>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</si>
  <si>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</si>
  <si>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</si>
  <si>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</si>
  <si>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</si>
  <si>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</si>
  <si>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</si>
  <si>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</si>
  <si>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</si>
  <si>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</si>
  <si>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</si>
  <si>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</si>
  <si>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</si>
  <si>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</si>
  <si>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</si>
  <si>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</si>
  <si>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</si>
  <si>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</si>
  <si>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</si>
  <si>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</si>
  <si>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</si>
  <si>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</si>
  <si>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</si>
  <si>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</si>
  <si>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</si>
  <si>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</si>
  <si>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</si>
  <si>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</si>
  <si>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</si>
  <si>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</si>
  <si>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</si>
  <si>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</si>
  <si>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</si>
  <si>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</si>
  <si>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</si>
  <si>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</si>
  <si>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</si>
  <si>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</si>
  <si>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</si>
  <si>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</si>
  <si>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</si>
  <si>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</si>
  <si>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</si>
  <si>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</si>
  <si>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</si>
  <si>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</si>
  <si>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</si>
  <si>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</si>
  <si>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</si>
  <si>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</si>
  <si>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</si>
  <si>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</si>
  <si>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</si>
  <si>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</si>
  <si>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</si>
  <si>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</si>
  <si>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</si>
  <si>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</si>
  <si>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</si>
  <si>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</si>
  <si>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</si>
  <si>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</si>
  <si>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</si>
  <si>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</si>
  <si>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</si>
  <si>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</si>
  <si>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</si>
  <si>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</si>
  <si>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</si>
  <si>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</si>
  <si>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</si>
  <si>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</si>
  <si>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</si>
  <si>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</si>
  <si>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</si>
  <si>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</si>
  <si>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</si>
  <si>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</si>
  <si>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</si>
  <si>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</si>
  <si>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</si>
  <si>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</si>
  <si>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</si>
  <si>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</si>
  <si>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</si>
  <si>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</si>
  <si>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</si>
  <si>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</si>
  <si>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</si>
  <si>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</si>
  <si>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</si>
  <si>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</si>
  <si>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</si>
  <si>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</si>
  <si>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</si>
  <si>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</si>
  <si>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</si>
  <si>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</si>
  <si>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</si>
  <si>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</si>
  <si>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</si>
  <si>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</si>
  <si>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</si>
  <si>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</si>
  <si>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</si>
  <si>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</si>
  <si>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</si>
  <si>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</si>
  <si>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</si>
  <si>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</si>
  <si>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</si>
  <si>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</si>
  <si>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</si>
  <si>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</si>
  <si>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</si>
  <si>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</si>
  <si>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</si>
  <si>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</si>
  <si>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</si>
  <si>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</si>
  <si>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</si>
  <si>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</si>
  <si>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</si>
  <si>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</si>
  <si>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</si>
  <si>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</si>
  <si>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</si>
  <si>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</si>
  <si>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</si>
  <si>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</si>
  <si>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</si>
  <si>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</si>
  <si>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</si>
  <si>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</si>
  <si>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</si>
  <si>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</si>
  <si>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</si>
  <si>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</si>
  <si>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</si>
  <si>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</si>
  <si>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</si>
  <si>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</si>
  <si>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</si>
  <si>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</si>
  <si>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</si>
  <si>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</si>
  <si>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</si>
  <si>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</si>
  <si>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</si>
  <si>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</si>
  <si>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</si>
  <si>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</si>
  <si>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</si>
  <si>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</si>
  <si>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</si>
  <si>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</si>
  <si>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</si>
  <si>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</si>
  <si>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</si>
  <si>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</si>
  <si>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</si>
  <si>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</si>
  <si>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</si>
  <si>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</si>
  <si>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</si>
  <si>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</si>
  <si>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</si>
  <si>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</si>
  <si>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</si>
  <si>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</si>
  <si>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</si>
  <si>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</si>
  <si>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</si>
  <si>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</si>
  <si>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</si>
  <si>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</si>
  <si>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</si>
  <si>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</si>
  <si>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</si>
  <si>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</si>
  <si>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</si>
  <si>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</si>
  <si>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</si>
  <si>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</si>
  <si>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</si>
  <si>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</si>
  <si>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</si>
  <si>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</si>
  <si>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</si>
  <si>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</si>
  <si>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</si>
  <si>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</si>
  <si>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</si>
  <si>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</si>
  <si>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</si>
  <si>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</si>
  <si>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</si>
  <si>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</si>
  <si>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</si>
  <si>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</si>
  <si>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</si>
  <si>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</si>
  <si>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</si>
  <si>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</si>
  <si>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</si>
  <si>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</si>
  <si>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</si>
  <si>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</si>
  <si>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</si>
  <si>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</si>
  <si>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</si>
  <si>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</si>
  <si>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</si>
  <si>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</si>
  <si>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</si>
  <si>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</si>
  <si>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</si>
  <si>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</si>
  <si>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</si>
  <si>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</si>
  <si>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</si>
  <si>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</si>
  <si>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</si>
  <si>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</si>
  <si>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</si>
  <si>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</si>
  <si>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</si>
  <si>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</si>
  <si>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</si>
  <si>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</si>
  <si>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</si>
  <si>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</si>
  <si>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</si>
  <si>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</si>
  <si>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</si>
  <si>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</si>
  <si>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</si>
  <si>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</si>
  <si>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</si>
  <si>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</si>
  <si>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</si>
  <si>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</si>
  <si>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</si>
  <si>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</si>
  <si>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</si>
  <si>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</si>
  <si>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</si>
  <si>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</si>
  <si>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</si>
  <si>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</si>
  <si>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</si>
  <si>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</si>
  <si>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</si>
  <si>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</si>
  <si>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</si>
  <si>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</si>
  <si>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</si>
  <si>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</si>
  <si>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</si>
  <si>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</si>
  <si>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</si>
  <si>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</si>
  <si>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</si>
  <si>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</si>
  <si>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</si>
  <si>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</si>
  <si>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</si>
  <si>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</si>
  <si>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</si>
  <si>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</si>
  <si>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</si>
  <si>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</si>
  <si>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</si>
  <si>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</si>
  <si>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</si>
  <si>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</si>
  <si>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</si>
  <si>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</si>
  <si>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</si>
  <si>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</si>
  <si>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</si>
  <si>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</si>
  <si>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</si>
  <si>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</si>
  <si>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</si>
  <si>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</si>
  <si>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</si>
  <si>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</si>
  <si>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</si>
  <si>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</si>
  <si>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</si>
  <si>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</si>
  <si>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</si>
  <si>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</si>
  <si>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</si>
  <si>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</si>
  <si>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</si>
  <si>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</si>
  <si>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</si>
  <si>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</si>
  <si>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</si>
  <si>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</si>
  <si>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</si>
  <si>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</si>
  <si>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</si>
  <si>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</si>
  <si>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</si>
  <si>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</si>
  <si>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</si>
  <si>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</si>
  <si>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</si>
  <si>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</si>
  <si>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</si>
  <si>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</si>
  <si>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</si>
  <si>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</si>
  <si>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</si>
  <si>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</si>
  <si>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</si>
  <si>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</si>
  <si>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</si>
  <si>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</si>
  <si>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</si>
  <si>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</si>
  <si>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</si>
  <si>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</si>
  <si>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</si>
  <si>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</si>
  <si>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</si>
  <si>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</si>
  <si>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</si>
  <si>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</si>
  <si>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</si>
  <si>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</si>
  <si>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</si>
  <si>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</si>
  <si>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</si>
  <si>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</si>
  <si>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</si>
  <si>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</si>
  <si>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</si>
  <si>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</si>
  <si>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</si>
  <si>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</si>
  <si>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</si>
  <si>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</si>
  <si>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</si>
  <si>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</si>
  <si>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</si>
  <si>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</si>
  <si>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</si>
  <si>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</si>
  <si>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</si>
  <si>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</si>
  <si>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</si>
  <si>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</si>
  <si>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</si>
  <si>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</si>
  <si>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</si>
  <si>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</si>
  <si>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</si>
  <si>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</si>
  <si>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</si>
  <si>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</si>
  <si>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</si>
  <si>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</si>
  <si>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</si>
  <si>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</si>
  <si>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</si>
  <si>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</si>
  <si>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</si>
  <si>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</si>
  <si>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</si>
  <si>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</si>
  <si>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</si>
  <si>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</si>
  <si>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</si>
  <si>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</si>
  <si>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</si>
  <si>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</si>
  <si>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</si>
  <si>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</si>
  <si>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</si>
  <si>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</si>
  <si>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</si>
  <si>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</si>
  <si>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</si>
  <si>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</si>
  <si>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</si>
  <si>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</si>
  <si>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</si>
  <si>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</si>
  <si>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</si>
  <si>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</si>
  <si>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</si>
  <si>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</si>
  <si>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</si>
  <si>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</si>
  <si>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</si>
  <si>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</si>
  <si>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</si>
  <si>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</si>
  <si>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</si>
  <si>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</si>
  <si>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</si>
  <si>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</si>
  <si>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</si>
  <si>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</si>
  <si>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</si>
  <si>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</si>
  <si>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</si>
  <si>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</si>
  <si>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</si>
  <si>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</si>
  <si>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</si>
  <si>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</si>
  <si>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</si>
  <si>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</si>
  <si>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</si>
  <si>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</si>
  <si>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</si>
  <si>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</si>
  <si>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</si>
  <si>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</si>
  <si>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</si>
  <si>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</si>
  <si>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</si>
  <si>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</si>
  <si>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</si>
  <si>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</si>
  <si>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</si>
  <si>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</si>
  <si>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</si>
  <si>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</si>
  <si>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</si>
  <si>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</si>
  <si>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</si>
  <si>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</si>
  <si>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</si>
  <si>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</si>
  <si>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</si>
  <si>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</si>
  <si>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</si>
  <si>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</si>
  <si>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</si>
  <si>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</si>
  <si>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</si>
  <si>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</si>
  <si>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</si>
  <si>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</si>
  <si>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</si>
  <si>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</si>
  <si>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</si>
  <si>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</si>
  <si>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</si>
  <si>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</si>
  <si>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</si>
  <si>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</si>
  <si>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</si>
  <si>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</si>
  <si>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</si>
  <si>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</si>
  <si>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</si>
  <si>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</si>
  <si>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</si>
  <si>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</si>
  <si>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</si>
  <si>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</si>
  <si>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</si>
  <si>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</si>
  <si>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</si>
  <si>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</si>
  <si>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</si>
  <si>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</si>
  <si>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</si>
  <si>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</si>
  <si>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</si>
  <si>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</si>
  <si>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</si>
  <si>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</si>
  <si>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</si>
  <si>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</si>
  <si>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</si>
  <si>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</si>
  <si>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</si>
  <si>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</si>
  <si>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</si>
  <si>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</si>
  <si>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</si>
  <si>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</si>
  <si>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</si>
  <si>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</si>
  <si>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</si>
  <si>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</si>
  <si>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</si>
  <si>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</si>
  <si>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</si>
  <si>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</si>
  <si>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</si>
  <si>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</si>
  <si>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</si>
  <si>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</si>
  <si>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</si>
  <si>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</si>
  <si>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</si>
  <si>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</si>
  <si>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</si>
  <si>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</si>
  <si>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</si>
  <si>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</si>
  <si>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</si>
  <si>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</si>
  <si>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</si>
  <si>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</si>
  <si>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</si>
  <si>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</si>
  <si>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</si>
  <si>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</si>
  <si>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</si>
  <si>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</si>
  <si>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</si>
  <si>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</si>
  <si>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</si>
  <si>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</si>
  <si>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</si>
  <si>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</si>
  <si>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</si>
  <si>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</si>
  <si>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</si>
  <si>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</si>
  <si>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</si>
  <si>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</si>
  <si>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</si>
  <si>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</si>
  <si>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</si>
  <si>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</si>
  <si>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</si>
  <si>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</si>
  <si>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</si>
  <si>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</si>
  <si>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</si>
  <si>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</si>
  <si>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</si>
  <si>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</si>
  <si>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</si>
  <si>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</si>
  <si>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</si>
  <si>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</si>
  <si>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</si>
  <si>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</si>
  <si>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</si>
  <si>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</si>
  <si>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</si>
  <si>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</si>
  <si>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</si>
  <si>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</si>
  <si>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</si>
  <si>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</si>
  <si>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</si>
  <si>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</si>
  <si>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</si>
  <si>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</si>
  <si>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</si>
  <si>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</si>
  <si>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</si>
  <si>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</si>
  <si>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</si>
  <si>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</si>
  <si>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</si>
  <si>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</si>
  <si>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</si>
  <si>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</si>
  <si>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</si>
  <si>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</si>
  <si>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</si>
  <si>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</si>
  <si>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</si>
  <si>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</si>
  <si>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</si>
  <si>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</si>
  <si>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</si>
  <si>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</si>
  <si>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</si>
  <si>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</si>
  <si>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</si>
  <si>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</si>
  <si>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</si>
  <si>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</si>
  <si>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</si>
  <si>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</si>
  <si>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</si>
  <si>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</si>
  <si>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</si>
  <si>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</si>
  <si>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</si>
  <si>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</si>
  <si>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</si>
  <si>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</si>
  <si>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</si>
  <si>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</si>
  <si>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</si>
  <si>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</si>
  <si>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</si>
  <si>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</si>
  <si>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</si>
  <si>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</si>
  <si>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</si>
  <si>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</si>
  <si>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</si>
  <si>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</si>
  <si>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</si>
  <si>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</si>
  <si>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</si>
  <si>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</si>
  <si>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</si>
  <si>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</si>
  <si>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</si>
  <si>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</si>
  <si>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</si>
  <si>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</si>
  <si>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</si>
  <si>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</si>
  <si>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</si>
  <si>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</si>
  <si>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</si>
  <si>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</si>
  <si>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</si>
  <si>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</si>
  <si>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</si>
  <si>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</si>
  <si>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</si>
  <si>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</si>
  <si>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</si>
  <si>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</si>
  <si>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</si>
  <si>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</si>
  <si>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</si>
  <si>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</si>
  <si>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</si>
  <si>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</si>
  <si>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</si>
  <si>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</si>
  <si>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</si>
  <si>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</si>
  <si>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</si>
  <si>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</si>
  <si>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</si>
  <si>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</si>
  <si>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</si>
  <si>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</si>
  <si>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</si>
  <si>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</si>
  <si>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</si>
  <si>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</si>
  <si>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</si>
  <si>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</si>
  <si>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</si>
  <si>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</si>
  <si>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</si>
  <si>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</si>
  <si>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</si>
  <si>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</si>
  <si>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</si>
  <si>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</si>
  <si>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</si>
  <si>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</si>
  <si>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</si>
  <si>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</si>
  <si>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</si>
  <si>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</si>
  <si>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</si>
  <si>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</si>
  <si>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</si>
  <si>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</si>
  <si>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</si>
  <si>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</si>
  <si>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</si>
  <si>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</si>
  <si>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</si>
  <si>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</si>
  <si>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</si>
  <si>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</si>
  <si>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</si>
  <si>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</si>
  <si>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</si>
  <si>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</si>
  <si>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</si>
  <si>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</si>
  <si>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</si>
  <si>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</si>
  <si>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</si>
  <si>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</si>
  <si>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</si>
  <si>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</si>
  <si>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</si>
  <si>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</si>
  <si>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</si>
  <si>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</si>
  <si>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</si>
  <si>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</si>
  <si>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</si>
  <si>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</si>
  <si>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</si>
  <si>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</si>
  <si>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</si>
  <si>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</si>
  <si>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Belsomra (suvorexant, fka MK-4305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</si>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</sst>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6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0" fontId="1" fillId="0" borderId="0" xfId="37" applyFont="1" applyFill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44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40481</xdr:colOff>
      <xdr:row>0</xdr:row>
      <xdr:rowOff>0</xdr:rowOff>
    </xdr:from>
    <xdr:to>
      <xdr:col>119</xdr:col>
      <xdr:colOff>40481</xdr:colOff>
      <xdr:row>128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5999856" y="0"/>
          <a:ext cx="0" cy="2090142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91</xdr:col>
      <xdr:colOff>51979</xdr:colOff>
      <xdr:row>0</xdr:row>
      <xdr:rowOff>13159</xdr:rowOff>
    </xdr:from>
    <xdr:to>
      <xdr:col>91</xdr:col>
      <xdr:colOff>51979</xdr:colOff>
      <xdr:row>148</xdr:row>
      <xdr:rowOff>58278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2092948" y="13159"/>
          <a:ext cx="0" cy="291380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4" dT="2022-09-13T11:07:18.69" personId="{8A593782-0C54-4957-8AFA-F9666DD85167}" id="{A29B3FF7-0F38-41FD-8B90-13892A472691}">
    <text>Was 1,197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134"/>
      <c r="J19" s="51"/>
    </row>
    <row r="20" spans="2:10">
      <c r="B20" s="79"/>
      <c r="C20" s="59"/>
      <c r="D20" s="59"/>
      <c r="E20" s="57"/>
      <c r="F20" s="59"/>
      <c r="G20" s="134"/>
      <c r="J20" s="51"/>
    </row>
    <row r="21" spans="2:10">
      <c r="B21" s="79"/>
      <c r="C21" s="59"/>
      <c r="D21" s="59"/>
      <c r="E21" s="57"/>
      <c r="F21" s="59"/>
      <c r="G21" s="134"/>
      <c r="J21" s="51"/>
    </row>
    <row r="22" spans="2:10">
      <c r="B22" s="79"/>
      <c r="C22" s="59"/>
      <c r="D22" s="59"/>
      <c r="E22" s="57"/>
      <c r="F22" s="59"/>
      <c r="G22" s="134"/>
      <c r="J22" s="51"/>
    </row>
    <row r="23" spans="2:10">
      <c r="B23" s="79"/>
      <c r="C23" s="59"/>
      <c r="D23" s="59"/>
      <c r="E23" s="57"/>
      <c r="F23" s="59"/>
      <c r="G23" s="134"/>
      <c r="J23" s="51"/>
    </row>
    <row r="24" spans="2:10">
      <c r="B24" s="79"/>
      <c r="C24" s="59"/>
      <c r="D24" s="59"/>
      <c r="E24" s="57"/>
      <c r="F24" s="59"/>
      <c r="G24" s="134"/>
      <c r="J24" s="51"/>
    </row>
    <row r="25" spans="2:10">
      <c r="B25" s="79"/>
      <c r="C25" s="59"/>
      <c r="D25" s="59"/>
      <c r="E25" s="57"/>
      <c r="F25" s="59"/>
      <c r="G25" s="134"/>
      <c r="J25" s="51"/>
    </row>
    <row r="26" spans="2:10">
      <c r="B26" s="79"/>
      <c r="C26" s="59"/>
      <c r="D26" s="59"/>
      <c r="E26" s="57"/>
      <c r="F26" s="59"/>
      <c r="G26" s="134"/>
      <c r="J26" s="51"/>
    </row>
    <row r="27" spans="2:10">
      <c r="B27" s="79"/>
      <c r="C27" s="59"/>
      <c r="D27" s="59"/>
      <c r="E27" s="57"/>
      <c r="F27" s="59"/>
      <c r="G27" s="134"/>
      <c r="J27" s="51"/>
    </row>
    <row r="28" spans="2:10">
      <c r="B28" s="79"/>
      <c r="C28" s="59"/>
      <c r="D28" s="59"/>
      <c r="E28" s="57"/>
      <c r="F28" s="59"/>
      <c r="G28" s="134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832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826</v>
      </c>
      <c r="D51" s="77" t="s">
        <v>859</v>
      </c>
      <c r="E51" s="57"/>
      <c r="F51" s="50" t="s">
        <v>390</v>
      </c>
    </row>
    <row r="52" spans="2:6">
      <c r="B52" s="66" t="s">
        <v>428</v>
      </c>
      <c r="C52" s="50"/>
      <c r="D52" s="77" t="s">
        <v>860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861</v>
      </c>
      <c r="E53" s="57"/>
      <c r="F53" s="50" t="s">
        <v>390</v>
      </c>
    </row>
    <row r="54" spans="2:6">
      <c r="B54" s="66" t="s">
        <v>430</v>
      </c>
      <c r="C54" s="50"/>
      <c r="D54" s="77" t="s">
        <v>863</v>
      </c>
      <c r="E54" s="121" t="s">
        <v>862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925</v>
      </c>
    </row>
    <row r="3" spans="1:3">
      <c r="B3" t="s">
        <v>268</v>
      </c>
      <c r="C3" t="s">
        <v>928</v>
      </c>
    </row>
    <row r="4" spans="1:3">
      <c r="B4" t="s">
        <v>762</v>
      </c>
      <c r="C4" t="s">
        <v>929</v>
      </c>
    </row>
    <row r="5" spans="1:3">
      <c r="B5" t="s">
        <v>210</v>
      </c>
    </row>
    <row r="6" spans="1:3">
      <c r="C6" s="128" t="s">
        <v>930</v>
      </c>
    </row>
    <row r="7" spans="1:3">
      <c r="C7" t="s">
        <v>931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880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1"/>
  <sheetViews>
    <sheetView tabSelected="1" zoomScale="175" zoomScaleNormal="175" workbookViewId="0">
      <selection activeCell="J3" sqref="J3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117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2537</v>
      </c>
      <c r="K3" s="62" t="s">
        <v>737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296829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11677</v>
      </c>
      <c r="K5" s="62" t="s">
        <v>737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30746</v>
      </c>
      <c r="K6" s="62" t="s">
        <v>737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5" t="s">
        <v>575</v>
      </c>
      <c r="I7" t="s">
        <v>331</v>
      </c>
      <c r="J7" s="39">
        <f>J4-J5+J6</f>
        <v>315898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5" t="s">
        <v>954</v>
      </c>
    </row>
    <row r="9" spans="1:13">
      <c r="B9" s="56" t="s">
        <v>13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932</v>
      </c>
    </row>
    <row r="11" spans="1:13">
      <c r="B11" s="127" t="s">
        <v>842</v>
      </c>
      <c r="C11" s="77" t="s">
        <v>826</v>
      </c>
      <c r="D11" s="77" t="s">
        <v>843</v>
      </c>
      <c r="E11" s="121" t="s">
        <v>844</v>
      </c>
      <c r="F11" s="58">
        <v>41992</v>
      </c>
      <c r="G11" s="60">
        <v>2024</v>
      </c>
      <c r="I11" s="75" t="s">
        <v>794</v>
      </c>
    </row>
    <row r="12" spans="1:13">
      <c r="B12" s="127" t="s">
        <v>845</v>
      </c>
      <c r="C12" s="77" t="s">
        <v>826</v>
      </c>
      <c r="D12" s="77" t="s">
        <v>846</v>
      </c>
      <c r="E12" s="121" t="s">
        <v>847</v>
      </c>
      <c r="F12" s="58">
        <v>42048</v>
      </c>
      <c r="G12" s="60">
        <v>2025</v>
      </c>
    </row>
    <row r="13" spans="1:13">
      <c r="B13" s="76" t="s">
        <v>952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848</v>
      </c>
      <c r="C14" s="77" t="s">
        <v>849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850</v>
      </c>
      <c r="C15" s="77" t="s">
        <v>851</v>
      </c>
      <c r="D15" s="50"/>
      <c r="E15" s="121" t="s">
        <v>852</v>
      </c>
      <c r="F15" s="58">
        <v>43924</v>
      </c>
      <c r="G15" s="135" t="s">
        <v>954</v>
      </c>
    </row>
    <row r="16" spans="1:13">
      <c r="B16" s="127" t="s">
        <v>912</v>
      </c>
      <c r="C16" s="77" t="s">
        <v>913</v>
      </c>
      <c r="D16" s="77" t="s">
        <v>917</v>
      </c>
      <c r="E16" s="121" t="s">
        <v>914</v>
      </c>
      <c r="F16" s="58"/>
      <c r="G16" s="135" t="s">
        <v>954</v>
      </c>
    </row>
    <row r="17" spans="2:9">
      <c r="B17" s="76" t="s">
        <v>824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953</v>
      </c>
      <c r="C18" s="77"/>
      <c r="D18" s="77"/>
      <c r="E18" s="57"/>
      <c r="F18" s="58">
        <v>44421</v>
      </c>
      <c r="G18" s="60">
        <v>2035</v>
      </c>
    </row>
    <row r="19" spans="2:9">
      <c r="B19" s="66" t="s">
        <v>16</v>
      </c>
      <c r="C19" s="50" t="s">
        <v>17</v>
      </c>
      <c r="D19" s="50" t="s">
        <v>220</v>
      </c>
      <c r="E19" s="57">
        <v>1</v>
      </c>
      <c r="F19" s="50"/>
      <c r="G19" s="135" t="s">
        <v>954</v>
      </c>
    </row>
    <row r="20" spans="2:9">
      <c r="B20" s="56" t="s">
        <v>338</v>
      </c>
      <c r="C20" s="50" t="s">
        <v>208</v>
      </c>
      <c r="D20" s="50" t="s">
        <v>217</v>
      </c>
      <c r="E20" s="57">
        <v>1</v>
      </c>
      <c r="F20" s="67">
        <v>39356</v>
      </c>
      <c r="G20" s="60"/>
    </row>
    <row r="21" spans="2:9">
      <c r="B21" s="52"/>
      <c r="C21" s="53"/>
      <c r="D21" s="53"/>
      <c r="E21" s="53"/>
      <c r="F21" s="53" t="s">
        <v>7</v>
      </c>
      <c r="G21" s="54" t="s">
        <v>205</v>
      </c>
    </row>
    <row r="22" spans="2:9">
      <c r="B22" s="76" t="s">
        <v>825</v>
      </c>
      <c r="C22" s="77" t="s">
        <v>826</v>
      </c>
      <c r="D22" s="77" t="s">
        <v>827</v>
      </c>
      <c r="E22" s="57">
        <v>1</v>
      </c>
      <c r="F22" s="77" t="s">
        <v>342</v>
      </c>
      <c r="G22" s="60"/>
      <c r="I22" s="4"/>
    </row>
    <row r="23" spans="2:9">
      <c r="B23" s="76" t="s">
        <v>828</v>
      </c>
      <c r="C23" s="77" t="s">
        <v>829</v>
      </c>
      <c r="D23" s="77" t="s">
        <v>415</v>
      </c>
      <c r="E23" s="57"/>
      <c r="F23" s="50"/>
      <c r="G23" s="60"/>
    </row>
    <row r="24" spans="2:9">
      <c r="B24" s="76" t="s">
        <v>830</v>
      </c>
      <c r="C24" s="77" t="s">
        <v>826</v>
      </c>
      <c r="D24" s="77" t="s">
        <v>831</v>
      </c>
      <c r="E24" s="65">
        <v>1</v>
      </c>
      <c r="F24" s="77" t="s">
        <v>342</v>
      </c>
      <c r="G24" s="63"/>
    </row>
    <row r="25" spans="2:9">
      <c r="B25" s="76" t="s">
        <v>834</v>
      </c>
      <c r="C25" s="77" t="s">
        <v>826</v>
      </c>
      <c r="D25" s="77" t="s">
        <v>835</v>
      </c>
      <c r="E25" s="77" t="s">
        <v>836</v>
      </c>
      <c r="F25" s="77" t="s">
        <v>342</v>
      </c>
      <c r="G25" s="60"/>
    </row>
    <row r="26" spans="2:9">
      <c r="B26" s="76" t="s">
        <v>837</v>
      </c>
      <c r="C26" s="77" t="s">
        <v>838</v>
      </c>
      <c r="D26" s="77" t="s">
        <v>839</v>
      </c>
      <c r="E26" s="121">
        <v>1</v>
      </c>
      <c r="F26" s="77" t="s">
        <v>342</v>
      </c>
      <c r="G26" s="60"/>
    </row>
    <row r="27" spans="2:9">
      <c r="B27" s="76" t="s">
        <v>840</v>
      </c>
      <c r="C27" s="77"/>
      <c r="D27" s="77" t="s">
        <v>841</v>
      </c>
      <c r="E27" s="121">
        <v>1</v>
      </c>
      <c r="F27" s="77" t="s">
        <v>342</v>
      </c>
      <c r="G27" s="60"/>
    </row>
    <row r="28" spans="2:9">
      <c r="B28" s="127" t="s">
        <v>925</v>
      </c>
      <c r="C28" s="77" t="s">
        <v>926</v>
      </c>
      <c r="D28" s="77" t="s">
        <v>220</v>
      </c>
      <c r="E28" s="121" t="s">
        <v>927</v>
      </c>
      <c r="F28" s="77" t="s">
        <v>342</v>
      </c>
      <c r="G28" s="60"/>
    </row>
    <row r="29" spans="2:9">
      <c r="B29" s="76" t="s">
        <v>853</v>
      </c>
      <c r="C29" s="77"/>
      <c r="D29" s="77" t="s">
        <v>854</v>
      </c>
      <c r="E29" s="121" t="s">
        <v>855</v>
      </c>
      <c r="F29" s="77" t="s">
        <v>342</v>
      </c>
      <c r="G29" s="60"/>
    </row>
    <row r="30" spans="2:9">
      <c r="B30" s="76" t="s">
        <v>856</v>
      </c>
      <c r="C30" s="77" t="s">
        <v>858</v>
      </c>
      <c r="D30" s="77" t="s">
        <v>857</v>
      </c>
      <c r="E30" s="121">
        <v>1</v>
      </c>
      <c r="F30" s="77" t="s">
        <v>342</v>
      </c>
      <c r="G30" s="60"/>
    </row>
    <row r="31" spans="2:9">
      <c r="B31" s="76" t="s">
        <v>864</v>
      </c>
      <c r="C31" s="77"/>
      <c r="D31" s="77" t="s">
        <v>865</v>
      </c>
      <c r="E31" s="121" t="s">
        <v>866</v>
      </c>
      <c r="F31" s="77" t="s">
        <v>342</v>
      </c>
      <c r="G31" s="60"/>
    </row>
    <row r="32" spans="2:9">
      <c r="B32" s="76" t="s">
        <v>867</v>
      </c>
      <c r="C32" s="77" t="s">
        <v>826</v>
      </c>
      <c r="D32" s="77" t="s">
        <v>868</v>
      </c>
      <c r="E32" s="121">
        <v>1</v>
      </c>
      <c r="F32" s="77" t="s">
        <v>342</v>
      </c>
      <c r="G32" s="60"/>
    </row>
    <row r="33" spans="2:7">
      <c r="B33" s="76" t="s">
        <v>869</v>
      </c>
      <c r="C33" s="77" t="s">
        <v>826</v>
      </c>
      <c r="D33" s="77" t="s">
        <v>870</v>
      </c>
      <c r="E33" s="121">
        <v>1</v>
      </c>
      <c r="F33" s="77" t="s">
        <v>342</v>
      </c>
      <c r="G33" s="60"/>
    </row>
    <row r="34" spans="2:7">
      <c r="B34" s="76" t="s">
        <v>871</v>
      </c>
      <c r="C34" s="77" t="s">
        <v>873</v>
      </c>
      <c r="D34" s="77" t="s">
        <v>872</v>
      </c>
      <c r="E34" s="121">
        <v>1</v>
      </c>
      <c r="F34" s="77" t="s">
        <v>342</v>
      </c>
      <c r="G34" s="60"/>
    </row>
    <row r="35" spans="2:7">
      <c r="B35" s="76" t="s">
        <v>874</v>
      </c>
      <c r="C35" s="77" t="s">
        <v>875</v>
      </c>
      <c r="D35" s="77" t="s">
        <v>877</v>
      </c>
      <c r="E35" s="121" t="s">
        <v>876</v>
      </c>
      <c r="F35" s="77" t="s">
        <v>342</v>
      </c>
      <c r="G35" s="60"/>
    </row>
    <row r="36" spans="2:7">
      <c r="B36" s="76" t="s">
        <v>878</v>
      </c>
      <c r="C36" s="77" t="s">
        <v>826</v>
      </c>
      <c r="D36" s="77" t="s">
        <v>879</v>
      </c>
      <c r="E36" s="121">
        <v>1</v>
      </c>
      <c r="F36" s="77" t="s">
        <v>342</v>
      </c>
      <c r="G36" s="60"/>
    </row>
    <row r="37" spans="2:7">
      <c r="B37" s="76" t="s">
        <v>881</v>
      </c>
      <c r="C37" s="77" t="s">
        <v>875</v>
      </c>
      <c r="D37" s="77" t="s">
        <v>883</v>
      </c>
      <c r="E37" s="121" t="s">
        <v>882</v>
      </c>
      <c r="F37" s="77" t="s">
        <v>342</v>
      </c>
      <c r="G37" s="60"/>
    </row>
    <row r="38" spans="2:7">
      <c r="B38" s="124" t="s">
        <v>887</v>
      </c>
      <c r="C38" s="125" t="s">
        <v>888</v>
      </c>
      <c r="D38" s="125" t="s">
        <v>889</v>
      </c>
      <c r="E38" s="126">
        <v>1</v>
      </c>
      <c r="F38" s="125" t="s">
        <v>342</v>
      </c>
      <c r="G38" s="70"/>
    </row>
    <row r="40" spans="2:7">
      <c r="E40" s="71"/>
    </row>
    <row r="41" spans="2:7">
      <c r="B41" s="49"/>
      <c r="E41" s="71" t="s">
        <v>805</v>
      </c>
    </row>
    <row r="42" spans="2:7">
      <c r="B42" s="49"/>
      <c r="E42" s="71" t="s">
        <v>924</v>
      </c>
    </row>
    <row r="43" spans="2:7">
      <c r="B43" s="49"/>
      <c r="E43" s="123" t="s">
        <v>923</v>
      </c>
    </row>
    <row r="44" spans="2:7">
      <c r="B44" s="49"/>
      <c r="E44" s="123" t="s">
        <v>921</v>
      </c>
    </row>
    <row r="45" spans="2:7">
      <c r="B45" s="49"/>
      <c r="E45" s="71" t="s">
        <v>920</v>
      </c>
    </row>
    <row r="46" spans="2:7">
      <c r="E46" s="71" t="s">
        <v>892</v>
      </c>
    </row>
    <row r="47" spans="2:7">
      <c r="B47" s="4"/>
      <c r="E47" s="71" t="s">
        <v>891</v>
      </c>
    </row>
    <row r="48" spans="2:7">
      <c r="E48" s="123" t="s">
        <v>890</v>
      </c>
    </row>
    <row r="49" spans="5:5">
      <c r="E49" s="123" t="s">
        <v>886</v>
      </c>
    </row>
    <row r="50" spans="5:5">
      <c r="E50" s="71" t="s">
        <v>885</v>
      </c>
    </row>
    <row r="51" spans="5:5">
      <c r="E51" s="71" t="s">
        <v>884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0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28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H240"/>
  <sheetViews>
    <sheetView showGridLines="0" zoomScale="160" zoomScaleNormal="160" workbookViewId="0">
      <pane xSplit="2" ySplit="2" topLeftCell="CF114" activePane="bottomRight" state="frozen"/>
      <selection pane="topRight"/>
      <selection pane="bottomLeft"/>
      <selection pane="bottomRight" activeCell="CM121" sqref="CM121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4" width="6.140625" style="62" customWidth="1"/>
    <col min="35" max="38" width="6.85546875" style="62" customWidth="1"/>
    <col min="39" max="39" width="7.28515625" style="62" customWidth="1"/>
    <col min="40" max="43" width="7" style="62" customWidth="1"/>
    <col min="44" max="54" width="6.7109375" style="62" customWidth="1"/>
    <col min="55" max="70" width="7.42578125" style="62" customWidth="1"/>
    <col min="71" max="74" width="7.140625" style="62" customWidth="1"/>
    <col min="75" max="85" width="6.5703125" style="62" customWidth="1"/>
    <col min="86" max="86" width="7.28515625" style="62" customWidth="1"/>
    <col min="87" max="94" width="7.85546875" style="62" customWidth="1"/>
    <col min="95" max="96" width="6.42578125" style="62" customWidth="1"/>
    <col min="97" max="97" width="4.28515625" style="75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2" width="7.7109375" style="62" customWidth="1"/>
    <col min="123" max="123" width="8.28515625" style="62" customWidth="1"/>
    <col min="124" max="124" width="8.28515625" style="75" customWidth="1"/>
    <col min="125" max="125" width="8.28515625" style="114" customWidth="1"/>
    <col min="126" max="132" width="8.28515625" style="75" customWidth="1"/>
    <col min="133" max="183" width="9.28515625" style="75" bestFit="1" customWidth="1"/>
    <col min="184" max="16384" width="9.140625" style="75"/>
  </cols>
  <sheetData>
    <row r="1" spans="1:132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131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75"/>
      <c r="CT1" s="84"/>
      <c r="CU1" s="86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U1" s="87"/>
    </row>
    <row r="2" spans="1:132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/>
      <c r="CR2" s="90"/>
      <c r="CS2" s="90"/>
      <c r="CT2" s="91">
        <f t="shared" ref="CT2:CY2" si="0">CU2-1</f>
        <v>2001</v>
      </c>
      <c r="CU2" s="91">
        <f t="shared" si="0"/>
        <v>2002</v>
      </c>
      <c r="CV2" s="91">
        <f t="shared" si="0"/>
        <v>2003</v>
      </c>
      <c r="CW2" s="91">
        <f t="shared" si="0"/>
        <v>2004</v>
      </c>
      <c r="CX2" s="91">
        <f t="shared" si="0"/>
        <v>2005</v>
      </c>
      <c r="CY2" s="91">
        <f t="shared" si="0"/>
        <v>2006</v>
      </c>
      <c r="CZ2" s="91">
        <f>DA2-1</f>
        <v>2007</v>
      </c>
      <c r="DA2" s="91">
        <v>2008</v>
      </c>
      <c r="DB2" s="91">
        <f t="shared" ref="DB2:DG2" si="1">DA2+1</f>
        <v>2009</v>
      </c>
      <c r="DC2" s="91">
        <f t="shared" si="1"/>
        <v>2010</v>
      </c>
      <c r="DD2" s="91">
        <f t="shared" si="1"/>
        <v>2011</v>
      </c>
      <c r="DE2" s="91">
        <f t="shared" si="1"/>
        <v>2012</v>
      </c>
      <c r="DF2" s="91">
        <f t="shared" si="1"/>
        <v>2013</v>
      </c>
      <c r="DG2" s="91">
        <f t="shared" si="1"/>
        <v>2014</v>
      </c>
      <c r="DH2" s="91">
        <f>DG2+1</f>
        <v>2015</v>
      </c>
      <c r="DI2" s="91">
        <f>DH2+1</f>
        <v>2016</v>
      </c>
      <c r="DJ2" s="91">
        <f>DI2+1</f>
        <v>2017</v>
      </c>
      <c r="DK2" s="91">
        <f>DJ2+1</f>
        <v>2018</v>
      </c>
      <c r="DL2" s="91">
        <f t="shared" ref="DL2:DS2" si="2">DK2+1</f>
        <v>2019</v>
      </c>
      <c r="DM2" s="91">
        <f t="shared" si="2"/>
        <v>2020</v>
      </c>
      <c r="DN2" s="91">
        <f t="shared" si="2"/>
        <v>2021</v>
      </c>
      <c r="DO2" s="91">
        <f t="shared" si="2"/>
        <v>2022</v>
      </c>
      <c r="DP2" s="91">
        <f t="shared" si="2"/>
        <v>2023</v>
      </c>
      <c r="DQ2" s="91">
        <f t="shared" si="2"/>
        <v>2024</v>
      </c>
      <c r="DR2" s="91">
        <f t="shared" si="2"/>
        <v>2025</v>
      </c>
      <c r="DS2" s="91">
        <f t="shared" si="2"/>
        <v>2026</v>
      </c>
      <c r="DT2" s="129">
        <f>DS2+1</f>
        <v>2027</v>
      </c>
      <c r="DU2" s="129">
        <f t="shared" ref="DU2:DW2" si="3">DT2+1</f>
        <v>2028</v>
      </c>
      <c r="DV2" s="129">
        <f t="shared" si="3"/>
        <v>2029</v>
      </c>
      <c r="DW2" s="129">
        <f t="shared" si="3"/>
        <v>2030</v>
      </c>
      <c r="DX2" s="129">
        <f>DW2+1</f>
        <v>2031</v>
      </c>
      <c r="DY2" s="129">
        <f t="shared" ref="DY2:EB2" si="4">DX2+1</f>
        <v>2032</v>
      </c>
      <c r="DZ2" s="129">
        <f t="shared" si="4"/>
        <v>2033</v>
      </c>
      <c r="EA2" s="129">
        <f t="shared" si="4"/>
        <v>2034</v>
      </c>
      <c r="EB2" s="129">
        <f t="shared" si="4"/>
        <v>2035</v>
      </c>
    </row>
    <row r="3" spans="1:132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f t="shared" ref="CN3:CP3" si="5">+CJ3*1.2</f>
        <v>6302.4</v>
      </c>
      <c r="CO3" s="93">
        <f t="shared" si="5"/>
        <v>6511.2</v>
      </c>
      <c r="CP3" s="93">
        <f t="shared" si="5"/>
        <v>6540</v>
      </c>
      <c r="CQ3" s="93"/>
      <c r="CR3" s="93"/>
      <c r="CS3" s="93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>
        <f>SUM(BC3:BF3)</f>
        <v>54</v>
      </c>
      <c r="DH3" s="94">
        <f>SUM(BG3:BJ3)</f>
        <v>566</v>
      </c>
      <c r="DI3" s="94">
        <f>SUM(BK3:BN3)</f>
        <v>1402</v>
      </c>
      <c r="DJ3" s="94">
        <f>SUM(BO3:BR3)</f>
        <v>3809</v>
      </c>
      <c r="DK3" s="94">
        <f>SUM(BS3:BV3)</f>
        <v>7171</v>
      </c>
      <c r="DL3" s="94">
        <f t="shared" ref="DL3:DL5" si="6">SUM(BW3:BZ3)</f>
        <v>11084</v>
      </c>
      <c r="DM3" s="94">
        <f t="shared" ref="DM3:DM5" si="7">SUM(CA3:CD3)</f>
        <v>14380</v>
      </c>
      <c r="DN3" s="94">
        <f t="shared" ref="DN3:DN8" si="8">SUM(CE3:CH3)</f>
        <v>17186</v>
      </c>
      <c r="DO3" s="94">
        <f t="shared" ref="DO3:DO8" si="9">SUM(CI3:CL3)</f>
        <v>20937</v>
      </c>
      <c r="DP3" s="94">
        <f t="shared" ref="DP3:DP28" si="10">SUM(CM3:CP3)</f>
        <v>25148.6</v>
      </c>
      <c r="DQ3" s="94">
        <f>DP3*1.01</f>
        <v>25400.085999999999</v>
      </c>
      <c r="DR3" s="94">
        <f t="shared" ref="DR3:DU3" si="11">DQ3*1.01</f>
        <v>25654.086859999999</v>
      </c>
      <c r="DS3" s="94">
        <f t="shared" si="11"/>
        <v>25910.6277286</v>
      </c>
      <c r="DT3" s="94">
        <f t="shared" si="11"/>
        <v>26169.734005885999</v>
      </c>
      <c r="DU3" s="94">
        <f t="shared" si="11"/>
        <v>26431.43134594486</v>
      </c>
      <c r="DV3" s="94">
        <f>DU3*0.9</f>
        <v>23788.288211350377</v>
      </c>
      <c r="DW3" s="94">
        <f>DV3*0.8</f>
        <v>19030.630569080302</v>
      </c>
      <c r="DX3" s="92">
        <f>DW3*0.7</f>
        <v>13321.44139835621</v>
      </c>
      <c r="DY3" s="92">
        <f>DX3*0.6</f>
        <v>7992.8648390137259</v>
      </c>
      <c r="DZ3" s="92">
        <f t="shared" ref="DZ3:EB3" si="12">DY3*0.6</f>
        <v>4795.7189034082357</v>
      </c>
      <c r="EA3" s="92">
        <f t="shared" si="12"/>
        <v>2877.4313420449412</v>
      </c>
      <c r="EB3" s="92">
        <f t="shared" si="12"/>
        <v>1726.4588052269646</v>
      </c>
    </row>
    <row r="4" spans="1:132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f t="shared" ref="CN4:CP4" si="13">+CJ4*1.1</f>
        <v>302.5</v>
      </c>
      <c r="CO4" s="93">
        <f t="shared" si="13"/>
        <v>312.40000000000003</v>
      </c>
      <c r="CP4" s="93">
        <f t="shared" si="13"/>
        <v>321.20000000000005</v>
      </c>
      <c r="CQ4" s="93"/>
      <c r="CR4" s="93"/>
      <c r="CS4" s="93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>
        <f t="shared" ref="DJ4:DJ60" si="14">SUM(BO4:BR4)</f>
        <v>21</v>
      </c>
      <c r="DK4" s="94">
        <f t="shared" ref="DK4:DK60" si="15">SUM(BS4:BV4)</f>
        <v>188</v>
      </c>
      <c r="DL4" s="94">
        <f t="shared" si="6"/>
        <v>445</v>
      </c>
      <c r="DM4" s="94">
        <f t="shared" si="7"/>
        <v>725</v>
      </c>
      <c r="DN4" s="94">
        <f t="shared" si="8"/>
        <v>990</v>
      </c>
      <c r="DO4" s="94">
        <f t="shared" si="9"/>
        <v>1117</v>
      </c>
      <c r="DP4" s="94">
        <f t="shared" si="10"/>
        <v>1211.1000000000001</v>
      </c>
      <c r="DQ4" s="94">
        <f>DP4*0.9</f>
        <v>1089.9900000000002</v>
      </c>
      <c r="DR4" s="94">
        <f>DQ4*0.5</f>
        <v>544.99500000000012</v>
      </c>
      <c r="DS4" s="94">
        <f t="shared" ref="DS4:EB4" si="16">DR4*0.5</f>
        <v>272.49750000000006</v>
      </c>
      <c r="DT4" s="94">
        <f t="shared" si="16"/>
        <v>136.24875000000003</v>
      </c>
      <c r="DU4" s="94">
        <f t="shared" si="16"/>
        <v>68.124375000000015</v>
      </c>
      <c r="DV4" s="94">
        <f t="shared" si="16"/>
        <v>34.062187500000007</v>
      </c>
      <c r="DW4" s="94">
        <f t="shared" si="16"/>
        <v>17.031093750000004</v>
      </c>
      <c r="DX4" s="94">
        <f t="shared" si="16"/>
        <v>8.5155468750000018</v>
      </c>
      <c r="DY4" s="94">
        <f t="shared" si="16"/>
        <v>4.2577734375000009</v>
      </c>
      <c r="DZ4" s="94">
        <f t="shared" si="16"/>
        <v>2.1288867187500005</v>
      </c>
      <c r="EA4" s="94">
        <f t="shared" si="16"/>
        <v>1.0644433593750002</v>
      </c>
      <c r="EB4" s="94">
        <f t="shared" si="16"/>
        <v>0.53222167968750012</v>
      </c>
    </row>
    <row r="5" spans="1:132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f t="shared" ref="CN5" si="17">+CJ5*1.1</f>
        <v>254.10000000000002</v>
      </c>
      <c r="CO5" s="93">
        <f t="shared" ref="CO5" si="18">+CK5*1.1</f>
        <v>222.20000000000002</v>
      </c>
      <c r="CP5" s="93">
        <f t="shared" ref="CP5" si="19">+CL5*1.1</f>
        <v>237.60000000000002</v>
      </c>
      <c r="CQ5" s="93"/>
      <c r="CR5" s="93"/>
      <c r="CS5" s="93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>
        <f t="shared" si="15"/>
        <v>149</v>
      </c>
      <c r="DL5" s="94">
        <f t="shared" si="6"/>
        <v>404</v>
      </c>
      <c r="DM5" s="94">
        <f t="shared" si="7"/>
        <v>579</v>
      </c>
      <c r="DN5" s="94">
        <f t="shared" si="8"/>
        <v>705</v>
      </c>
      <c r="DO5" s="94">
        <f t="shared" si="9"/>
        <v>876</v>
      </c>
      <c r="DP5" s="94">
        <f t="shared" si="10"/>
        <v>945.90000000000009</v>
      </c>
      <c r="DQ5" s="94">
        <f>DP5*1.05</f>
        <v>993.19500000000016</v>
      </c>
      <c r="DR5" s="94">
        <f>DQ5*1.05</f>
        <v>1042.8547500000002</v>
      </c>
      <c r="DS5" s="94">
        <f>DR5*0.5</f>
        <v>521.4273750000001</v>
      </c>
      <c r="DT5" s="94">
        <f t="shared" ref="DT5:EB5" si="20">DS5*0.5</f>
        <v>260.71368750000005</v>
      </c>
      <c r="DU5" s="94">
        <f t="shared" si="20"/>
        <v>130.35684375000002</v>
      </c>
      <c r="DV5" s="94">
        <f t="shared" si="20"/>
        <v>65.178421875000012</v>
      </c>
      <c r="DW5" s="94">
        <f t="shared" si="20"/>
        <v>32.589210937500006</v>
      </c>
      <c r="DX5" s="94">
        <f t="shared" si="20"/>
        <v>16.294605468750003</v>
      </c>
      <c r="DY5" s="94">
        <f t="shared" si="20"/>
        <v>8.1473027343750015</v>
      </c>
      <c r="DZ5" s="94">
        <f t="shared" si="20"/>
        <v>4.0736513671875008</v>
      </c>
      <c r="EA5" s="94">
        <f t="shared" si="20"/>
        <v>2.0368256835937504</v>
      </c>
      <c r="EB5" s="94">
        <f t="shared" si="20"/>
        <v>1.0184128417968752</v>
      </c>
    </row>
    <row r="6" spans="1:132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f t="shared" ref="CN6:CP6" si="21">+CM6+20</f>
        <v>63</v>
      </c>
      <c r="CO6" s="93">
        <f t="shared" si="21"/>
        <v>83</v>
      </c>
      <c r="CP6" s="93">
        <f t="shared" si="21"/>
        <v>103</v>
      </c>
      <c r="CQ6" s="93"/>
      <c r="CR6" s="93"/>
      <c r="CS6" s="93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>
        <f t="shared" si="8"/>
        <v>17</v>
      </c>
      <c r="DO6" s="94">
        <f t="shared" si="9"/>
        <v>165</v>
      </c>
      <c r="DP6" s="94">
        <f t="shared" si="10"/>
        <v>292</v>
      </c>
      <c r="DQ6" s="94">
        <f>DP6*1.3</f>
        <v>379.6</v>
      </c>
      <c r="DR6" s="94">
        <f>DQ6*1.3</f>
        <v>493.48</v>
      </c>
      <c r="DS6" s="94">
        <f>DR6*1.3</f>
        <v>641.524</v>
      </c>
      <c r="DT6" s="94">
        <f>DS6*1.3</f>
        <v>833.98120000000006</v>
      </c>
      <c r="DU6" s="87">
        <f>DT6*1.05</f>
        <v>875.68026000000009</v>
      </c>
      <c r="DV6" s="87">
        <f t="shared" ref="DV6:EB6" si="22">DU6*1.05</f>
        <v>919.46427300000016</v>
      </c>
      <c r="DW6" s="87">
        <f t="shared" si="22"/>
        <v>965.43748665000021</v>
      </c>
      <c r="DX6" s="87">
        <f t="shared" si="22"/>
        <v>1013.7093609825002</v>
      </c>
      <c r="DY6" s="87">
        <f t="shared" si="22"/>
        <v>1064.3948290316252</v>
      </c>
      <c r="DZ6" s="87">
        <f t="shared" si="22"/>
        <v>1117.6145704832065</v>
      </c>
      <c r="EA6" s="87">
        <f t="shared" si="22"/>
        <v>1173.4952990073668</v>
      </c>
      <c r="EB6" s="87">
        <f t="shared" si="22"/>
        <v>1232.1700639577352</v>
      </c>
    </row>
    <row r="7" spans="1:132" s="92" customFormat="1" ht="12.75" customHeight="1">
      <c r="B7" s="46" t="s">
        <v>941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f>CM7+1</f>
        <v>43</v>
      </c>
      <c r="CO7" s="93">
        <f t="shared" ref="CO7:CP7" si="23">CN7+1</f>
        <v>44</v>
      </c>
      <c r="CP7" s="93">
        <f t="shared" si="23"/>
        <v>45</v>
      </c>
      <c r="CQ7" s="93"/>
      <c r="CR7" s="93"/>
      <c r="CS7" s="93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>
        <f t="shared" si="9"/>
        <v>123</v>
      </c>
      <c r="DP7" s="94">
        <f t="shared" si="10"/>
        <v>174</v>
      </c>
      <c r="DQ7" s="94">
        <f>DP7+50</f>
        <v>224</v>
      </c>
      <c r="DR7" s="94">
        <f>DQ7+50</f>
        <v>274</v>
      </c>
      <c r="DS7" s="94">
        <f>DR7*1.03</f>
        <v>282.22000000000003</v>
      </c>
      <c r="DT7" s="94">
        <f t="shared" ref="DT7:DZ7" si="24">DS7*1.03</f>
        <v>290.68660000000006</v>
      </c>
      <c r="DU7" s="94">
        <f t="shared" si="24"/>
        <v>299.40719800000005</v>
      </c>
      <c r="DV7" s="94">
        <f t="shared" si="24"/>
        <v>308.38941394000005</v>
      </c>
      <c r="DW7" s="94">
        <f t="shared" si="24"/>
        <v>317.64109635820006</v>
      </c>
      <c r="DX7" s="94">
        <f t="shared" si="24"/>
        <v>327.17032924894608</v>
      </c>
      <c r="DY7" s="94">
        <f t="shared" si="24"/>
        <v>336.98543912641446</v>
      </c>
      <c r="DZ7" s="94">
        <f t="shared" si="24"/>
        <v>347.09500230020689</v>
      </c>
      <c r="EA7" s="92">
        <f>DZ7*0.5</f>
        <v>173.54750115010344</v>
      </c>
      <c r="EB7" s="92">
        <f>EA7*0.5</f>
        <v>86.773750575051722</v>
      </c>
    </row>
    <row r="8" spans="1:132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f t="shared" ref="CN8:CP8" si="25">+CM8*0.7</f>
        <v>274.39999999999998</v>
      </c>
      <c r="CO8" s="94">
        <f t="shared" si="25"/>
        <v>192.07999999999998</v>
      </c>
      <c r="CP8" s="94">
        <f t="shared" si="25"/>
        <v>134.45599999999999</v>
      </c>
      <c r="CQ8" s="94"/>
      <c r="CR8" s="94"/>
      <c r="CS8" s="95"/>
      <c r="CT8" s="42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>
        <f t="shared" si="8"/>
        <v>952</v>
      </c>
      <c r="DO8" s="94">
        <f t="shared" si="9"/>
        <v>5685</v>
      </c>
      <c r="DP8" s="94">
        <f t="shared" si="10"/>
        <v>992.93600000000004</v>
      </c>
      <c r="DQ8" s="94">
        <f>DP8*0.5</f>
        <v>496.46800000000002</v>
      </c>
      <c r="DR8" s="94">
        <f t="shared" ref="DR8:EB8" si="26">DQ8*0.5</f>
        <v>248.23400000000001</v>
      </c>
      <c r="DS8" s="94">
        <f t="shared" si="26"/>
        <v>124.117</v>
      </c>
      <c r="DT8" s="94">
        <f t="shared" si="26"/>
        <v>62.058500000000002</v>
      </c>
      <c r="DU8" s="94">
        <f t="shared" si="26"/>
        <v>31.029250000000001</v>
      </c>
      <c r="DV8" s="94">
        <f t="shared" si="26"/>
        <v>15.514625000000001</v>
      </c>
      <c r="DW8" s="94">
        <f t="shared" si="26"/>
        <v>7.7573125000000003</v>
      </c>
      <c r="DX8" s="94">
        <f t="shared" si="26"/>
        <v>3.8786562500000001</v>
      </c>
      <c r="DY8" s="94">
        <f t="shared" si="26"/>
        <v>1.9393281250000001</v>
      </c>
      <c r="DZ8" s="94">
        <f t="shared" si="26"/>
        <v>0.96966406250000003</v>
      </c>
      <c r="EA8" s="94">
        <f t="shared" si="26"/>
        <v>0.48483203125000002</v>
      </c>
      <c r="EB8" s="94">
        <f t="shared" si="26"/>
        <v>0.24241601562500001</v>
      </c>
    </row>
    <row r="9" spans="1:132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f t="shared" ref="CN9:CP9" si="27">+CJ9*1.1</f>
        <v>1841.4</v>
      </c>
      <c r="CO9" s="94">
        <f t="shared" si="27"/>
        <v>2523.4</v>
      </c>
      <c r="CP9" s="94">
        <f t="shared" si="27"/>
        <v>1617.0000000000002</v>
      </c>
      <c r="CQ9" s="94"/>
      <c r="CR9" s="94"/>
      <c r="CS9" s="95"/>
      <c r="CT9" s="42" t="s">
        <v>442</v>
      </c>
      <c r="CU9" s="94" t="s">
        <v>442</v>
      </c>
      <c r="CV9" s="94" t="s">
        <v>442</v>
      </c>
      <c r="CW9" s="94">
        <f>SUM(O9:R9)</f>
        <v>0</v>
      </c>
      <c r="CX9" s="94">
        <f>SUM(S9:V9)</f>
        <v>0</v>
      </c>
      <c r="CY9" s="94">
        <f>SUM(W9:Z9)</f>
        <v>235</v>
      </c>
      <c r="CZ9" s="94">
        <f>SUM(AA9:AD9)</f>
        <v>1591</v>
      </c>
      <c r="DA9" s="94">
        <f>SUM(AE9:AH9)</f>
        <v>1528</v>
      </c>
      <c r="DB9" s="94">
        <f>SUM(AI9:AL9)</f>
        <v>1118</v>
      </c>
      <c r="DC9" s="94">
        <f>SUM(AM9:AP9)</f>
        <v>989</v>
      </c>
      <c r="DD9" s="94">
        <f t="shared" ref="DD9:DD14" si="28">SUM(AQ9:AT9)</f>
        <v>1210</v>
      </c>
      <c r="DE9" s="94">
        <f t="shared" ref="DE9:DE68" si="29">SUM(AU9:AX9)</f>
        <v>1631</v>
      </c>
      <c r="DF9" s="94">
        <f t="shared" ref="DF9:DF23" si="30">SUM(AY9:BB9)</f>
        <v>1832</v>
      </c>
      <c r="DG9" s="94">
        <f t="shared" ref="DG9:DG23" si="31">SUM(BC9:BF9)</f>
        <v>1738</v>
      </c>
      <c r="DH9" s="94">
        <f t="shared" ref="DH9:DH60" si="32">SUM(BG9:BJ9)</f>
        <v>1908</v>
      </c>
      <c r="DI9" s="94">
        <f t="shared" ref="DI9:DI60" si="33">SUM(BK9:BN9)</f>
        <v>2173</v>
      </c>
      <c r="DJ9" s="94">
        <f t="shared" si="14"/>
        <v>2309</v>
      </c>
      <c r="DK9" s="94">
        <f t="shared" si="15"/>
        <v>3151</v>
      </c>
      <c r="DL9" s="94">
        <f>SUM(BW9:BZ9)</f>
        <v>3737</v>
      </c>
      <c r="DM9" s="94">
        <f>SUM(CA9:CD9)</f>
        <v>3938</v>
      </c>
      <c r="DN9" s="94">
        <f>SUM(CE9:CH9)</f>
        <v>5672</v>
      </c>
      <c r="DO9" s="94">
        <f>SUM(CI9:CL9)</f>
        <v>6898</v>
      </c>
      <c r="DP9" s="94">
        <f t="shared" si="10"/>
        <v>7953.8</v>
      </c>
      <c r="DQ9" s="94">
        <f>DP9*1.01</f>
        <v>8033.3380000000006</v>
      </c>
      <c r="DR9" s="94">
        <f t="shared" ref="DR9:EB9" si="34">DQ9*1.01</f>
        <v>8113.6713800000007</v>
      </c>
      <c r="DS9" s="94">
        <f t="shared" si="34"/>
        <v>8194.8080938000003</v>
      </c>
      <c r="DT9" s="94">
        <f t="shared" si="34"/>
        <v>8276.7561747380005</v>
      </c>
      <c r="DU9" s="94">
        <f t="shared" si="34"/>
        <v>8359.5237364853801</v>
      </c>
      <c r="DV9" s="94">
        <f t="shared" si="34"/>
        <v>8443.1189738502344</v>
      </c>
      <c r="DW9" s="94">
        <f t="shared" si="34"/>
        <v>8527.5501635887376</v>
      </c>
      <c r="DX9" s="94">
        <f t="shared" si="34"/>
        <v>8612.8256652246255</v>
      </c>
      <c r="DY9" s="94">
        <f t="shared" si="34"/>
        <v>8698.9539218768714</v>
      </c>
      <c r="DZ9" s="94">
        <f t="shared" si="34"/>
        <v>8785.9434610956396</v>
      </c>
      <c r="EA9" s="94">
        <f t="shared" si="34"/>
        <v>8873.8028957065962</v>
      </c>
      <c r="EB9" s="94">
        <f t="shared" si="34"/>
        <v>8962.5409246636627</v>
      </c>
    </row>
    <row r="10" spans="1:132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f t="shared" ref="CN10:CP10" si="35">+CM10*0.95</f>
        <v>523.44999999999993</v>
      </c>
      <c r="CO10" s="94">
        <f t="shared" si="35"/>
        <v>497.27749999999992</v>
      </c>
      <c r="CP10" s="94">
        <f t="shared" si="35"/>
        <v>472.41362499999991</v>
      </c>
      <c r="CQ10" s="94"/>
      <c r="CR10" s="94"/>
      <c r="CS10" s="95"/>
      <c r="CT10" s="42" t="s">
        <v>442</v>
      </c>
      <c r="CU10" s="94" t="s">
        <v>442</v>
      </c>
      <c r="CV10" s="94" t="s">
        <v>442</v>
      </c>
      <c r="CW10" s="94">
        <f>SUM(O10:R10)</f>
        <v>0</v>
      </c>
      <c r="CX10" s="94">
        <f>SUM(S10:V10)</f>
        <v>0</v>
      </c>
      <c r="CY10" s="94">
        <f>SUM(W10:Z10)</f>
        <v>42</v>
      </c>
      <c r="CZ10" s="94">
        <f>SUM(AA10:AD10)</f>
        <v>616</v>
      </c>
      <c r="DA10" s="94">
        <f>SUM(AE10:AH10)</f>
        <v>985</v>
      </c>
      <c r="DB10" s="94">
        <f>SUM(AI10:AL10)</f>
        <v>1922</v>
      </c>
      <c r="DC10" s="94">
        <f t="shared" ref="DC10:DC17" si="36">SUM(AM10:AP10)</f>
        <v>2386</v>
      </c>
      <c r="DD10" s="94">
        <f t="shared" si="28"/>
        <v>3324</v>
      </c>
      <c r="DE10" s="94">
        <f t="shared" si="29"/>
        <v>4086</v>
      </c>
      <c r="DF10" s="94">
        <f t="shared" si="30"/>
        <v>4004</v>
      </c>
      <c r="DG10" s="94">
        <f t="shared" si="31"/>
        <v>3931</v>
      </c>
      <c r="DH10" s="94">
        <f t="shared" si="32"/>
        <v>3863</v>
      </c>
      <c r="DI10" s="94">
        <f t="shared" si="33"/>
        <v>3908</v>
      </c>
      <c r="DJ10" s="94">
        <f t="shared" si="14"/>
        <v>3737</v>
      </c>
      <c r="DK10" s="94">
        <f t="shared" si="15"/>
        <v>3686</v>
      </c>
      <c r="DL10" s="94">
        <f t="shared" ref="DL10:DL21" si="37">SUM(BW10:BZ10)</f>
        <v>3482</v>
      </c>
      <c r="DM10" s="94">
        <f t="shared" ref="DM10:DM21" si="38">SUM(CA10:CD10)</f>
        <v>3306</v>
      </c>
      <c r="DN10" s="94">
        <f t="shared" ref="DN10:DN21" si="39">SUM(CE10:CH10)</f>
        <v>3323</v>
      </c>
      <c r="DO10" s="94">
        <f t="shared" ref="DO10:DO21" si="40">SUM(CI10:CL10)</f>
        <v>2813</v>
      </c>
      <c r="DP10" s="94">
        <f t="shared" si="10"/>
        <v>2044.1411249999996</v>
      </c>
      <c r="DQ10" s="94">
        <f>+DP10*0.7</f>
        <v>1430.8987874999996</v>
      </c>
      <c r="DR10" s="94">
        <f>+DQ10*0.8</f>
        <v>1144.7190299999997</v>
      </c>
      <c r="DS10" s="94">
        <f>+DR10*0.8</f>
        <v>915.77522399999987</v>
      </c>
      <c r="DT10" s="92">
        <f>DS10*0.2</f>
        <v>183.15504479999998</v>
      </c>
      <c r="DU10" s="92">
        <f t="shared" ref="DU10:EB10" si="41">DT10*0.2</f>
        <v>36.631008959999996</v>
      </c>
      <c r="DV10" s="92">
        <f t="shared" si="41"/>
        <v>7.3262017919999991</v>
      </c>
      <c r="DW10" s="92">
        <f t="shared" si="41"/>
        <v>1.4652403584</v>
      </c>
      <c r="DX10" s="92">
        <f t="shared" si="41"/>
        <v>0.29304807168000002</v>
      </c>
      <c r="DY10" s="92">
        <f t="shared" si="41"/>
        <v>5.860961433600001E-2</v>
      </c>
      <c r="DZ10" s="92">
        <f t="shared" si="41"/>
        <v>1.1721922867200002E-2</v>
      </c>
      <c r="EA10" s="92">
        <f t="shared" si="41"/>
        <v>2.3443845734400005E-3</v>
      </c>
      <c r="EB10" s="92">
        <f t="shared" si="41"/>
        <v>4.6887691468800011E-4</v>
      </c>
    </row>
    <row r="11" spans="1:132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f t="shared" ref="CN11:CP11" si="42">+CM11*0.95</f>
        <v>312.55</v>
      </c>
      <c r="CO11" s="94">
        <f t="shared" si="42"/>
        <v>296.92250000000001</v>
      </c>
      <c r="CP11" s="94">
        <f t="shared" si="42"/>
        <v>282.07637499999998</v>
      </c>
      <c r="CQ11" s="94"/>
      <c r="CR11" s="94"/>
      <c r="CS11" s="95"/>
      <c r="CT11" s="42" t="s">
        <v>442</v>
      </c>
      <c r="CU11" s="94" t="s">
        <v>442</v>
      </c>
      <c r="CV11" s="94" t="s">
        <v>442</v>
      </c>
      <c r="CW11" s="94" t="s">
        <v>442</v>
      </c>
      <c r="CX11" s="94" t="s">
        <v>442</v>
      </c>
      <c r="CY11" s="94">
        <v>0</v>
      </c>
      <c r="CZ11" s="94">
        <f>SUM(AA11:AD11)</f>
        <v>73</v>
      </c>
      <c r="DA11" s="94">
        <f>SUM(AE11:AH11)</f>
        <v>231</v>
      </c>
      <c r="DB11" s="94">
        <f>SUM(AI11:AL11)</f>
        <v>658</v>
      </c>
      <c r="DC11" s="94">
        <f t="shared" si="36"/>
        <v>954</v>
      </c>
      <c r="DD11" s="94">
        <f t="shared" si="28"/>
        <v>1362</v>
      </c>
      <c r="DE11" s="94">
        <f t="shared" si="29"/>
        <v>1660</v>
      </c>
      <c r="DF11" s="94">
        <f t="shared" si="30"/>
        <v>1828</v>
      </c>
      <c r="DG11" s="94">
        <f t="shared" si="31"/>
        <v>2070</v>
      </c>
      <c r="DH11" s="94">
        <f t="shared" si="32"/>
        <v>2151</v>
      </c>
      <c r="DI11" s="94">
        <f t="shared" si="33"/>
        <v>2200</v>
      </c>
      <c r="DJ11" s="94">
        <f t="shared" si="14"/>
        <v>2158</v>
      </c>
      <c r="DK11" s="94">
        <f t="shared" si="15"/>
        <v>2227</v>
      </c>
      <c r="DL11" s="94">
        <f t="shared" si="37"/>
        <v>2041</v>
      </c>
      <c r="DM11" s="94">
        <f t="shared" si="38"/>
        <v>1971</v>
      </c>
      <c r="DN11" s="94">
        <f t="shared" si="39"/>
        <v>1964</v>
      </c>
      <c r="DO11" s="94">
        <f t="shared" si="40"/>
        <v>1700</v>
      </c>
      <c r="DP11" s="94">
        <f t="shared" si="10"/>
        <v>1220.548875</v>
      </c>
      <c r="DQ11" s="94">
        <f>+DP11*0.5</f>
        <v>610.27443749999998</v>
      </c>
      <c r="DR11" s="94">
        <f>+DQ11*0.5</f>
        <v>305.13721874999999</v>
      </c>
      <c r="DS11" s="94">
        <f>+DR11*0.5</f>
        <v>152.56860937499999</v>
      </c>
      <c r="DT11" s="92">
        <f t="shared" ref="DT11:EB11" si="43">DS11*0.2</f>
        <v>30.513721875000002</v>
      </c>
      <c r="DU11" s="92">
        <f t="shared" si="43"/>
        <v>6.1027443750000003</v>
      </c>
      <c r="DV11" s="92">
        <f t="shared" si="43"/>
        <v>1.2205488750000002</v>
      </c>
      <c r="DW11" s="92">
        <f t="shared" si="43"/>
        <v>0.24410977500000006</v>
      </c>
      <c r="DX11" s="92">
        <f t="shared" si="43"/>
        <v>4.8821955000000014E-2</v>
      </c>
      <c r="DY11" s="92">
        <f t="shared" si="43"/>
        <v>9.7643910000000042E-3</v>
      </c>
      <c r="DZ11" s="92">
        <f t="shared" si="43"/>
        <v>1.9528782000000008E-3</v>
      </c>
      <c r="EA11" s="92">
        <f t="shared" si="43"/>
        <v>3.905756400000002E-4</v>
      </c>
      <c r="EB11" s="92">
        <f t="shared" si="43"/>
        <v>7.8115128000000051E-5</v>
      </c>
    </row>
    <row r="12" spans="1:132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223-X9-X17-X42</f>
        <v>181</v>
      </c>
      <c r="Y12" s="94">
        <f>390-Y9-Y17-Y42</f>
        <v>248</v>
      </c>
      <c r="Z12" s="94">
        <f>482-Z9-Z17-Z42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f t="shared" ref="CN12:CP12" si="44">+CJ12</f>
        <v>578</v>
      </c>
      <c r="CO12" s="94">
        <f t="shared" si="44"/>
        <v>668</v>
      </c>
      <c r="CP12" s="94">
        <f t="shared" si="44"/>
        <v>526</v>
      </c>
      <c r="CQ12" s="94"/>
      <c r="CR12" s="94"/>
      <c r="CS12" s="48"/>
      <c r="CT12" s="42" t="s">
        <v>442</v>
      </c>
      <c r="CU12" s="94" t="s">
        <v>442</v>
      </c>
      <c r="CV12" s="94">
        <v>534</v>
      </c>
      <c r="CW12" s="94">
        <f>SUM(O12:R12)</f>
        <v>554</v>
      </c>
      <c r="CX12" s="94">
        <f>SUM(S12:V12)</f>
        <v>597</v>
      </c>
      <c r="CY12" s="94">
        <f>SUM(W12:Z12)</f>
        <v>821</v>
      </c>
      <c r="CZ12" s="94">
        <f>SUM(AA12:AD12)</f>
        <v>1446</v>
      </c>
      <c r="DA12" s="94">
        <f>SUM(AE12:AH12)</f>
        <v>1404</v>
      </c>
      <c r="DB12" s="94">
        <f>SUM(AI12:AL12)</f>
        <v>1369</v>
      </c>
      <c r="DC12" s="94">
        <f>SUM(AM12:AP12)</f>
        <v>1378</v>
      </c>
      <c r="DD12" s="94">
        <f t="shared" si="28"/>
        <v>1202</v>
      </c>
      <c r="DE12" s="94">
        <f t="shared" si="29"/>
        <v>1273</v>
      </c>
      <c r="DF12" s="94">
        <f t="shared" si="30"/>
        <v>1305</v>
      </c>
      <c r="DG12" s="94">
        <f t="shared" si="31"/>
        <v>1393</v>
      </c>
      <c r="DH12" s="94">
        <f t="shared" si="32"/>
        <v>1505</v>
      </c>
      <c r="DI12" s="94">
        <f t="shared" si="33"/>
        <v>1641</v>
      </c>
      <c r="DJ12" s="94">
        <f t="shared" si="14"/>
        <v>1676</v>
      </c>
      <c r="DK12" s="94">
        <f t="shared" si="15"/>
        <v>1798</v>
      </c>
      <c r="DL12" s="94">
        <f t="shared" si="37"/>
        <v>2275</v>
      </c>
      <c r="DM12" s="94">
        <f t="shared" si="38"/>
        <v>1877</v>
      </c>
      <c r="DN12" s="94">
        <f t="shared" si="39"/>
        <v>2135</v>
      </c>
      <c r="DO12" s="94">
        <f t="shared" si="40"/>
        <v>2242</v>
      </c>
      <c r="DP12" s="94">
        <f t="shared" si="10"/>
        <v>2300</v>
      </c>
      <c r="DQ12" s="94">
        <f t="shared" ref="DQ12:DS12" si="45">DP12*0.99</f>
        <v>2277</v>
      </c>
      <c r="DR12" s="94">
        <f t="shared" si="45"/>
        <v>2254.23</v>
      </c>
      <c r="DS12" s="94">
        <f t="shared" si="45"/>
        <v>2231.6876999999999</v>
      </c>
      <c r="DT12" s="94">
        <f t="shared" ref="DT12" si="46">DS12*0.99</f>
        <v>2209.3708229999997</v>
      </c>
      <c r="DU12" s="94">
        <f t="shared" ref="DU12" si="47">DT12*0.99</f>
        <v>2187.2771147699996</v>
      </c>
      <c r="DV12" s="94">
        <f t="shared" ref="DV12" si="48">DU12*0.99</f>
        <v>2165.4043436222996</v>
      </c>
      <c r="DW12" s="94">
        <f t="shared" ref="DW12" si="49">DV12*0.99</f>
        <v>2143.7503001860764</v>
      </c>
      <c r="DX12" s="94">
        <f t="shared" ref="DX12" si="50">DW12*0.99</f>
        <v>2122.3127971842155</v>
      </c>
      <c r="DY12" s="94">
        <f t="shared" ref="DY12" si="51">DX12*0.99</f>
        <v>2101.0896692123733</v>
      </c>
      <c r="DZ12" s="94">
        <f t="shared" ref="DZ12" si="52">DY12*0.99</f>
        <v>2080.0787725202495</v>
      </c>
      <c r="EA12" s="94">
        <f t="shared" ref="EA12" si="53">DZ12*0.99</f>
        <v>2059.2779847950469</v>
      </c>
      <c r="EB12" s="94">
        <f t="shared" ref="EB12" si="54">EA12*0.99</f>
        <v>2038.6852049470965</v>
      </c>
    </row>
    <row r="13" spans="1:132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f t="shared" ref="CN13:CP13" si="55">+CJ13*1.1</f>
        <v>468.6</v>
      </c>
      <c r="CO13" s="94">
        <f t="shared" si="55"/>
        <v>465.3</v>
      </c>
      <c r="CP13" s="94">
        <f t="shared" si="55"/>
        <v>485.1</v>
      </c>
      <c r="CQ13" s="94"/>
      <c r="CR13" s="94"/>
      <c r="CS13" s="49"/>
      <c r="CT13" s="9"/>
      <c r="CU13" s="94"/>
      <c r="CV13" s="94"/>
      <c r="CW13" s="94"/>
      <c r="CX13" s="94"/>
      <c r="CY13" s="94"/>
      <c r="CZ13" s="94"/>
      <c r="DA13" s="94"/>
      <c r="DB13" s="94"/>
      <c r="DC13" s="94"/>
      <c r="DD13" s="94">
        <f t="shared" si="28"/>
        <v>200</v>
      </c>
      <c r="DE13" s="94">
        <f t="shared" si="29"/>
        <v>261</v>
      </c>
      <c r="DF13" s="94">
        <f t="shared" si="30"/>
        <v>289</v>
      </c>
      <c r="DG13" s="94">
        <f t="shared" si="31"/>
        <v>340</v>
      </c>
      <c r="DH13" s="94">
        <f t="shared" si="32"/>
        <v>353</v>
      </c>
      <c r="DI13" s="94">
        <f t="shared" si="33"/>
        <v>481</v>
      </c>
      <c r="DJ13" s="94">
        <f t="shared" si="14"/>
        <v>705</v>
      </c>
      <c r="DK13" s="94">
        <f t="shared" si="15"/>
        <v>917</v>
      </c>
      <c r="DL13" s="94">
        <f t="shared" si="37"/>
        <v>1130</v>
      </c>
      <c r="DM13" s="94">
        <f t="shared" si="38"/>
        <v>1198</v>
      </c>
      <c r="DN13" s="94">
        <f t="shared" si="39"/>
        <v>1532</v>
      </c>
      <c r="DO13" s="94">
        <f t="shared" si="40"/>
        <v>1685</v>
      </c>
      <c r="DP13" s="94">
        <f t="shared" si="10"/>
        <v>1906</v>
      </c>
      <c r="DQ13" s="94">
        <f>DP13*1.02</f>
        <v>1944.1200000000001</v>
      </c>
      <c r="DR13" s="94">
        <f>DQ13*1.02</f>
        <v>1983.0024000000001</v>
      </c>
      <c r="DS13" s="94">
        <f>DR13*0.5</f>
        <v>991.50120000000004</v>
      </c>
      <c r="DT13" s="94">
        <f>DS13*0.5</f>
        <v>495.75060000000002</v>
      </c>
      <c r="DU13" s="94">
        <f t="shared" ref="DU13:EB13" si="56">DT13*0.5</f>
        <v>247.87530000000001</v>
      </c>
      <c r="DV13" s="94">
        <f t="shared" si="56"/>
        <v>123.93765</v>
      </c>
      <c r="DW13" s="94">
        <f t="shared" si="56"/>
        <v>61.968825000000002</v>
      </c>
      <c r="DX13" s="94">
        <f t="shared" si="56"/>
        <v>30.984412500000001</v>
      </c>
      <c r="DY13" s="94">
        <f t="shared" si="56"/>
        <v>15.492206250000001</v>
      </c>
      <c r="DZ13" s="94">
        <f t="shared" si="56"/>
        <v>7.7461031250000003</v>
      </c>
      <c r="EA13" s="94">
        <f t="shared" si="56"/>
        <v>3.8730515625000002</v>
      </c>
      <c r="EB13" s="94">
        <f t="shared" si="56"/>
        <v>1.9365257812500001</v>
      </c>
    </row>
    <row r="14" spans="1:132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f t="shared" ref="CN14" si="57">+CJ14*0.9</f>
        <v>132.30000000000001</v>
      </c>
      <c r="CO14" s="94">
        <f t="shared" ref="CO14" si="58">+CK14*0.9</f>
        <v>144.9</v>
      </c>
      <c r="CP14" s="94">
        <f t="shared" ref="CP14" si="59">+CL14*0.9</f>
        <v>150.30000000000001</v>
      </c>
      <c r="CQ14" s="94"/>
      <c r="CR14" s="94"/>
      <c r="CS14" s="48"/>
      <c r="CT14" s="42" t="s">
        <v>442</v>
      </c>
      <c r="CU14" s="94" t="s">
        <v>442</v>
      </c>
      <c r="CV14" s="94" t="s">
        <v>442</v>
      </c>
      <c r="CW14" s="94" t="s">
        <v>442</v>
      </c>
      <c r="CX14" s="94" t="s">
        <v>442</v>
      </c>
      <c r="CY14" s="94" t="s">
        <v>442</v>
      </c>
      <c r="CZ14" s="94" t="s">
        <v>442</v>
      </c>
      <c r="DA14" s="94">
        <f>SUM(AE14:AH14)</f>
        <v>348</v>
      </c>
      <c r="DB14" s="94">
        <f>SUM(AI14:AL14)</f>
        <v>751</v>
      </c>
      <c r="DC14" s="94">
        <f t="shared" si="36"/>
        <v>1090</v>
      </c>
      <c r="DD14" s="94">
        <f t="shared" si="28"/>
        <v>1359</v>
      </c>
      <c r="DE14" s="94">
        <f t="shared" si="29"/>
        <v>1515</v>
      </c>
      <c r="DF14" s="94">
        <f t="shared" si="30"/>
        <v>1643</v>
      </c>
      <c r="DG14" s="94">
        <f t="shared" si="31"/>
        <v>1673</v>
      </c>
      <c r="DH14" s="94">
        <f t="shared" si="32"/>
        <v>1511</v>
      </c>
      <c r="DI14" s="94">
        <f t="shared" si="33"/>
        <v>1387</v>
      </c>
      <c r="DJ14" s="94">
        <f t="shared" si="14"/>
        <v>1205</v>
      </c>
      <c r="DK14" s="94">
        <f t="shared" si="15"/>
        <v>1141</v>
      </c>
      <c r="DL14" s="94">
        <f t="shared" si="37"/>
        <v>975</v>
      </c>
      <c r="DM14" s="94">
        <f t="shared" si="38"/>
        <v>857</v>
      </c>
      <c r="DN14" s="94">
        <f t="shared" si="39"/>
        <v>768</v>
      </c>
      <c r="DO14" s="94">
        <f t="shared" si="40"/>
        <v>633</v>
      </c>
      <c r="DP14" s="94">
        <f t="shared" si="10"/>
        <v>550.5</v>
      </c>
      <c r="DQ14" s="94">
        <f t="shared" ref="DQ14:DS14" si="60">+DP14*0.5</f>
        <v>275.25</v>
      </c>
      <c r="DR14" s="94">
        <f t="shared" si="60"/>
        <v>137.625</v>
      </c>
      <c r="DS14" s="94">
        <f t="shared" si="60"/>
        <v>68.8125</v>
      </c>
      <c r="DT14" s="94">
        <f t="shared" ref="DT14" si="61">+DS14*0.5</f>
        <v>34.40625</v>
      </c>
      <c r="DU14" s="94">
        <f t="shared" ref="DU14" si="62">+DT14*0.5</f>
        <v>17.203125</v>
      </c>
      <c r="DV14" s="94">
        <f t="shared" ref="DV14" si="63">+DU14*0.5</f>
        <v>8.6015625</v>
      </c>
      <c r="DW14" s="94">
        <f t="shared" ref="DW14" si="64">+DV14*0.5</f>
        <v>4.30078125</v>
      </c>
      <c r="DX14" s="94">
        <f t="shared" ref="DX14" si="65">+DW14*0.5</f>
        <v>2.150390625</v>
      </c>
      <c r="DY14" s="94">
        <f t="shared" ref="DY14" si="66">+DX14*0.5</f>
        <v>1.0751953125</v>
      </c>
      <c r="DZ14" s="94">
        <f t="shared" ref="DZ14" si="67">+DY14*0.5</f>
        <v>0.53759765625</v>
      </c>
      <c r="EA14" s="94">
        <f t="shared" ref="EA14" si="68">+DZ14*0.5</f>
        <v>0.268798828125</v>
      </c>
      <c r="EB14" s="94">
        <f t="shared" ref="EB14" si="69">+EA14*0.5</f>
        <v>0.1343994140625</v>
      </c>
    </row>
    <row r="15" spans="1:132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f t="shared" ref="CN15" si="70">+CJ15*0.9</f>
        <v>62.1</v>
      </c>
      <c r="CO15" s="94">
        <f t="shared" ref="CO15" si="71">+CK15*0.9</f>
        <v>55.800000000000004</v>
      </c>
      <c r="CP15" s="94">
        <f t="shared" ref="CP15" si="72">+CL15*0.9</f>
        <v>53.1</v>
      </c>
      <c r="CQ15" s="94"/>
      <c r="CR15" s="94"/>
      <c r="CS15" s="48"/>
      <c r="CT15" s="42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>
        <f t="shared" si="14"/>
        <v>210</v>
      </c>
      <c r="DK15" s="94">
        <f t="shared" si="15"/>
        <v>260</v>
      </c>
      <c r="DL15" s="94">
        <f t="shared" si="37"/>
        <v>306</v>
      </c>
      <c r="DM15" s="94">
        <f t="shared" si="38"/>
        <v>327</v>
      </c>
      <c r="DN15" s="94">
        <f t="shared" si="39"/>
        <v>318</v>
      </c>
      <c r="DO15" s="94">
        <f t="shared" si="40"/>
        <v>259</v>
      </c>
      <c r="DP15" s="94">
        <f t="shared" si="10"/>
        <v>227</v>
      </c>
      <c r="DQ15" s="94">
        <f>DP15*0.9</f>
        <v>204.3</v>
      </c>
      <c r="DR15" s="94">
        <f t="shared" ref="DR15:DW15" si="73">DQ15*0.9</f>
        <v>183.87</v>
      </c>
      <c r="DS15" s="94">
        <f t="shared" si="73"/>
        <v>165.483</v>
      </c>
      <c r="DT15" s="94">
        <f t="shared" si="73"/>
        <v>148.93470000000002</v>
      </c>
      <c r="DU15" s="94">
        <f t="shared" si="73"/>
        <v>134.04123000000001</v>
      </c>
      <c r="DV15" s="94">
        <f t="shared" si="73"/>
        <v>120.63710700000001</v>
      </c>
      <c r="DW15" s="94">
        <f t="shared" si="73"/>
        <v>108.57339630000001</v>
      </c>
      <c r="DX15" s="94">
        <f t="shared" ref="DX15:EB15" si="74">DW15*0.9</f>
        <v>97.716056670000015</v>
      </c>
      <c r="DY15" s="94">
        <f t="shared" si="74"/>
        <v>87.944451003000012</v>
      </c>
      <c r="DZ15" s="94">
        <f t="shared" si="74"/>
        <v>79.150005902700016</v>
      </c>
      <c r="EA15" s="94">
        <f t="shared" si="74"/>
        <v>71.235005312430019</v>
      </c>
      <c r="EB15" s="94">
        <f t="shared" si="74"/>
        <v>64.111504781187023</v>
      </c>
    </row>
    <row r="16" spans="1:132" s="41" customFormat="1" ht="12.75" customHeight="1">
      <c r="B16" s="46" t="s">
        <v>942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f>CM16+5</f>
        <v>111</v>
      </c>
      <c r="CO16" s="94">
        <f>CN16+5</f>
        <v>116</v>
      </c>
      <c r="CP16" s="94">
        <f>CO16+5</f>
        <v>121</v>
      </c>
      <c r="CQ16" s="94"/>
      <c r="CR16" s="94"/>
      <c r="CS16" s="48"/>
      <c r="CT16" s="42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>
        <f t="shared" si="40"/>
        <v>171</v>
      </c>
      <c r="DP16" s="94">
        <f t="shared" si="10"/>
        <v>454</v>
      </c>
      <c r="DQ16" s="94">
        <f>DP16*1.3</f>
        <v>590.20000000000005</v>
      </c>
      <c r="DR16" s="94">
        <f>DQ16*1.2</f>
        <v>708.24</v>
      </c>
      <c r="DS16" s="94">
        <f>DR16*1.15</f>
        <v>814.476</v>
      </c>
      <c r="DT16" s="92">
        <f>DS16*1.1</f>
        <v>895.92360000000008</v>
      </c>
      <c r="DU16" s="87">
        <f>DT16*1.03</f>
        <v>922.80130800000006</v>
      </c>
      <c r="DV16" s="87">
        <f t="shared" ref="DV16:EB16" si="75">DU16*1.03</f>
        <v>950.48534724000012</v>
      </c>
      <c r="DW16" s="87">
        <f t="shared" si="75"/>
        <v>978.9999076572002</v>
      </c>
      <c r="DX16" s="87">
        <f t="shared" si="75"/>
        <v>1008.3699048869162</v>
      </c>
      <c r="DY16" s="87">
        <f t="shared" si="75"/>
        <v>1038.6210020335236</v>
      </c>
      <c r="DZ16" s="87">
        <f t="shared" si="75"/>
        <v>1069.7796320945292</v>
      </c>
      <c r="EA16" s="87">
        <f t="shared" si="75"/>
        <v>1101.8730210573651</v>
      </c>
      <c r="EB16" s="87">
        <f t="shared" si="75"/>
        <v>1134.9292116890861</v>
      </c>
    </row>
    <row r="17" spans="2:132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f>+CJ17*1.1</f>
        <v>190.3</v>
      </c>
      <c r="CO17" s="94">
        <f>+CK17*1.1</f>
        <v>281.60000000000002</v>
      </c>
      <c r="CP17" s="94">
        <f>+CL17*1.1</f>
        <v>152.9</v>
      </c>
      <c r="CQ17" s="94"/>
      <c r="CR17" s="94"/>
      <c r="CS17" s="48"/>
      <c r="CT17" s="42" t="s">
        <v>442</v>
      </c>
      <c r="CU17" s="94" t="s">
        <v>442</v>
      </c>
      <c r="CV17" s="94" t="s">
        <v>442</v>
      </c>
      <c r="CW17" s="94">
        <f>SUM(O17:R17)</f>
        <v>0</v>
      </c>
      <c r="CX17" s="94">
        <f>SUM(S17:V17)</f>
        <v>0</v>
      </c>
      <c r="CY17" s="94">
        <f>SUM(W17:Z17)</f>
        <v>162</v>
      </c>
      <c r="CZ17" s="94">
        <f>SUM(AA17:AD17)</f>
        <v>565</v>
      </c>
      <c r="DA17" s="94">
        <f>SUM(AE17:AH17)</f>
        <v>646</v>
      </c>
      <c r="DB17" s="94">
        <f>SUM(AI17:AL17)</f>
        <v>522</v>
      </c>
      <c r="DC17" s="94">
        <f t="shared" si="36"/>
        <v>520</v>
      </c>
      <c r="DD17" s="94">
        <f t="shared" ref="DD17:DD84" si="76">SUM(AQ17:AT17)</f>
        <v>652</v>
      </c>
      <c r="DE17" s="94">
        <f t="shared" si="29"/>
        <v>602</v>
      </c>
      <c r="DF17" s="94">
        <f t="shared" si="30"/>
        <v>636</v>
      </c>
      <c r="DG17" s="94">
        <f t="shared" si="31"/>
        <v>659</v>
      </c>
      <c r="DH17" s="94">
        <f t="shared" si="32"/>
        <v>610</v>
      </c>
      <c r="DI17" s="94">
        <f t="shared" si="33"/>
        <v>651</v>
      </c>
      <c r="DJ17" s="94">
        <f t="shared" si="14"/>
        <v>686</v>
      </c>
      <c r="DK17" s="94">
        <f t="shared" si="15"/>
        <v>728</v>
      </c>
      <c r="DL17" s="94">
        <f t="shared" si="37"/>
        <v>790</v>
      </c>
      <c r="DM17" s="94">
        <f t="shared" si="38"/>
        <v>796</v>
      </c>
      <c r="DN17" s="94">
        <f t="shared" si="39"/>
        <v>806</v>
      </c>
      <c r="DO17" s="94">
        <f t="shared" si="40"/>
        <v>784</v>
      </c>
      <c r="DP17" s="94">
        <f t="shared" si="10"/>
        <v>921.80000000000007</v>
      </c>
      <c r="DQ17" s="94">
        <f>DP17*1.02</f>
        <v>940.2360000000001</v>
      </c>
      <c r="DR17" s="94">
        <f>DQ17*1.02</f>
        <v>959.04072000000008</v>
      </c>
      <c r="DS17" s="94">
        <f>DR17*1.02</f>
        <v>978.22153440000011</v>
      </c>
      <c r="DT17" s="94">
        <f t="shared" ref="DT17:EB17" si="77">DS17*1.02</f>
        <v>997.78596508800013</v>
      </c>
      <c r="DU17" s="94">
        <f t="shared" si="77"/>
        <v>1017.7416843897602</v>
      </c>
      <c r="DV17" s="94">
        <f t="shared" si="77"/>
        <v>1038.0965180775554</v>
      </c>
      <c r="DW17" s="94">
        <f t="shared" si="77"/>
        <v>1058.8584484391065</v>
      </c>
      <c r="DX17" s="94">
        <f t="shared" si="77"/>
        <v>1080.0356174078886</v>
      </c>
      <c r="DY17" s="94">
        <f t="shared" si="77"/>
        <v>1101.6363297560463</v>
      </c>
      <c r="DZ17" s="94">
        <f t="shared" si="77"/>
        <v>1123.6690563511672</v>
      </c>
      <c r="EA17" s="94">
        <f t="shared" si="77"/>
        <v>1146.1424374781907</v>
      </c>
      <c r="EB17" s="94">
        <f t="shared" si="77"/>
        <v>1169.0652862277545</v>
      </c>
    </row>
    <row r="18" spans="2:132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f t="shared" ref="CN18" si="78">+CJ18*0.9</f>
        <v>162.9</v>
      </c>
      <c r="CO18" s="94">
        <f t="shared" ref="CO18" si="79">+CK18*0.9</f>
        <v>155.70000000000002</v>
      </c>
      <c r="CP18" s="94">
        <f t="shared" ref="CP18" si="80">+CL18*0.9</f>
        <v>149.4</v>
      </c>
      <c r="CQ18" s="94"/>
      <c r="CR18" s="94"/>
      <c r="CS18" s="48"/>
      <c r="CT18" s="42"/>
      <c r="CU18" s="93"/>
      <c r="CV18" s="94"/>
      <c r="CW18" s="94"/>
      <c r="CX18" s="94"/>
      <c r="CY18" s="94"/>
      <c r="CZ18" s="94"/>
      <c r="DA18" s="94"/>
      <c r="DB18" s="94"/>
      <c r="DC18" s="94"/>
      <c r="DD18" s="94">
        <f t="shared" si="76"/>
        <v>264</v>
      </c>
      <c r="DE18" s="94">
        <f t="shared" si="29"/>
        <v>331</v>
      </c>
      <c r="DF18" s="94">
        <f t="shared" si="30"/>
        <v>500</v>
      </c>
      <c r="DG18" s="94">
        <f t="shared" si="31"/>
        <v>689</v>
      </c>
      <c r="DH18" s="94">
        <f t="shared" si="32"/>
        <v>690</v>
      </c>
      <c r="DI18" s="94">
        <f t="shared" si="33"/>
        <v>766</v>
      </c>
      <c r="DJ18" s="94">
        <f t="shared" si="14"/>
        <v>819</v>
      </c>
      <c r="DK18" s="94">
        <f t="shared" si="15"/>
        <v>894</v>
      </c>
      <c r="DL18" s="94">
        <f t="shared" si="37"/>
        <v>830</v>
      </c>
      <c r="DM18" s="94">
        <f t="shared" si="38"/>
        <v>838</v>
      </c>
      <c r="DN18" s="94">
        <f t="shared" si="39"/>
        <v>825</v>
      </c>
      <c r="DO18" s="94">
        <f t="shared" si="40"/>
        <v>706</v>
      </c>
      <c r="DP18" s="94">
        <f t="shared" si="10"/>
        <v>648</v>
      </c>
      <c r="DQ18" s="94">
        <f>DP18*0.9</f>
        <v>583.20000000000005</v>
      </c>
      <c r="DR18" s="94">
        <f t="shared" ref="DR18:EB18" si="81">DQ18*0.9</f>
        <v>524.88000000000011</v>
      </c>
      <c r="DS18" s="94">
        <f t="shared" si="81"/>
        <v>472.39200000000011</v>
      </c>
      <c r="DT18" s="94">
        <f t="shared" si="81"/>
        <v>425.15280000000013</v>
      </c>
      <c r="DU18" s="94">
        <f t="shared" si="81"/>
        <v>382.63752000000011</v>
      </c>
      <c r="DV18" s="94">
        <f t="shared" si="81"/>
        <v>344.3737680000001</v>
      </c>
      <c r="DW18" s="94">
        <f t="shared" si="81"/>
        <v>309.93639120000012</v>
      </c>
      <c r="DX18" s="94">
        <f t="shared" si="81"/>
        <v>278.9427520800001</v>
      </c>
      <c r="DY18" s="94">
        <f t="shared" si="81"/>
        <v>251.04847687200009</v>
      </c>
      <c r="DZ18" s="94">
        <f t="shared" si="81"/>
        <v>225.9436291848001</v>
      </c>
      <c r="EA18" s="94">
        <f t="shared" si="81"/>
        <v>203.34926626632009</v>
      </c>
      <c r="EB18" s="94">
        <f t="shared" si="81"/>
        <v>183.01433963968807</v>
      </c>
    </row>
    <row r="19" spans="2:132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f t="shared" ref="CN19:CP19" si="82">+CM19+5</f>
        <v>134</v>
      </c>
      <c r="CO19" s="94">
        <f t="shared" si="82"/>
        <v>139</v>
      </c>
      <c r="CP19" s="94">
        <f t="shared" si="82"/>
        <v>144</v>
      </c>
      <c r="CQ19" s="94"/>
      <c r="CR19" s="94"/>
      <c r="CS19" s="48"/>
      <c r="CT19" s="42"/>
      <c r="CU19" s="93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>
        <f t="shared" si="37"/>
        <v>165</v>
      </c>
      <c r="DM19" s="94">
        <f t="shared" si="38"/>
        <v>280</v>
      </c>
      <c r="DN19" s="94">
        <f t="shared" si="39"/>
        <v>371</v>
      </c>
      <c r="DO19" s="94">
        <f t="shared" si="40"/>
        <v>429</v>
      </c>
      <c r="DP19" s="94">
        <f t="shared" si="10"/>
        <v>546</v>
      </c>
      <c r="DQ19" s="94">
        <f t="shared" ref="DQ19:EB19" si="83">DP19*0.9</f>
        <v>491.40000000000003</v>
      </c>
      <c r="DR19" s="94">
        <f t="shared" si="83"/>
        <v>442.26000000000005</v>
      </c>
      <c r="DS19" s="94">
        <f t="shared" si="83"/>
        <v>398.03400000000005</v>
      </c>
      <c r="DT19" s="94">
        <f t="shared" si="83"/>
        <v>358.23060000000004</v>
      </c>
      <c r="DU19" s="94">
        <f t="shared" si="83"/>
        <v>322.40754000000004</v>
      </c>
      <c r="DV19" s="94">
        <f t="shared" si="83"/>
        <v>290.16678600000006</v>
      </c>
      <c r="DW19" s="94">
        <f t="shared" si="83"/>
        <v>261.15010740000008</v>
      </c>
      <c r="DX19" s="94">
        <f t="shared" si="83"/>
        <v>235.03509666000008</v>
      </c>
      <c r="DY19" s="94">
        <f t="shared" si="83"/>
        <v>211.53158699400007</v>
      </c>
      <c r="DZ19" s="94">
        <f t="shared" si="83"/>
        <v>190.37842829460007</v>
      </c>
      <c r="EA19" s="94">
        <f t="shared" si="83"/>
        <v>171.34058546514007</v>
      </c>
      <c r="EB19" s="94">
        <f t="shared" si="83"/>
        <v>154.20652691862605</v>
      </c>
    </row>
    <row r="20" spans="2:132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f t="shared" ref="CN20" si="84">+CJ20</f>
        <v>66</v>
      </c>
      <c r="CO20" s="94">
        <f t="shared" ref="CO20" si="85">+CK20</f>
        <v>77</v>
      </c>
      <c r="CP20" s="94">
        <f t="shared" ref="CP20" si="86">+CL20</f>
        <v>67</v>
      </c>
      <c r="CQ20" s="94"/>
      <c r="CR20" s="94"/>
      <c r="CS20" s="49"/>
      <c r="CT20" s="9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>
        <f t="shared" si="39"/>
        <v>175</v>
      </c>
      <c r="DO20" s="94">
        <f t="shared" si="40"/>
        <v>262</v>
      </c>
      <c r="DP20" s="94">
        <f t="shared" si="10"/>
        <v>275</v>
      </c>
      <c r="DQ20" s="94">
        <f t="shared" ref="DQ20:DW20" si="87">DP20*0.9</f>
        <v>247.5</v>
      </c>
      <c r="DR20" s="94">
        <f t="shared" si="87"/>
        <v>222.75</v>
      </c>
      <c r="DS20" s="94">
        <f t="shared" si="87"/>
        <v>200.47499999999999</v>
      </c>
      <c r="DT20" s="94">
        <f t="shared" si="87"/>
        <v>180.42750000000001</v>
      </c>
      <c r="DU20" s="94">
        <f t="shared" si="87"/>
        <v>162.38475000000003</v>
      </c>
      <c r="DV20" s="94">
        <f t="shared" si="87"/>
        <v>146.14627500000003</v>
      </c>
      <c r="DW20" s="94">
        <f t="shared" si="87"/>
        <v>131.53164750000002</v>
      </c>
      <c r="DX20" s="94">
        <f t="shared" ref="DX20:EB20" si="88">DW20*0.9</f>
        <v>118.37848275000002</v>
      </c>
      <c r="DY20" s="94">
        <f t="shared" si="88"/>
        <v>106.54063447500002</v>
      </c>
      <c r="DZ20" s="94">
        <f t="shared" si="88"/>
        <v>95.886571027500025</v>
      </c>
      <c r="EA20" s="94">
        <f t="shared" si="88"/>
        <v>86.29791392475002</v>
      </c>
      <c r="EB20" s="94">
        <f t="shared" si="88"/>
        <v>77.668122532275021</v>
      </c>
    </row>
    <row r="21" spans="2:132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f t="shared" ref="CN21:CP21" si="89">+CM21</f>
        <v>50</v>
      </c>
      <c r="CO21" s="94">
        <f t="shared" si="89"/>
        <v>50</v>
      </c>
      <c r="CP21" s="94">
        <f t="shared" si="89"/>
        <v>50</v>
      </c>
      <c r="CQ21" s="94"/>
      <c r="CR21" s="94"/>
      <c r="CS21" s="49"/>
      <c r="CT21" s="9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>
        <f t="shared" si="37"/>
        <v>120</v>
      </c>
      <c r="DM21" s="94">
        <f t="shared" si="38"/>
        <v>131</v>
      </c>
      <c r="DN21" s="94">
        <f t="shared" si="39"/>
        <v>-1</v>
      </c>
      <c r="DO21" s="94">
        <f t="shared" si="40"/>
        <v>168</v>
      </c>
      <c r="DP21" s="94">
        <f t="shared" si="10"/>
        <v>200</v>
      </c>
      <c r="DQ21" s="94">
        <f>DP21*0.9</f>
        <v>180</v>
      </c>
      <c r="DR21" s="94">
        <f t="shared" ref="DR21:DW21" si="90">DQ21*0.9</f>
        <v>162</v>
      </c>
      <c r="DS21" s="94">
        <f t="shared" si="90"/>
        <v>145.80000000000001</v>
      </c>
      <c r="DT21" s="94">
        <f t="shared" si="90"/>
        <v>131.22000000000003</v>
      </c>
      <c r="DU21" s="94">
        <f t="shared" si="90"/>
        <v>118.09800000000003</v>
      </c>
      <c r="DV21" s="94">
        <f t="shared" si="90"/>
        <v>106.28820000000003</v>
      </c>
      <c r="DW21" s="94">
        <f t="shared" si="90"/>
        <v>95.659380000000027</v>
      </c>
      <c r="DX21" s="94">
        <f t="shared" ref="DX21:EB21" si="91">DW21*0.9</f>
        <v>86.093442000000024</v>
      </c>
      <c r="DY21" s="94">
        <f t="shared" si="91"/>
        <v>77.484097800000029</v>
      </c>
      <c r="DZ21" s="94">
        <f t="shared" si="91"/>
        <v>69.735688020000026</v>
      </c>
      <c r="EA21" s="94">
        <f t="shared" si="91"/>
        <v>62.762119218000024</v>
      </c>
      <c r="EB21" s="94">
        <f t="shared" si="91"/>
        <v>56.485907296200025</v>
      </c>
    </row>
    <row r="22" spans="2:132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2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f t="shared" ref="CN22:CP22" si="92">+CJ22*0.9</f>
        <v>47.7</v>
      </c>
      <c r="CO22" s="94">
        <f t="shared" si="92"/>
        <v>44.1</v>
      </c>
      <c r="CP22" s="94">
        <f t="shared" si="92"/>
        <v>39.6</v>
      </c>
      <c r="CQ22" s="94"/>
      <c r="CR22" s="94"/>
      <c r="CS22" s="95"/>
      <c r="CT22" s="42"/>
      <c r="CU22" s="94"/>
      <c r="CV22" s="94"/>
      <c r="CW22" s="94"/>
      <c r="CX22" s="94"/>
      <c r="CY22" s="94"/>
      <c r="CZ22" s="94"/>
      <c r="DA22" s="96" t="s">
        <v>529</v>
      </c>
      <c r="DB22" s="96" t="s">
        <v>530</v>
      </c>
      <c r="DC22" s="94">
        <f>SUM(AM22:AP22)</f>
        <v>2714</v>
      </c>
      <c r="DD22" s="94">
        <f>SUM(AQ22:AT22)</f>
        <v>2667</v>
      </c>
      <c r="DE22" s="94">
        <f>SUM(AU22:AX22)</f>
        <v>2076</v>
      </c>
      <c r="DF22" s="94">
        <f>SUM(AY22:BB22)</f>
        <v>2270</v>
      </c>
      <c r="DG22" s="94">
        <f>SUM(BC22:BF22)</f>
        <v>2372</v>
      </c>
      <c r="DH22" s="94">
        <f>SUM(BG22:BJ22)</f>
        <v>1794</v>
      </c>
      <c r="DI22" s="94">
        <f>SUM(BK22:BN22)</f>
        <v>1268</v>
      </c>
      <c r="DJ22" s="94">
        <f>SUM(BO22:BR22)</f>
        <v>837</v>
      </c>
      <c r="DK22" s="94">
        <f>SUM(BS22:BV22)</f>
        <v>582</v>
      </c>
      <c r="DL22" s="94">
        <f>SUM(BW22:BZ22)</f>
        <v>411</v>
      </c>
      <c r="DM22" s="94">
        <f>SUM(CA22:CD22)</f>
        <v>331</v>
      </c>
      <c r="DN22" s="94">
        <f>SUM(CE22:CH22)</f>
        <v>300</v>
      </c>
      <c r="DO22" s="94">
        <f>SUM(CI22:CL22)</f>
        <v>207</v>
      </c>
      <c r="DP22" s="94">
        <f t="shared" si="10"/>
        <v>182.4</v>
      </c>
      <c r="DQ22" s="94">
        <f t="shared" ref="DQ22:EB23" si="93">DP22*0.9</f>
        <v>164.16</v>
      </c>
      <c r="DR22" s="94">
        <f t="shared" si="93"/>
        <v>147.744</v>
      </c>
      <c r="DS22" s="94">
        <f t="shared" si="93"/>
        <v>132.96960000000001</v>
      </c>
      <c r="DT22" s="94">
        <f t="shared" si="93"/>
        <v>119.67264000000002</v>
      </c>
      <c r="DU22" s="94">
        <f t="shared" si="93"/>
        <v>107.70537600000002</v>
      </c>
      <c r="DV22" s="94">
        <f t="shared" si="93"/>
        <v>96.934838400000018</v>
      </c>
      <c r="DW22" s="94">
        <f t="shared" si="93"/>
        <v>87.241354560000019</v>
      </c>
      <c r="DX22" s="94">
        <f t="shared" si="93"/>
        <v>78.51721910400002</v>
      </c>
      <c r="DY22" s="94">
        <f t="shared" si="93"/>
        <v>70.665497193600018</v>
      </c>
      <c r="DZ22" s="94">
        <f t="shared" si="93"/>
        <v>63.59894747424002</v>
      </c>
      <c r="EA22" s="94">
        <f t="shared" si="93"/>
        <v>57.23905272681602</v>
      </c>
      <c r="EB22" s="94">
        <f t="shared" si="93"/>
        <v>51.515147454134421</v>
      </c>
    </row>
    <row r="23" spans="2:132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2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f t="shared" ref="CN23:CP23" si="94">+CM23*0.9</f>
        <v>86.4</v>
      </c>
      <c r="CO23" s="94">
        <f t="shared" si="94"/>
        <v>77.760000000000005</v>
      </c>
      <c r="CP23" s="94">
        <f t="shared" si="94"/>
        <v>69.984000000000009</v>
      </c>
      <c r="CQ23" s="94"/>
      <c r="CR23" s="94"/>
      <c r="CS23" s="49"/>
      <c r="CT23" s="9"/>
      <c r="CU23" s="94"/>
      <c r="CV23" s="94"/>
      <c r="CW23" s="94"/>
      <c r="CX23" s="94"/>
      <c r="CY23" s="94"/>
      <c r="CZ23" s="94"/>
      <c r="DA23" s="94"/>
      <c r="DB23" s="94"/>
      <c r="DC23" s="94">
        <f>SUM(AM23:AP23)</f>
        <v>376</v>
      </c>
      <c r="DD23" s="94">
        <f t="shared" si="76"/>
        <v>498</v>
      </c>
      <c r="DE23" s="94">
        <f t="shared" si="29"/>
        <v>581</v>
      </c>
      <c r="DF23" s="94">
        <f t="shared" si="30"/>
        <v>653</v>
      </c>
      <c r="DG23" s="94">
        <f t="shared" si="31"/>
        <v>746</v>
      </c>
      <c r="DH23" s="94">
        <f t="shared" si="32"/>
        <v>542</v>
      </c>
      <c r="DI23" s="94">
        <f t="shared" si="33"/>
        <v>640</v>
      </c>
      <c r="DJ23" s="94">
        <f t="shared" si="14"/>
        <v>821</v>
      </c>
      <c r="DK23" s="94">
        <f t="shared" si="15"/>
        <v>908</v>
      </c>
      <c r="DL23" s="94">
        <f t="shared" ref="DL23:DL84" si="95">SUM(BW23:BZ23)</f>
        <v>926</v>
      </c>
      <c r="DM23" s="94">
        <f t="shared" ref="DM23:DM84" si="96">SUM(CA23:CD23)</f>
        <v>1087</v>
      </c>
      <c r="DN23" s="94">
        <f t="shared" ref="DN23:DN84" si="97">SUM(CE23:CH23)</f>
        <v>892</v>
      </c>
      <c r="DO23" s="94">
        <f t="shared" ref="DO23:DO75" si="98">SUM(CI23:CL23)</f>
        <v>602</v>
      </c>
      <c r="DP23" s="94">
        <f t="shared" si="10"/>
        <v>330.14400000000001</v>
      </c>
      <c r="DQ23" s="94">
        <f>DP23*0.95</f>
        <v>313.63679999999999</v>
      </c>
      <c r="DR23" s="94">
        <f t="shared" ref="DR23:EB23" si="99">DQ23*0.95</f>
        <v>297.95495999999997</v>
      </c>
      <c r="DS23" s="94">
        <f t="shared" si="99"/>
        <v>283.05721199999994</v>
      </c>
      <c r="DT23" s="94">
        <f t="shared" si="99"/>
        <v>268.90435139999994</v>
      </c>
      <c r="DU23" s="94">
        <f t="shared" si="99"/>
        <v>255.45913382999993</v>
      </c>
      <c r="DV23" s="94">
        <f t="shared" si="99"/>
        <v>242.68617713849991</v>
      </c>
      <c r="DW23" s="94">
        <f t="shared" si="99"/>
        <v>230.55186828157491</v>
      </c>
      <c r="DX23" s="94">
        <f t="shared" si="99"/>
        <v>219.02427486749616</v>
      </c>
      <c r="DY23" s="94">
        <f t="shared" si="99"/>
        <v>208.07306112412135</v>
      </c>
      <c r="DZ23" s="94">
        <f t="shared" si="99"/>
        <v>197.66940806791527</v>
      </c>
      <c r="EA23" s="94">
        <f t="shared" si="99"/>
        <v>187.78593766451951</v>
      </c>
      <c r="EB23" s="94">
        <f t="shared" si="99"/>
        <v>178.39664078129351</v>
      </c>
    </row>
    <row r="24" spans="2:132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>
        <f t="shared" ref="CN24:CP24" si="100">+CM24</f>
        <v>40</v>
      </c>
      <c r="CO24" s="94">
        <f t="shared" si="100"/>
        <v>40</v>
      </c>
      <c r="CP24" s="94">
        <f t="shared" si="100"/>
        <v>40</v>
      </c>
      <c r="CQ24" s="94"/>
      <c r="CR24" s="94"/>
      <c r="CS24" s="49"/>
      <c r="CT24" s="9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>
        <f t="shared" si="95"/>
        <v>238</v>
      </c>
      <c r="DM24" s="94">
        <f t="shared" si="96"/>
        <v>170</v>
      </c>
      <c r="DN24" s="94">
        <f t="shared" si="97"/>
        <v>179</v>
      </c>
      <c r="DO24" s="94">
        <f t="shared" si="98"/>
        <v>174</v>
      </c>
      <c r="DP24" s="94">
        <f t="shared" si="10"/>
        <v>160</v>
      </c>
      <c r="DQ24" s="94">
        <f t="shared" ref="DQ24:EB24" si="101">DP24*0.95</f>
        <v>152</v>
      </c>
      <c r="DR24" s="94">
        <f t="shared" si="101"/>
        <v>144.4</v>
      </c>
      <c r="DS24" s="94">
        <f t="shared" si="101"/>
        <v>137.18</v>
      </c>
      <c r="DT24" s="94">
        <f t="shared" si="101"/>
        <v>130.321</v>
      </c>
      <c r="DU24" s="94">
        <f t="shared" si="101"/>
        <v>123.80494999999999</v>
      </c>
      <c r="DV24" s="94">
        <f t="shared" si="101"/>
        <v>117.61470249999999</v>
      </c>
      <c r="DW24" s="94">
        <f t="shared" si="101"/>
        <v>111.73396737499999</v>
      </c>
      <c r="DX24" s="94">
        <f t="shared" si="101"/>
        <v>106.14726900624999</v>
      </c>
      <c r="DY24" s="94">
        <f t="shared" si="101"/>
        <v>100.83990555593748</v>
      </c>
      <c r="DZ24" s="94">
        <f t="shared" si="101"/>
        <v>95.797910278140606</v>
      </c>
      <c r="EA24" s="94">
        <f t="shared" si="101"/>
        <v>91.008014764233565</v>
      </c>
      <c r="EB24" s="94">
        <f t="shared" si="101"/>
        <v>86.457614026021886</v>
      </c>
    </row>
    <row r="25" spans="2:132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>
        <f t="shared" ref="CN25:CP25" si="102">+CM25-1</f>
        <v>79</v>
      </c>
      <c r="CO25" s="94">
        <f t="shared" si="102"/>
        <v>78</v>
      </c>
      <c r="CP25" s="94">
        <f t="shared" si="102"/>
        <v>77</v>
      </c>
      <c r="CQ25" s="94"/>
      <c r="CR25" s="94"/>
      <c r="CS25" s="49"/>
      <c r="CT25" s="9" t="s">
        <v>442</v>
      </c>
      <c r="CU25" s="94" t="s">
        <v>442</v>
      </c>
      <c r="CV25" s="94">
        <v>629</v>
      </c>
      <c r="CW25" s="94">
        <f>SUM(O25:R25)</f>
        <v>641</v>
      </c>
      <c r="CX25" s="94">
        <f>SUM(S25:V25)</f>
        <v>739</v>
      </c>
      <c r="CY25" s="94">
        <f>SUM(W25:Z25)</f>
        <v>705</v>
      </c>
      <c r="CZ25" s="94">
        <f>SUM(AA25:AD25)</f>
        <v>755</v>
      </c>
      <c r="DA25" s="94">
        <f>SUM(AE25:AH25)</f>
        <v>780</v>
      </c>
      <c r="DB25" s="94">
        <f>SUM(AI25:AL25)</f>
        <v>689</v>
      </c>
      <c r="DC25" s="94">
        <f>SUM(AM25:AP25)</f>
        <v>610</v>
      </c>
      <c r="DD25" s="94">
        <f t="shared" si="76"/>
        <v>515</v>
      </c>
      <c r="DE25" s="94">
        <f t="shared" si="29"/>
        <v>384</v>
      </c>
      <c r="DF25" s="94">
        <f t="shared" ref="DF25:DF28" si="103">SUM(AY25:BB25)</f>
        <v>336</v>
      </c>
      <c r="DG25" s="94">
        <f t="shared" ref="DG25:DG28" si="104">SUM(BC25:BF25)</f>
        <v>329</v>
      </c>
      <c r="DH25" s="94">
        <f t="shared" si="32"/>
        <v>314</v>
      </c>
      <c r="DI25" s="94">
        <f t="shared" si="33"/>
        <v>297</v>
      </c>
      <c r="DJ25" s="94">
        <f t="shared" si="14"/>
        <v>280</v>
      </c>
      <c r="DK25" s="94">
        <f t="shared" si="15"/>
        <v>265</v>
      </c>
      <c r="DL25" s="94">
        <f t="shared" si="95"/>
        <v>274</v>
      </c>
      <c r="DM25" s="94">
        <f t="shared" si="96"/>
        <v>251</v>
      </c>
      <c r="DN25" s="94">
        <f t="shared" si="97"/>
        <v>260</v>
      </c>
      <c r="DO25" s="94">
        <f t="shared" si="98"/>
        <v>239</v>
      </c>
      <c r="DP25" s="94">
        <f t="shared" si="10"/>
        <v>314</v>
      </c>
      <c r="DQ25" s="94">
        <f t="shared" ref="DQ25:EB25" si="105">DP25*0.95</f>
        <v>298.3</v>
      </c>
      <c r="DR25" s="94">
        <f t="shared" si="105"/>
        <v>283.38499999999999</v>
      </c>
      <c r="DS25" s="94">
        <f t="shared" si="105"/>
        <v>269.21574999999996</v>
      </c>
      <c r="DT25" s="94">
        <f t="shared" si="105"/>
        <v>255.75496249999995</v>
      </c>
      <c r="DU25" s="94">
        <f t="shared" si="105"/>
        <v>242.96721437499994</v>
      </c>
      <c r="DV25" s="94">
        <f t="shared" si="105"/>
        <v>230.81885365624993</v>
      </c>
      <c r="DW25" s="94">
        <f t="shared" si="105"/>
        <v>219.27791097343743</v>
      </c>
      <c r="DX25" s="94">
        <f t="shared" si="105"/>
        <v>208.31401542476556</v>
      </c>
      <c r="DY25" s="94">
        <f t="shared" si="105"/>
        <v>197.89831465352728</v>
      </c>
      <c r="DZ25" s="94">
        <f t="shared" si="105"/>
        <v>188.00339892085091</v>
      </c>
      <c r="EA25" s="94">
        <f t="shared" si="105"/>
        <v>178.60322897480836</v>
      </c>
      <c r="EB25" s="94">
        <f t="shared" si="105"/>
        <v>169.67306752606794</v>
      </c>
    </row>
    <row r="26" spans="2:132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f t="shared" ref="CN26:CP26" si="106">+CM26+1</f>
        <v>100</v>
      </c>
      <c r="CO26" s="94">
        <f t="shared" si="106"/>
        <v>101</v>
      </c>
      <c r="CP26" s="94">
        <f t="shared" si="106"/>
        <v>102</v>
      </c>
      <c r="CQ26" s="94"/>
      <c r="CR26" s="94"/>
      <c r="CS26" s="49"/>
      <c r="CT26" s="9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>
        <f t="shared" si="95"/>
        <v>203</v>
      </c>
      <c r="DM26" s="94">
        <f t="shared" si="96"/>
        <v>280</v>
      </c>
      <c r="DN26" s="94">
        <f t="shared" si="97"/>
        <v>342</v>
      </c>
      <c r="DO26" s="94">
        <f t="shared" si="98"/>
        <v>340</v>
      </c>
      <c r="DP26" s="94">
        <f t="shared" si="10"/>
        <v>402</v>
      </c>
      <c r="DQ26" s="94">
        <f t="shared" ref="DQ26:EB26" si="107">DP26*0.95</f>
        <v>381.9</v>
      </c>
      <c r="DR26" s="94">
        <f t="shared" si="107"/>
        <v>362.80499999999995</v>
      </c>
      <c r="DS26" s="94">
        <f t="shared" si="107"/>
        <v>344.66474999999991</v>
      </c>
      <c r="DT26" s="94">
        <f t="shared" si="107"/>
        <v>327.43151249999988</v>
      </c>
      <c r="DU26" s="94">
        <f t="shared" si="107"/>
        <v>311.05993687499989</v>
      </c>
      <c r="DV26" s="94">
        <f t="shared" si="107"/>
        <v>295.50694003124988</v>
      </c>
      <c r="DW26" s="94">
        <f t="shared" si="107"/>
        <v>280.73159302968736</v>
      </c>
      <c r="DX26" s="94">
        <f t="shared" si="107"/>
        <v>266.69501337820299</v>
      </c>
      <c r="DY26" s="94">
        <f t="shared" si="107"/>
        <v>253.36026270929281</v>
      </c>
      <c r="DZ26" s="94">
        <f t="shared" si="107"/>
        <v>240.69224957382815</v>
      </c>
      <c r="EA26" s="94">
        <f t="shared" si="107"/>
        <v>228.65763709513672</v>
      </c>
      <c r="EB26" s="94">
        <f t="shared" si="107"/>
        <v>217.22475524037986</v>
      </c>
    </row>
    <row r="27" spans="2:132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f t="shared" ref="CN27:CP27" si="108">+CM27+1</f>
        <v>60</v>
      </c>
      <c r="CO27" s="94">
        <f t="shared" si="108"/>
        <v>61</v>
      </c>
      <c r="CP27" s="94">
        <f t="shared" si="108"/>
        <v>62</v>
      </c>
      <c r="CQ27" s="94"/>
      <c r="CR27" s="94"/>
      <c r="CS27" s="49"/>
      <c r="CT27" s="9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>
        <f t="shared" si="14"/>
        <v>300</v>
      </c>
      <c r="DK27" s="94">
        <f t="shared" si="15"/>
        <v>328</v>
      </c>
      <c r="DL27" s="94">
        <f t="shared" si="95"/>
        <v>215</v>
      </c>
      <c r="DM27" s="94">
        <f t="shared" si="96"/>
        <v>221</v>
      </c>
      <c r="DN27" s="94">
        <f t="shared" si="97"/>
        <v>251</v>
      </c>
      <c r="DO27" s="94">
        <f t="shared" si="98"/>
        <v>238</v>
      </c>
      <c r="DP27" s="94">
        <f t="shared" si="10"/>
        <v>242</v>
      </c>
      <c r="DQ27" s="94">
        <f t="shared" ref="DQ27:EB27" si="109">DP27*0.95</f>
        <v>229.89999999999998</v>
      </c>
      <c r="DR27" s="94">
        <f t="shared" si="109"/>
        <v>218.40499999999997</v>
      </c>
      <c r="DS27" s="94">
        <f t="shared" si="109"/>
        <v>207.48474999999996</v>
      </c>
      <c r="DT27" s="94">
        <f t="shared" si="109"/>
        <v>197.11051249999994</v>
      </c>
      <c r="DU27" s="94">
        <f t="shared" si="109"/>
        <v>187.25498687499993</v>
      </c>
      <c r="DV27" s="94">
        <f t="shared" si="109"/>
        <v>177.89223753124992</v>
      </c>
      <c r="DW27" s="94">
        <f t="shared" si="109"/>
        <v>168.99762565468743</v>
      </c>
      <c r="DX27" s="94">
        <f t="shared" si="109"/>
        <v>160.54774437195306</v>
      </c>
      <c r="DY27" s="94">
        <f t="shared" si="109"/>
        <v>152.52035715335541</v>
      </c>
      <c r="DZ27" s="94">
        <f t="shared" si="109"/>
        <v>144.89433929568762</v>
      </c>
      <c r="EA27" s="94">
        <f t="shared" si="109"/>
        <v>137.64962233090324</v>
      </c>
      <c r="EB27" s="94">
        <f t="shared" si="109"/>
        <v>130.76714121435808</v>
      </c>
    </row>
    <row r="28" spans="2:132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f t="shared" ref="CN28:CP28" si="110">+CM28*0.95</f>
        <v>57</v>
      </c>
      <c r="CO28" s="94">
        <f t="shared" si="110"/>
        <v>54.15</v>
      </c>
      <c r="CP28" s="94">
        <f t="shared" si="110"/>
        <v>51.442499999999995</v>
      </c>
      <c r="CQ28" s="94"/>
      <c r="CR28" s="94"/>
      <c r="CS28" s="49"/>
      <c r="CT28" s="9"/>
      <c r="CU28" s="98"/>
      <c r="CV28" s="94"/>
      <c r="CW28" s="94"/>
      <c r="CX28" s="94"/>
      <c r="CY28" s="94"/>
      <c r="CZ28" s="94"/>
      <c r="DA28" s="94"/>
      <c r="DB28" s="94"/>
      <c r="DC28" s="94"/>
      <c r="DD28" s="94">
        <f t="shared" si="76"/>
        <v>231</v>
      </c>
      <c r="DE28" s="94">
        <f t="shared" si="29"/>
        <v>259</v>
      </c>
      <c r="DF28" s="94">
        <f t="shared" si="103"/>
        <v>309</v>
      </c>
      <c r="DG28" s="94">
        <f t="shared" si="104"/>
        <v>401</v>
      </c>
      <c r="DH28" s="94">
        <f t="shared" si="32"/>
        <v>488</v>
      </c>
      <c r="DI28" s="94">
        <f t="shared" si="33"/>
        <v>596</v>
      </c>
      <c r="DJ28" s="94">
        <f t="shared" si="14"/>
        <v>637</v>
      </c>
      <c r="DK28" s="94">
        <f t="shared" si="15"/>
        <v>743</v>
      </c>
      <c r="DL28" s="94">
        <f t="shared" si="95"/>
        <v>663</v>
      </c>
      <c r="DM28" s="94">
        <f t="shared" si="96"/>
        <v>328</v>
      </c>
      <c r="DN28" s="94">
        <f t="shared" si="97"/>
        <v>259</v>
      </c>
      <c r="DO28" s="94">
        <f t="shared" si="98"/>
        <v>237</v>
      </c>
      <c r="DP28" s="94">
        <f t="shared" si="10"/>
        <v>222.5925</v>
      </c>
      <c r="DQ28" s="94">
        <f>DP28*0.9</f>
        <v>200.33324999999999</v>
      </c>
      <c r="DR28" s="94">
        <f t="shared" ref="DR28:EB28" si="111">DQ28*0.9</f>
        <v>180.299925</v>
      </c>
      <c r="DS28" s="94">
        <f t="shared" si="111"/>
        <v>162.26993250000001</v>
      </c>
      <c r="DT28" s="94">
        <f t="shared" si="111"/>
        <v>146.04293925000002</v>
      </c>
      <c r="DU28" s="94">
        <f t="shared" si="111"/>
        <v>131.43864532500001</v>
      </c>
      <c r="DV28" s="94">
        <f t="shared" si="111"/>
        <v>118.29478079250001</v>
      </c>
      <c r="DW28" s="94">
        <f t="shared" si="111"/>
        <v>106.46530271325001</v>
      </c>
      <c r="DX28" s="94">
        <f t="shared" si="111"/>
        <v>95.818772441925006</v>
      </c>
      <c r="DY28" s="94">
        <f t="shared" si="111"/>
        <v>86.236895197732508</v>
      </c>
      <c r="DZ28" s="94">
        <f t="shared" si="111"/>
        <v>77.613205677959257</v>
      </c>
      <c r="EA28" s="94">
        <f t="shared" si="111"/>
        <v>69.851885110163337</v>
      </c>
      <c r="EB28" s="94">
        <f t="shared" si="111"/>
        <v>62.866696599147005</v>
      </c>
    </row>
    <row r="29" spans="2:132" s="8" customFormat="1" ht="12.75" customHeight="1">
      <c r="B29" s="47" t="s">
        <v>943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49"/>
      <c r="CT29" s="9"/>
      <c r="CU29" s="98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>
        <v>50</v>
      </c>
      <c r="DQ29" s="94">
        <v>500</v>
      </c>
      <c r="DR29" s="94">
        <v>1000</v>
      </c>
      <c r="DS29" s="94">
        <v>1250</v>
      </c>
      <c r="DT29" s="92">
        <v>1300</v>
      </c>
      <c r="DU29" s="87">
        <f>DT29*1.01</f>
        <v>1313</v>
      </c>
      <c r="DV29" s="87">
        <f t="shared" ref="DV29:EB29" si="112">DU29*1.01</f>
        <v>1326.13</v>
      </c>
      <c r="DW29" s="87">
        <f t="shared" si="112"/>
        <v>1339.3913000000002</v>
      </c>
      <c r="DX29" s="87">
        <f t="shared" si="112"/>
        <v>1352.7852130000003</v>
      </c>
      <c r="DY29" s="87">
        <f t="shared" si="112"/>
        <v>1366.3130651300003</v>
      </c>
      <c r="DZ29" s="87">
        <f t="shared" si="112"/>
        <v>1379.9761957813002</v>
      </c>
      <c r="EA29" s="87">
        <f t="shared" si="112"/>
        <v>1393.7759577391132</v>
      </c>
      <c r="EB29" s="87">
        <f t="shared" si="112"/>
        <v>1407.7137173165042</v>
      </c>
    </row>
    <row r="30" spans="2:132" s="8" customFormat="1" ht="12.75" customHeight="1">
      <c r="B30" s="47" t="s">
        <v>354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>
        <v>131</v>
      </c>
      <c r="P30" s="94">
        <v>133</v>
      </c>
      <c r="Q30" s="94">
        <v>138</v>
      </c>
      <c r="R30" s="94">
        <v>157</v>
      </c>
      <c r="S30" s="94">
        <v>140</v>
      </c>
      <c r="T30" s="94">
        <v>153</v>
      </c>
      <c r="U30" s="94">
        <v>156</v>
      </c>
      <c r="V30" s="94">
        <v>167</v>
      </c>
      <c r="W30" s="94">
        <v>152</v>
      </c>
      <c r="X30" s="94">
        <v>175</v>
      </c>
      <c r="Y30" s="94">
        <v>191</v>
      </c>
      <c r="Z30" s="94">
        <v>179</v>
      </c>
      <c r="AA30" s="94">
        <v>186</v>
      </c>
      <c r="AB30" s="94">
        <v>192</v>
      </c>
      <c r="AC30" s="93">
        <v>197</v>
      </c>
      <c r="AD30" s="94">
        <f>AC30</f>
        <v>197</v>
      </c>
      <c r="AE30" s="94">
        <v>201</v>
      </c>
      <c r="AF30" s="94">
        <v>217</v>
      </c>
      <c r="AG30" s="94">
        <v>209</v>
      </c>
      <c r="AH30" s="94">
        <f>AG30</f>
        <v>209</v>
      </c>
      <c r="AI30" s="130">
        <v>121</v>
      </c>
      <c r="AJ30" s="94">
        <v>125</v>
      </c>
      <c r="AK30" s="94">
        <v>123</v>
      </c>
      <c r="AL30" s="94">
        <v>134</v>
      </c>
      <c r="AM30" s="94">
        <v>115</v>
      </c>
      <c r="AN30" s="94">
        <v>123</v>
      </c>
      <c r="AO30" s="94">
        <v>114</v>
      </c>
      <c r="AP30" s="94">
        <v>131</v>
      </c>
      <c r="AQ30" s="94">
        <v>114</v>
      </c>
      <c r="AR30" s="94">
        <v>122</v>
      </c>
      <c r="AS30" s="94">
        <v>124</v>
      </c>
      <c r="AT30" s="94">
        <v>117</v>
      </c>
      <c r="AU30" s="94">
        <v>124</v>
      </c>
      <c r="AV30" s="94">
        <v>105</v>
      </c>
      <c r="AW30" s="94">
        <v>102</v>
      </c>
      <c r="AX30" s="94">
        <v>113</v>
      </c>
      <c r="AY30" s="94">
        <v>105</v>
      </c>
      <c r="AZ30" s="94">
        <v>103</v>
      </c>
      <c r="BA30" s="94">
        <v>104</v>
      </c>
      <c r="BB30" s="94">
        <v>103</v>
      </c>
      <c r="BC30" s="94">
        <v>99</v>
      </c>
      <c r="BD30" s="94">
        <v>100</v>
      </c>
      <c r="BE30" s="94">
        <v>34</v>
      </c>
      <c r="BF30" s="94">
        <v>25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49"/>
      <c r="CT30" s="9" t="s">
        <v>442</v>
      </c>
      <c r="CU30" s="94" t="s">
        <v>442</v>
      </c>
      <c r="CV30" s="94">
        <v>484</v>
      </c>
      <c r="CW30" s="94">
        <f>SUM(O30:R30)</f>
        <v>559</v>
      </c>
      <c r="CX30" s="94">
        <f>SUM(S30:V30)</f>
        <v>616</v>
      </c>
      <c r="CY30" s="94">
        <f>SUM(W30:Z30)</f>
        <v>697</v>
      </c>
      <c r="CZ30" s="94">
        <f>SUM(AA30:AD30)</f>
        <v>772</v>
      </c>
      <c r="DA30" s="94">
        <f>SUM(AE30:AH30)</f>
        <v>836</v>
      </c>
      <c r="DB30" s="94">
        <f>SUM(AI30:AL30)</f>
        <v>503</v>
      </c>
      <c r="DC30" s="94">
        <f>SUM(AM30:AP30)</f>
        <v>483</v>
      </c>
      <c r="DD30" s="94">
        <f>SUM(AQ30:AT30)</f>
        <v>477</v>
      </c>
      <c r="DE30" s="94">
        <f>SUM(AU30:AX30)</f>
        <v>444</v>
      </c>
      <c r="DF30" s="94">
        <f>SUM(AY30:BB30)</f>
        <v>415</v>
      </c>
      <c r="DG30" s="94">
        <f>SUM(BC30:BF30)</f>
        <v>258</v>
      </c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U30" s="30"/>
    </row>
    <row r="31" spans="2:132" s="8" customFormat="1" ht="12.75" customHeight="1">
      <c r="B31" s="47" t="s">
        <v>756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>
        <v>50</v>
      </c>
      <c r="BL31" s="94">
        <v>112</v>
      </c>
      <c r="BM31" s="94">
        <v>164</v>
      </c>
      <c r="BN31" s="94">
        <v>229</v>
      </c>
      <c r="BO31" s="94">
        <v>378</v>
      </c>
      <c r="BP31" s="94">
        <v>517</v>
      </c>
      <c r="BQ31" s="94">
        <v>468</v>
      </c>
      <c r="BR31" s="94">
        <v>296</v>
      </c>
      <c r="BS31" s="94">
        <v>131</v>
      </c>
      <c r="BT31" s="94">
        <v>113</v>
      </c>
      <c r="BU31" s="94">
        <v>104</v>
      </c>
      <c r="BV31" s="94">
        <v>108</v>
      </c>
      <c r="BW31" s="94">
        <v>114</v>
      </c>
      <c r="BX31" s="94">
        <v>108</v>
      </c>
      <c r="BY31" s="94">
        <v>83</v>
      </c>
      <c r="BZ31" s="94">
        <v>66</v>
      </c>
      <c r="CA31" s="94">
        <v>55</v>
      </c>
      <c r="CB31" s="94">
        <v>39</v>
      </c>
      <c r="CC31" s="96" t="s">
        <v>787</v>
      </c>
      <c r="CD31" s="94">
        <v>45</v>
      </c>
      <c r="CE31" s="94">
        <v>0</v>
      </c>
      <c r="CF31" s="94">
        <v>0</v>
      </c>
      <c r="CG31" s="94">
        <v>0</v>
      </c>
      <c r="CH31" s="94">
        <v>0</v>
      </c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49"/>
      <c r="CT31" s="9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>
        <f>SUM(BK31:BN31)</f>
        <v>555</v>
      </c>
      <c r="DJ31" s="94">
        <f>SUM(BO31:BR31)</f>
        <v>1659</v>
      </c>
      <c r="DK31" s="94">
        <f>SUM(BS31:BV31)</f>
        <v>456</v>
      </c>
      <c r="DL31" s="94">
        <f>SUM(BW31:BZ31)</f>
        <v>371</v>
      </c>
      <c r="DM31" s="94">
        <f>SUM(CA31:CD31)</f>
        <v>139</v>
      </c>
      <c r="DN31" s="94"/>
      <c r="DO31" s="94"/>
      <c r="DP31" s="94"/>
      <c r="DQ31" s="94"/>
      <c r="DR31" s="94"/>
      <c r="DS31" s="94"/>
      <c r="DU31" s="30"/>
    </row>
    <row r="32" spans="2:132" s="8" customFormat="1" ht="12.75" customHeight="1">
      <c r="B32" s="47" t="s">
        <v>571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6" t="s">
        <v>532</v>
      </c>
      <c r="AE32" s="96" t="s">
        <v>533</v>
      </c>
      <c r="AF32" s="96" t="s">
        <v>555</v>
      </c>
      <c r="AG32" s="96" t="s">
        <v>549</v>
      </c>
      <c r="AH32" s="96" t="s">
        <v>531</v>
      </c>
      <c r="AI32" s="132" t="s">
        <v>521</v>
      </c>
      <c r="AJ32" s="96" t="s">
        <v>512</v>
      </c>
      <c r="AK32" s="96" t="s">
        <v>505</v>
      </c>
      <c r="AL32" s="94">
        <v>188</v>
      </c>
      <c r="AM32" s="94">
        <v>274</v>
      </c>
      <c r="AN32" s="94">
        <v>271</v>
      </c>
      <c r="AO32" s="94">
        <v>254</v>
      </c>
      <c r="AP32" s="94">
        <v>266</v>
      </c>
      <c r="AQ32" s="94">
        <v>248</v>
      </c>
      <c r="AR32" s="94">
        <v>234</v>
      </c>
      <c r="AS32" s="94">
        <v>223</v>
      </c>
      <c r="AT32" s="94">
        <v>230</v>
      </c>
      <c r="AU32" s="94">
        <v>237</v>
      </c>
      <c r="AV32" s="94">
        <v>225</v>
      </c>
      <c r="AW32" s="94">
        <v>227</v>
      </c>
      <c r="AX32" s="94">
        <v>229</v>
      </c>
      <c r="AY32" s="94">
        <v>216</v>
      </c>
      <c r="AZ32" s="94">
        <v>219</v>
      </c>
      <c r="BA32" s="94">
        <v>162</v>
      </c>
      <c r="BB32" s="94">
        <v>111</v>
      </c>
      <c r="BC32" s="94">
        <v>83</v>
      </c>
      <c r="BD32" s="94">
        <v>93</v>
      </c>
      <c r="BE32" s="94">
        <v>88</v>
      </c>
      <c r="BF32" s="94">
        <v>86</v>
      </c>
      <c r="BG32" s="94">
        <v>74</v>
      </c>
      <c r="BH32" s="94">
        <v>80</v>
      </c>
      <c r="BI32" s="94">
        <v>83</v>
      </c>
      <c r="BJ32" s="94">
        <v>75</v>
      </c>
      <c r="BK32" s="94">
        <v>66</v>
      </c>
      <c r="BL32" s="94">
        <v>73</v>
      </c>
      <c r="BM32" s="94">
        <v>78</v>
      </c>
      <c r="BN32" s="94">
        <v>67</v>
      </c>
      <c r="BO32" s="94">
        <v>66</v>
      </c>
      <c r="BP32" s="94">
        <v>65</v>
      </c>
      <c r="BQ32" s="94">
        <v>68</v>
      </c>
      <c r="BR32" s="94">
        <v>73</v>
      </c>
      <c r="BS32" s="94">
        <v>57</v>
      </c>
      <c r="BT32" s="94">
        <v>56</v>
      </c>
      <c r="BU32" s="94">
        <v>46</v>
      </c>
      <c r="BV32" s="94">
        <v>56</v>
      </c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49"/>
      <c r="CT32" s="94"/>
      <c r="CU32" s="94"/>
      <c r="CV32" s="94"/>
      <c r="CW32" s="94"/>
      <c r="CX32" s="94"/>
      <c r="CY32" s="94"/>
      <c r="CZ32" s="94"/>
      <c r="DA32" s="96" t="s">
        <v>563</v>
      </c>
      <c r="DB32" s="96" t="s">
        <v>562</v>
      </c>
      <c r="DC32" s="94">
        <f>SUM(AM32:AP32)</f>
        <v>1065</v>
      </c>
      <c r="DD32" s="94">
        <f>SUM(AQ32:AT32)</f>
        <v>935</v>
      </c>
      <c r="DE32" s="94">
        <f>SUM(AU32:AX32)</f>
        <v>918</v>
      </c>
      <c r="DF32" s="94">
        <f>SUM(AY32:BB32)</f>
        <v>708</v>
      </c>
      <c r="DG32" s="94">
        <f>SUM(BC32:BF32)</f>
        <v>350</v>
      </c>
      <c r="DH32" s="94">
        <f>SUM(BG32:BJ32)</f>
        <v>312</v>
      </c>
      <c r="DI32" s="94">
        <f>SUM(BK32:BN32)</f>
        <v>284</v>
      </c>
      <c r="DJ32" s="94">
        <f>SUM(BO32:BR32)</f>
        <v>272</v>
      </c>
      <c r="DK32" s="94">
        <f>SUM(BS32:BV32)</f>
        <v>215</v>
      </c>
      <c r="DL32" s="94"/>
      <c r="DM32" s="94"/>
      <c r="DN32" s="94"/>
      <c r="DO32" s="94"/>
      <c r="DP32" s="94"/>
      <c r="DQ32" s="94"/>
      <c r="DR32" s="94"/>
      <c r="DS32" s="94"/>
      <c r="DU32" s="30"/>
    </row>
    <row r="33" spans="2:128" s="8" customFormat="1" ht="12.75" customHeight="1">
      <c r="B33" s="47" t="s">
        <v>9</v>
      </c>
      <c r="C33" s="94">
        <v>1106.9466</v>
      </c>
      <c r="D33" s="94">
        <v>1106.9449999999999</v>
      </c>
      <c r="E33" s="94">
        <v>1348.01179</v>
      </c>
      <c r="F33" s="94">
        <v>1559.5255999999999</v>
      </c>
      <c r="G33" s="94">
        <v>1105</v>
      </c>
      <c r="H33" s="94">
        <v>1175</v>
      </c>
      <c r="I33" s="94">
        <v>1440</v>
      </c>
      <c r="J33" s="94">
        <v>1723</v>
      </c>
      <c r="K33" s="94">
        <v>1175</v>
      </c>
      <c r="L33" s="94">
        <v>1218</v>
      </c>
      <c r="M33" s="94">
        <v>1404.75</v>
      </c>
      <c r="N33" s="94">
        <v>1213.74</v>
      </c>
      <c r="O33" s="94">
        <v>1296</v>
      </c>
      <c r="P33" s="94">
        <v>1370</v>
      </c>
      <c r="Q33" s="94">
        <v>1221</v>
      </c>
      <c r="R33" s="94">
        <v>1311</v>
      </c>
      <c r="S33" s="94">
        <v>1106</v>
      </c>
      <c r="T33" s="94">
        <v>1151</v>
      </c>
      <c r="U33" s="94">
        <v>1050</v>
      </c>
      <c r="V33" s="94">
        <v>1074</v>
      </c>
      <c r="W33" s="94">
        <v>1063</v>
      </c>
      <c r="X33" s="94">
        <v>990</v>
      </c>
      <c r="Y33" s="94">
        <v>371</v>
      </c>
      <c r="Z33" s="94">
        <v>379</v>
      </c>
      <c r="AA33" s="94">
        <v>258</v>
      </c>
      <c r="AB33" s="94">
        <v>178</v>
      </c>
      <c r="AC33" s="94">
        <v>218</v>
      </c>
      <c r="AD33" s="94">
        <v>195</v>
      </c>
      <c r="AE33" s="94">
        <v>179</v>
      </c>
      <c r="AF33" s="94">
        <v>177</v>
      </c>
      <c r="AG33" s="94">
        <v>157</v>
      </c>
      <c r="AH33" s="94">
        <f>AG33*0.8</f>
        <v>125.60000000000001</v>
      </c>
      <c r="AI33" s="130">
        <v>137</v>
      </c>
      <c r="AJ33" s="94">
        <v>141</v>
      </c>
      <c r="AK33" s="94">
        <v>141</v>
      </c>
      <c r="AL33" s="94">
        <v>139</v>
      </c>
      <c r="AM33" s="94">
        <v>116</v>
      </c>
      <c r="AN33" s="94">
        <v>117</v>
      </c>
      <c r="AO33" s="94">
        <v>114</v>
      </c>
      <c r="AP33" s="94">
        <v>121</v>
      </c>
      <c r="AQ33" s="94">
        <v>127</v>
      </c>
      <c r="AR33" s="94">
        <v>107</v>
      </c>
      <c r="AS33" s="94">
        <v>110</v>
      </c>
      <c r="AT33" s="94">
        <v>111</v>
      </c>
      <c r="AU33" s="94">
        <v>103</v>
      </c>
      <c r="AV33" s="94">
        <v>96</v>
      </c>
      <c r="AW33" s="94">
        <v>86</v>
      </c>
      <c r="AX33" s="94">
        <v>98</v>
      </c>
      <c r="AY33" s="94">
        <v>82</v>
      </c>
      <c r="AZ33" s="94">
        <v>74</v>
      </c>
      <c r="BA33" s="94">
        <v>65</v>
      </c>
      <c r="BB33" s="94">
        <v>79</v>
      </c>
      <c r="BC33" s="94">
        <v>64</v>
      </c>
      <c r="BD33" s="94">
        <v>69</v>
      </c>
      <c r="BE33" s="94">
        <v>61</v>
      </c>
      <c r="BF33" s="94">
        <v>64</v>
      </c>
      <c r="BG33" s="94">
        <v>49</v>
      </c>
      <c r="BH33" s="94">
        <v>63</v>
      </c>
      <c r="BI33" s="94">
        <v>56</v>
      </c>
      <c r="BJ33" s="94">
        <v>49</v>
      </c>
      <c r="BK33" s="94">
        <v>46</v>
      </c>
      <c r="BL33" s="94">
        <v>50</v>
      </c>
      <c r="BM33" s="94">
        <v>54</v>
      </c>
      <c r="BN33" s="94">
        <v>37</v>
      </c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7"/>
      <c r="CT33" s="94">
        <v>5121</v>
      </c>
      <c r="CU33" s="94"/>
      <c r="CV33" s="94"/>
      <c r="CW33" s="94">
        <f>SUM(O33:R33)</f>
        <v>5198</v>
      </c>
      <c r="CX33" s="94">
        <f>SUM(S33:V33)</f>
        <v>4381</v>
      </c>
      <c r="CY33" s="94">
        <f>SUM(W33:Z33)</f>
        <v>2803</v>
      </c>
      <c r="CZ33" s="94">
        <f>SUM(AA33:AD33)</f>
        <v>849</v>
      </c>
      <c r="DA33" s="94">
        <f>SUM(AE33:AH33)</f>
        <v>638.6</v>
      </c>
      <c r="DB33" s="94">
        <f>SUM(AI33:AL33)</f>
        <v>558</v>
      </c>
      <c r="DC33" s="94">
        <f>SUM(AM33:AP33)</f>
        <v>468</v>
      </c>
      <c r="DD33" s="94">
        <f>SUM(AQ33:AT33)</f>
        <v>455</v>
      </c>
      <c r="DE33" s="94">
        <f>SUM(AU33:AX33)</f>
        <v>383</v>
      </c>
      <c r="DF33" s="94">
        <f>SUM(AY33:BB33)</f>
        <v>300</v>
      </c>
      <c r="DG33" s="94">
        <f>SUM(BC33:BF33)</f>
        <v>258</v>
      </c>
      <c r="DH33" s="94">
        <f>SUM(BG33:BJ33)</f>
        <v>217</v>
      </c>
      <c r="DI33" s="94">
        <f>SUM(BK33:BN33)</f>
        <v>187</v>
      </c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U33" s="30"/>
      <c r="DX33" s="99"/>
    </row>
    <row r="34" spans="2:128" s="8" customFormat="1" ht="12.75" customHeight="1">
      <c r="B34" s="47" t="s">
        <v>696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>
        <v>1</v>
      </c>
      <c r="AR34" s="94">
        <v>21</v>
      </c>
      <c r="AS34" s="94">
        <v>31</v>
      </c>
      <c r="AT34" s="94">
        <v>87</v>
      </c>
      <c r="AU34" s="94">
        <v>111</v>
      </c>
      <c r="AV34" s="94">
        <v>126</v>
      </c>
      <c r="AW34" s="94">
        <v>149</v>
      </c>
      <c r="AX34" s="94">
        <v>115</v>
      </c>
      <c r="AY34" s="94">
        <v>110</v>
      </c>
      <c r="AZ34" s="94">
        <v>116</v>
      </c>
      <c r="BA34" s="94">
        <v>121</v>
      </c>
      <c r="BB34" s="94">
        <v>81</v>
      </c>
      <c r="BC34" s="94">
        <v>59</v>
      </c>
      <c r="BD34" s="94">
        <v>46</v>
      </c>
      <c r="BE34" s="94">
        <v>27</v>
      </c>
      <c r="BF34" s="94">
        <v>21</v>
      </c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7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>
        <f>SUM(AQ34:AT34)</f>
        <v>140</v>
      </c>
      <c r="DE34" s="94">
        <f>SUM(AU34:AX34)</f>
        <v>501</v>
      </c>
      <c r="DF34" s="94">
        <f>SUM(AY34:BB34)</f>
        <v>428</v>
      </c>
      <c r="DG34" s="94">
        <f>SUM(BC34:BF34)</f>
        <v>153</v>
      </c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U34" s="30"/>
      <c r="DX34" s="99"/>
    </row>
    <row r="35" spans="2:128" s="8" customFormat="1" ht="12.75" customHeight="1">
      <c r="B35" s="47" t="s">
        <v>633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6" t="s">
        <v>524</v>
      </c>
      <c r="AE35" s="96" t="s">
        <v>540</v>
      </c>
      <c r="AF35" s="96" t="s">
        <v>558</v>
      </c>
      <c r="AG35" s="96" t="s">
        <v>551</v>
      </c>
      <c r="AH35" s="96" t="s">
        <v>539</v>
      </c>
      <c r="AI35" s="132" t="s">
        <v>524</v>
      </c>
      <c r="AJ35" s="96" t="s">
        <v>515</v>
      </c>
      <c r="AK35" s="96" t="s">
        <v>506</v>
      </c>
      <c r="AL35" s="94">
        <v>101</v>
      </c>
      <c r="AM35" s="94">
        <f>49+125</f>
        <v>174</v>
      </c>
      <c r="AN35" s="94">
        <v>202</v>
      </c>
      <c r="AO35" s="94">
        <v>137</v>
      </c>
      <c r="AP35" s="94">
        <v>146</v>
      </c>
      <c r="AQ35" s="94">
        <v>155</v>
      </c>
      <c r="AR35" s="94">
        <v>209</v>
      </c>
      <c r="AS35" s="94">
        <v>128</v>
      </c>
      <c r="AT35" s="94">
        <v>129</v>
      </c>
      <c r="AU35" s="94">
        <v>134</v>
      </c>
      <c r="AV35" s="94">
        <v>140</v>
      </c>
      <c r="AW35" s="94">
        <v>64</v>
      </c>
      <c r="AX35" s="94">
        <v>56</v>
      </c>
      <c r="AY35" s="94">
        <v>61</v>
      </c>
      <c r="AZ35" s="94">
        <v>64</v>
      </c>
      <c r="BA35" s="94">
        <v>54</v>
      </c>
      <c r="BB35" s="94">
        <v>55</v>
      </c>
      <c r="BC35" s="94">
        <v>62</v>
      </c>
      <c r="BD35" s="94">
        <v>69</v>
      </c>
      <c r="BE35" s="94">
        <v>49</v>
      </c>
      <c r="BF35" s="94">
        <v>52</v>
      </c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49"/>
      <c r="CT35" s="94"/>
      <c r="CU35" s="94"/>
      <c r="CV35" s="94"/>
      <c r="CW35" s="94"/>
      <c r="CX35" s="94"/>
      <c r="CY35" s="94"/>
      <c r="CZ35" s="94"/>
      <c r="DA35" s="94"/>
      <c r="DB35" s="94"/>
      <c r="DC35" s="94">
        <f>SUM(AM35:AP35)</f>
        <v>659</v>
      </c>
      <c r="DD35" s="94">
        <f>SUM(AQ35:AT35)</f>
        <v>621</v>
      </c>
      <c r="DE35" s="94">
        <f>SUM(AU35:AX35)</f>
        <v>394</v>
      </c>
      <c r="DF35" s="94">
        <f>SUM(AY35:BB35)</f>
        <v>234</v>
      </c>
      <c r="DG35" s="94">
        <f>SUM(BC35:BF35)</f>
        <v>232</v>
      </c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U35" s="30"/>
      <c r="DX35" s="83"/>
    </row>
    <row r="36" spans="2:128" s="41" customFormat="1" ht="12.75" customHeight="1">
      <c r="B36" s="46" t="s">
        <v>106</v>
      </c>
      <c r="C36" s="42"/>
      <c r="D36" s="42"/>
      <c r="E36" s="42"/>
      <c r="F36" s="42"/>
      <c r="G36" s="42"/>
      <c r="H36" s="42"/>
      <c r="I36" s="94"/>
      <c r="J36" s="94"/>
      <c r="K36" s="94"/>
      <c r="L36" s="94"/>
      <c r="M36" s="94"/>
      <c r="N36" s="94"/>
      <c r="O36" s="94">
        <v>88</v>
      </c>
      <c r="P36" s="94">
        <v>101</v>
      </c>
      <c r="Q36" s="94">
        <v>109</v>
      </c>
      <c r="R36" s="94">
        <v>132</v>
      </c>
      <c r="S36" s="94">
        <v>130</v>
      </c>
      <c r="T36" s="94">
        <v>140</v>
      </c>
      <c r="U36" s="94">
        <v>142</v>
      </c>
      <c r="V36" s="94">
        <v>157</v>
      </c>
      <c r="W36" s="94">
        <v>146</v>
      </c>
      <c r="X36" s="94">
        <v>124</v>
      </c>
      <c r="Y36" s="94">
        <v>127</v>
      </c>
      <c r="Z36" s="94">
        <v>133</v>
      </c>
      <c r="AA36" s="94">
        <v>134</v>
      </c>
      <c r="AB36" s="94">
        <v>123</v>
      </c>
      <c r="AC36" s="93">
        <v>135</v>
      </c>
      <c r="AD36" s="94">
        <f>AC36</f>
        <v>135</v>
      </c>
      <c r="AE36" s="94">
        <v>149</v>
      </c>
      <c r="AF36" s="94">
        <v>161</v>
      </c>
      <c r="AG36" s="94">
        <v>148</v>
      </c>
      <c r="AH36" s="94">
        <f>AG36</f>
        <v>148</v>
      </c>
      <c r="AI36" s="130">
        <v>139</v>
      </c>
      <c r="AJ36" s="94">
        <v>149</v>
      </c>
      <c r="AK36" s="94">
        <v>155</v>
      </c>
      <c r="AL36" s="94">
        <v>175</v>
      </c>
      <c r="AM36" s="94">
        <v>153</v>
      </c>
      <c r="AN36" s="94">
        <v>150</v>
      </c>
      <c r="AO36" s="94">
        <v>135</v>
      </c>
      <c r="AP36" s="94">
        <v>174</v>
      </c>
      <c r="AQ36" s="94">
        <v>158</v>
      </c>
      <c r="AR36" s="94">
        <v>168</v>
      </c>
      <c r="AS36" s="94">
        <v>150</v>
      </c>
      <c r="AT36" s="94">
        <v>164</v>
      </c>
      <c r="AU36" s="94">
        <v>145</v>
      </c>
      <c r="AV36" s="94">
        <v>166</v>
      </c>
      <c r="AW36" s="94">
        <v>163</v>
      </c>
      <c r="AX36" s="94">
        <v>145</v>
      </c>
      <c r="AY36" s="94">
        <v>162</v>
      </c>
      <c r="AZ36" s="94">
        <v>163</v>
      </c>
      <c r="BA36" s="94">
        <v>151</v>
      </c>
      <c r="BB36" s="94">
        <v>183</v>
      </c>
      <c r="BC36" s="94">
        <v>166</v>
      </c>
      <c r="BD36" s="94">
        <v>156</v>
      </c>
      <c r="BE36" s="94">
        <v>183</v>
      </c>
      <c r="BF36" s="94">
        <v>175</v>
      </c>
      <c r="BG36" s="94">
        <v>163</v>
      </c>
      <c r="BH36" s="94">
        <v>134</v>
      </c>
      <c r="BI36" s="94">
        <v>139</v>
      </c>
      <c r="BJ36" s="94">
        <v>137</v>
      </c>
      <c r="BK36" s="94">
        <v>133</v>
      </c>
      <c r="BL36" s="94">
        <v>131</v>
      </c>
      <c r="BM36" s="94">
        <v>142</v>
      </c>
      <c r="BN36" s="94">
        <v>152</v>
      </c>
      <c r="BO36" s="94">
        <v>121</v>
      </c>
      <c r="BP36" s="94">
        <v>112</v>
      </c>
      <c r="BQ36" s="94">
        <v>94</v>
      </c>
      <c r="BR36" s="94">
        <v>95</v>
      </c>
      <c r="BS36" s="94">
        <v>91</v>
      </c>
      <c r="BT36" s="94">
        <v>87</v>
      </c>
      <c r="BU36" s="94">
        <v>79</v>
      </c>
      <c r="BV36" s="94">
        <v>69</v>
      </c>
      <c r="BW36" s="94">
        <v>61</v>
      </c>
      <c r="BX36" s="94">
        <v>67</v>
      </c>
      <c r="BY36" s="94">
        <v>62</v>
      </c>
      <c r="BZ36" s="94">
        <v>58</v>
      </c>
      <c r="CA36" s="94">
        <v>55</v>
      </c>
      <c r="CB36" s="94">
        <v>43</v>
      </c>
      <c r="CC36" s="94">
        <v>50</v>
      </c>
      <c r="CD36" s="94">
        <v>65</v>
      </c>
      <c r="CE36" s="94">
        <v>57</v>
      </c>
      <c r="CF36" s="94">
        <v>54</v>
      </c>
      <c r="CG36" s="94">
        <v>56</v>
      </c>
      <c r="CH36" s="94">
        <v>45</v>
      </c>
      <c r="CI36" s="94">
        <v>53</v>
      </c>
      <c r="CJ36" s="94">
        <v>42</v>
      </c>
      <c r="CK36" s="94">
        <v>43</v>
      </c>
      <c r="CL36" s="94">
        <v>36</v>
      </c>
      <c r="CM36" s="94"/>
      <c r="CN36" s="94"/>
      <c r="CO36" s="94"/>
      <c r="CP36" s="94"/>
      <c r="CQ36" s="94"/>
      <c r="CR36" s="94"/>
      <c r="CS36" s="48"/>
      <c r="CT36" s="42" t="s">
        <v>442</v>
      </c>
      <c r="CU36" s="94" t="s">
        <v>442</v>
      </c>
      <c r="CV36" s="94">
        <v>276</v>
      </c>
      <c r="CW36" s="94">
        <f>SUM(O36:R36)</f>
        <v>430</v>
      </c>
      <c r="CX36" s="94">
        <f>SUM(S36:V36)</f>
        <v>569</v>
      </c>
      <c r="CY36" s="94">
        <f>SUM(W36:Z36)</f>
        <v>530</v>
      </c>
      <c r="CZ36" s="94">
        <f>SUM(AA36:AD36)</f>
        <v>527</v>
      </c>
      <c r="DA36" s="94">
        <f>SUM(AE36:AH36)</f>
        <v>606</v>
      </c>
      <c r="DB36" s="94">
        <f>SUM(AI36:AL36)</f>
        <v>618</v>
      </c>
      <c r="DC36" s="94">
        <f>SUM(AM36:AP36)</f>
        <v>612</v>
      </c>
      <c r="DD36" s="94">
        <f>SUM(AQ36:AT36)</f>
        <v>640</v>
      </c>
      <c r="DE36" s="94">
        <f>SUM(AU36:AX36)</f>
        <v>619</v>
      </c>
      <c r="DF36" s="94">
        <f>SUM(AY36:BB36)</f>
        <v>659</v>
      </c>
      <c r="DG36" s="94">
        <f>SUM(BC36:BF36)</f>
        <v>680</v>
      </c>
      <c r="DH36" s="94">
        <f>SUM(BG36:BJ36)</f>
        <v>573</v>
      </c>
      <c r="DI36" s="94">
        <f>SUM(BK36:BN36)</f>
        <v>558</v>
      </c>
      <c r="DJ36" s="94">
        <f>SUM(BO36:BR36)</f>
        <v>422</v>
      </c>
      <c r="DK36" s="94">
        <f>SUM(BS36:BV36)</f>
        <v>326</v>
      </c>
      <c r="DL36" s="94">
        <f>SUM(BW36:BZ36)</f>
        <v>248</v>
      </c>
      <c r="DM36" s="94">
        <f>SUM(CA36:CD36)</f>
        <v>213</v>
      </c>
      <c r="DN36" s="94">
        <f>SUM(CE36:CH36)</f>
        <v>212</v>
      </c>
      <c r="DO36" s="94">
        <f>SUM(CI36:CL36)</f>
        <v>174</v>
      </c>
      <c r="DP36" s="94"/>
      <c r="DQ36" s="94"/>
      <c r="DR36" s="94"/>
      <c r="DS36" s="94"/>
      <c r="DU36" s="30"/>
    </row>
    <row r="37" spans="2:128" s="8" customFormat="1" ht="12.75" customHeight="1">
      <c r="B37" s="47" t="s">
        <v>569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538</v>
      </c>
      <c r="AE37" s="96" t="s">
        <v>537</v>
      </c>
      <c r="AF37" s="96" t="s">
        <v>557</v>
      </c>
      <c r="AG37" s="96" t="s">
        <v>550</v>
      </c>
      <c r="AH37" s="96" t="s">
        <v>537</v>
      </c>
      <c r="AI37" s="132" t="s">
        <v>523</v>
      </c>
      <c r="AJ37" s="96" t="s">
        <v>514</v>
      </c>
      <c r="AK37" s="96" t="s">
        <v>503</v>
      </c>
      <c r="AL37" s="94">
        <v>216</v>
      </c>
      <c r="AM37" s="94">
        <v>186</v>
      </c>
      <c r="AN37" s="94">
        <v>185</v>
      </c>
      <c r="AO37" s="94">
        <v>168</v>
      </c>
      <c r="AP37" s="94">
        <v>198</v>
      </c>
      <c r="AQ37" s="94">
        <v>166</v>
      </c>
      <c r="AR37" s="94">
        <v>154</v>
      </c>
      <c r="AS37" s="94">
        <v>163</v>
      </c>
      <c r="AT37" s="94">
        <v>175</v>
      </c>
      <c r="AU37" s="94">
        <v>162</v>
      </c>
      <c r="AV37" s="94">
        <v>183</v>
      </c>
      <c r="AW37" s="94">
        <v>165</v>
      </c>
      <c r="AX37" s="94">
        <v>143</v>
      </c>
      <c r="AY37" s="94">
        <v>126</v>
      </c>
      <c r="AZ37" s="94">
        <v>142</v>
      </c>
      <c r="BA37" s="94">
        <v>104</v>
      </c>
      <c r="BB37" s="94">
        <v>124</v>
      </c>
      <c r="BC37" s="94">
        <v>112</v>
      </c>
      <c r="BD37" s="94">
        <v>103</v>
      </c>
      <c r="BE37" s="94">
        <v>84</v>
      </c>
      <c r="BF37" s="94">
        <v>81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49"/>
      <c r="CT37" s="94"/>
      <c r="CU37" s="94"/>
      <c r="CV37" s="94"/>
      <c r="CW37" s="94"/>
      <c r="CX37" s="94"/>
      <c r="CY37" s="94"/>
      <c r="CZ37" s="94"/>
      <c r="DA37" s="96" t="s">
        <v>568</v>
      </c>
      <c r="DB37" s="96" t="s">
        <v>567</v>
      </c>
      <c r="DC37" s="94">
        <f t="shared" ref="DC37:DC40" si="113">SUM(AM37:AP37)</f>
        <v>737</v>
      </c>
      <c r="DD37" s="94">
        <f>SUM(AQ37:AT37)</f>
        <v>658</v>
      </c>
      <c r="DE37" s="94">
        <f>SUM(AU37:AX37)</f>
        <v>653</v>
      </c>
      <c r="DF37" s="94">
        <f>SUM(AY37:BB37)</f>
        <v>496</v>
      </c>
      <c r="DG37" s="94">
        <f>SUM(BC37:BF37)</f>
        <v>380</v>
      </c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U37" s="30"/>
      <c r="DX37" s="83"/>
    </row>
    <row r="38" spans="2:128" s="8" customFormat="1" ht="12.75" customHeight="1">
      <c r="B38" s="47" t="s">
        <v>755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6"/>
      <c r="AE38" s="96"/>
      <c r="AF38" s="96"/>
      <c r="AG38" s="96"/>
      <c r="AH38" s="96"/>
      <c r="AI38" s="96"/>
      <c r="AJ38" s="96"/>
      <c r="AK38" s="96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>
        <v>187</v>
      </c>
      <c r="BH38" s="94">
        <v>293</v>
      </c>
      <c r="BI38" s="94">
        <v>325</v>
      </c>
      <c r="BJ38" s="94">
        <v>322</v>
      </c>
      <c r="BK38" s="94">
        <v>292</v>
      </c>
      <c r="BL38" s="94">
        <v>357</v>
      </c>
      <c r="BM38" s="94">
        <v>320</v>
      </c>
      <c r="BN38" s="94">
        <v>119</v>
      </c>
      <c r="BO38" s="94">
        <v>96</v>
      </c>
      <c r="BP38" s="94">
        <v>103</v>
      </c>
      <c r="BQ38" s="94">
        <v>91</v>
      </c>
      <c r="BR38" s="94">
        <v>92</v>
      </c>
      <c r="BS38" s="94">
        <v>98</v>
      </c>
      <c r="BT38" s="94">
        <v>94</v>
      </c>
      <c r="BU38" s="94">
        <v>95</v>
      </c>
      <c r="BV38" s="94">
        <v>80</v>
      </c>
      <c r="BW38" s="94">
        <v>88</v>
      </c>
      <c r="BX38" s="94">
        <v>67</v>
      </c>
      <c r="BY38" s="94">
        <v>52</v>
      </c>
      <c r="BZ38" s="94">
        <v>50</v>
      </c>
      <c r="CA38" s="94">
        <v>46</v>
      </c>
      <c r="CB38" s="94">
        <v>32</v>
      </c>
      <c r="CC38" s="96" t="s">
        <v>627</v>
      </c>
      <c r="CD38" s="94">
        <v>36</v>
      </c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49"/>
      <c r="CT38" s="94"/>
      <c r="CU38" s="94"/>
      <c r="CV38" s="94"/>
      <c r="CW38" s="94"/>
      <c r="CX38" s="94"/>
      <c r="CY38" s="94"/>
      <c r="CZ38" s="94"/>
      <c r="DA38" s="96"/>
      <c r="DB38" s="96"/>
      <c r="DC38" s="94"/>
      <c r="DD38" s="94"/>
      <c r="DE38" s="94"/>
      <c r="DF38" s="94"/>
      <c r="DG38" s="94"/>
      <c r="DH38" s="94">
        <f>SUM(BG38:BJ38)</f>
        <v>1127</v>
      </c>
      <c r="DI38" s="94">
        <f>SUM(BK38:BN38)</f>
        <v>1088</v>
      </c>
      <c r="DJ38" s="94">
        <f>SUM(BO38:BR38)</f>
        <v>382</v>
      </c>
      <c r="DK38" s="94">
        <f>SUM(BS38:BV38)</f>
        <v>367</v>
      </c>
      <c r="DL38" s="94">
        <f>SUM(BW38:BZ38)</f>
        <v>257</v>
      </c>
      <c r="DM38" s="94">
        <f>SUM(CA38:CD38)</f>
        <v>114</v>
      </c>
      <c r="DN38" s="94"/>
      <c r="DO38" s="94"/>
      <c r="DP38" s="94"/>
      <c r="DQ38" s="94"/>
      <c r="DR38" s="94"/>
      <c r="DS38" s="94"/>
      <c r="DU38" s="30"/>
      <c r="DX38" s="83"/>
    </row>
    <row r="39" spans="2:128" s="8" customFormat="1" ht="12.75" customHeight="1">
      <c r="B39" s="47" t="s">
        <v>619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542</v>
      </c>
      <c r="AE39" s="96" t="s">
        <v>516</v>
      </c>
      <c r="AF39" s="96" t="s">
        <v>559</v>
      </c>
      <c r="AG39" s="96" t="s">
        <v>552</v>
      </c>
      <c r="AH39" s="96" t="s">
        <v>541</v>
      </c>
      <c r="AI39" s="132" t="s">
        <v>508</v>
      </c>
      <c r="AJ39" s="96" t="s">
        <v>516</v>
      </c>
      <c r="AK39" s="96" t="s">
        <v>507</v>
      </c>
      <c r="AL39" s="94">
        <v>96</v>
      </c>
      <c r="AM39" s="94">
        <v>134</v>
      </c>
      <c r="AN39" s="94">
        <v>137</v>
      </c>
      <c r="AO39" s="94">
        <v>119</v>
      </c>
      <c r="AP39" s="94">
        <v>138</v>
      </c>
      <c r="AQ39" s="94">
        <v>133</v>
      </c>
      <c r="AR39" s="94">
        <v>143</v>
      </c>
      <c r="AS39" s="94">
        <v>129</v>
      </c>
      <c r="AT39" s="94">
        <v>126</v>
      </c>
      <c r="AU39" s="94">
        <v>116</v>
      </c>
      <c r="AV39" s="94">
        <v>125</v>
      </c>
      <c r="AW39" s="94">
        <v>111</v>
      </c>
      <c r="AX39" s="94">
        <v>116</v>
      </c>
      <c r="AY39" s="94">
        <v>122</v>
      </c>
      <c r="AZ39" s="94">
        <v>134</v>
      </c>
      <c r="BA39" s="94">
        <v>124</v>
      </c>
      <c r="BB39" s="94">
        <v>101</v>
      </c>
      <c r="BC39" s="94">
        <v>110</v>
      </c>
      <c r="BD39" s="94">
        <v>102</v>
      </c>
      <c r="BE39" s="94">
        <v>97</v>
      </c>
      <c r="BF39" s="94">
        <v>102</v>
      </c>
      <c r="BG39" s="94">
        <v>82</v>
      </c>
      <c r="BH39" s="94">
        <v>111</v>
      </c>
      <c r="BI39" s="94">
        <v>95</v>
      </c>
      <c r="BJ39" s="94">
        <v>95</v>
      </c>
      <c r="BK39" s="94">
        <v>94</v>
      </c>
      <c r="BL39" s="94">
        <v>73</v>
      </c>
      <c r="BM39" s="94">
        <v>101</v>
      </c>
      <c r="BN39" s="94">
        <v>87</v>
      </c>
      <c r="BO39" s="94">
        <v>81</v>
      </c>
      <c r="BP39" s="94">
        <v>79</v>
      </c>
      <c r="BQ39" s="94">
        <v>72</v>
      </c>
      <c r="BR39" s="94">
        <v>66</v>
      </c>
      <c r="BS39" s="94">
        <v>67</v>
      </c>
      <c r="BT39" s="94">
        <v>70</v>
      </c>
      <c r="BU39" s="94">
        <v>60</v>
      </c>
      <c r="BV39" s="94">
        <v>70</v>
      </c>
      <c r="BW39" s="94">
        <v>57</v>
      </c>
      <c r="BX39" s="94">
        <v>63</v>
      </c>
      <c r="BY39" s="94">
        <v>62</v>
      </c>
      <c r="BZ39" s="94">
        <v>58</v>
      </c>
      <c r="CA39" s="94">
        <v>41</v>
      </c>
      <c r="CB39" s="94">
        <v>44</v>
      </c>
      <c r="CC39" s="96" t="s">
        <v>624</v>
      </c>
      <c r="CD39" s="94">
        <v>57</v>
      </c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49"/>
      <c r="CT39" s="94"/>
      <c r="CU39" s="94"/>
      <c r="CV39" s="94"/>
      <c r="CW39" s="94"/>
      <c r="CX39" s="94"/>
      <c r="CY39" s="94"/>
      <c r="CZ39" s="94"/>
      <c r="DA39" s="94"/>
      <c r="DB39" s="94"/>
      <c r="DC39" s="94">
        <f t="shared" si="113"/>
        <v>528</v>
      </c>
      <c r="DD39" s="94">
        <f>SUM(AQ39:AT39)</f>
        <v>531</v>
      </c>
      <c r="DE39" s="94">
        <f>SUM(AU39:AX39)</f>
        <v>468</v>
      </c>
      <c r="DF39" s="94">
        <f>SUM(AY39:BB39)</f>
        <v>481</v>
      </c>
      <c r="DG39" s="94">
        <f>SUM(BC39:BF39)</f>
        <v>411</v>
      </c>
      <c r="DH39" s="94">
        <f>SUM(BG39:BJ39)</f>
        <v>383</v>
      </c>
      <c r="DI39" s="94">
        <f>SUM(BK39:BN39)</f>
        <v>355</v>
      </c>
      <c r="DJ39" s="94">
        <f>SUM(BO39:BR39)</f>
        <v>298</v>
      </c>
      <c r="DK39" s="94">
        <f>SUM(BS39:BV39)</f>
        <v>267</v>
      </c>
      <c r="DL39" s="94">
        <f>SUM(BW39:BZ39)</f>
        <v>240</v>
      </c>
      <c r="DM39" s="94">
        <f>SUM(CA39:CD39)</f>
        <v>142</v>
      </c>
      <c r="DN39" s="94"/>
      <c r="DO39" s="94"/>
      <c r="DP39" s="94"/>
      <c r="DQ39" s="94"/>
      <c r="DR39" s="94"/>
      <c r="DS39" s="94"/>
      <c r="DU39" s="30"/>
    </row>
    <row r="40" spans="2:128" s="8" customFormat="1" ht="12.75" customHeight="1">
      <c r="B40" s="47" t="s">
        <v>612</v>
      </c>
      <c r="C40" s="9"/>
      <c r="D40" s="9"/>
      <c r="E40" s="9"/>
      <c r="F40" s="9"/>
      <c r="G40" s="7"/>
      <c r="H40" s="7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132" t="s">
        <v>628</v>
      </c>
      <c r="AJ40" s="94">
        <v>43</v>
      </c>
      <c r="AK40" s="94">
        <v>45</v>
      </c>
      <c r="AL40" s="94">
        <v>53</v>
      </c>
      <c r="AM40" s="94">
        <v>51</v>
      </c>
      <c r="AN40" s="94">
        <v>51</v>
      </c>
      <c r="AO40" s="94">
        <v>64</v>
      </c>
      <c r="AP40" s="94">
        <v>71</v>
      </c>
      <c r="AQ40" s="94">
        <v>60</v>
      </c>
      <c r="AR40" s="94">
        <v>81</v>
      </c>
      <c r="AS40" s="94">
        <v>80</v>
      </c>
      <c r="AT40" s="94">
        <v>74</v>
      </c>
      <c r="AU40" s="94">
        <v>76</v>
      </c>
      <c r="AV40" s="94">
        <v>85</v>
      </c>
      <c r="AW40" s="94">
        <v>93</v>
      </c>
      <c r="AX40" s="94">
        <v>94</v>
      </c>
      <c r="AY40" s="94">
        <v>84</v>
      </c>
      <c r="AZ40" s="94">
        <v>102</v>
      </c>
      <c r="BA40" s="94">
        <v>96</v>
      </c>
      <c r="BB40" s="94">
        <v>120</v>
      </c>
      <c r="BC40" s="94">
        <v>102</v>
      </c>
      <c r="BD40" s="94">
        <v>119</v>
      </c>
      <c r="BE40" s="94">
        <v>158</v>
      </c>
      <c r="BF40" s="94">
        <v>123</v>
      </c>
      <c r="BG40" s="94">
        <v>137</v>
      </c>
      <c r="BH40" s="94">
        <v>124</v>
      </c>
      <c r="BI40" s="94">
        <v>176</v>
      </c>
      <c r="BJ40" s="94">
        <v>151</v>
      </c>
      <c r="BK40" s="94">
        <v>134</v>
      </c>
      <c r="BL40" s="94">
        <v>164</v>
      </c>
      <c r="BM40" s="94">
        <v>148</v>
      </c>
      <c r="BN40" s="94">
        <v>160</v>
      </c>
      <c r="BO40" s="94">
        <v>170</v>
      </c>
      <c r="BP40" s="94">
        <v>178</v>
      </c>
      <c r="BQ40" s="94">
        <v>155</v>
      </c>
      <c r="BR40" s="94">
        <v>183</v>
      </c>
      <c r="BS40" s="94">
        <v>174</v>
      </c>
      <c r="BT40" s="94">
        <v>174</v>
      </c>
      <c r="BU40" s="94">
        <v>186</v>
      </c>
      <c r="BV40" s="94">
        <v>169</v>
      </c>
      <c r="BW40" s="94">
        <v>199</v>
      </c>
      <c r="BX40" s="94">
        <v>183</v>
      </c>
      <c r="BY40" s="94">
        <v>199</v>
      </c>
      <c r="BZ40" s="94">
        <v>206</v>
      </c>
      <c r="CA40" s="94">
        <v>195</v>
      </c>
      <c r="CB40" s="94">
        <v>132</v>
      </c>
      <c r="CC40" s="96" t="s">
        <v>782</v>
      </c>
      <c r="CD40" s="94">
        <v>165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49"/>
      <c r="CT40" s="9"/>
      <c r="CU40" s="94"/>
      <c r="CV40" s="94"/>
      <c r="CW40" s="94"/>
      <c r="CX40" s="94"/>
      <c r="CY40" s="94"/>
      <c r="CZ40" s="94"/>
      <c r="DA40" s="94"/>
      <c r="DB40" s="94"/>
      <c r="DC40" s="94">
        <f t="shared" si="113"/>
        <v>237</v>
      </c>
      <c r="DD40" s="94">
        <f>SUM(AQ40:AT40)</f>
        <v>295</v>
      </c>
      <c r="DE40" s="94">
        <f>SUM(AU40:AX40)</f>
        <v>348</v>
      </c>
      <c r="DF40" s="94">
        <f>SUM(AY40:BB40)</f>
        <v>402</v>
      </c>
      <c r="DG40" s="94">
        <f>SUM(BC40:BF40)</f>
        <v>502</v>
      </c>
      <c r="DH40" s="94">
        <f>SUM(BG40:BJ40)</f>
        <v>588</v>
      </c>
      <c r="DI40" s="94">
        <f>SUM(BK40:BN40)</f>
        <v>606</v>
      </c>
      <c r="DJ40" s="94">
        <f>SUM(BO40:BR40)</f>
        <v>686</v>
      </c>
      <c r="DK40" s="94">
        <f>SUM(BS40:BV40)</f>
        <v>703</v>
      </c>
      <c r="DL40" s="94">
        <f>SUM(BW40:BZ40)</f>
        <v>787</v>
      </c>
      <c r="DM40" s="94">
        <f>SUM(CA40:CD40)</f>
        <v>492</v>
      </c>
      <c r="DN40" s="94"/>
      <c r="DO40" s="94"/>
      <c r="DP40" s="94"/>
      <c r="DQ40" s="94"/>
      <c r="DR40" s="94"/>
      <c r="DS40" s="94"/>
      <c r="DU40" s="30"/>
    </row>
    <row r="41" spans="2:128" s="8" customFormat="1" ht="12.75" customHeight="1">
      <c r="B41" s="47" t="s">
        <v>676</v>
      </c>
      <c r="C41" s="9"/>
      <c r="D41" s="9"/>
      <c r="E41" s="9"/>
      <c r="F41" s="9"/>
      <c r="G41" s="7"/>
      <c r="H41" s="7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3"/>
      <c r="AD41" s="94"/>
      <c r="AE41" s="94"/>
      <c r="AF41" s="94"/>
      <c r="AG41" s="94"/>
      <c r="AH41" s="94"/>
      <c r="AI41" s="96"/>
      <c r="AJ41" s="94"/>
      <c r="AK41" s="94"/>
      <c r="AL41" s="94"/>
      <c r="AM41" s="94"/>
      <c r="AN41" s="94"/>
      <c r="AO41" s="94"/>
      <c r="AP41" s="94"/>
      <c r="AQ41" s="94">
        <v>13</v>
      </c>
      <c r="AR41" s="94">
        <v>25</v>
      </c>
      <c r="AS41" s="94">
        <v>22</v>
      </c>
      <c r="AT41" s="94">
        <v>37</v>
      </c>
      <c r="AU41" s="94">
        <v>39</v>
      </c>
      <c r="AV41" s="94">
        <v>50</v>
      </c>
      <c r="AW41" s="94">
        <v>52</v>
      </c>
      <c r="AX41" s="94">
        <v>67</v>
      </c>
      <c r="AY41" s="94">
        <v>68</v>
      </c>
      <c r="AZ41" s="94">
        <v>79</v>
      </c>
      <c r="BA41" s="94">
        <v>82</v>
      </c>
      <c r="BB41" s="94">
        <v>95</v>
      </c>
      <c r="BC41" s="94">
        <v>102</v>
      </c>
      <c r="BD41" s="94">
        <v>103</v>
      </c>
      <c r="BE41" s="94">
        <v>124</v>
      </c>
      <c r="BF41" s="94">
        <v>132</v>
      </c>
      <c r="BG41" s="94">
        <v>130</v>
      </c>
      <c r="BH41" s="94">
        <v>120</v>
      </c>
      <c r="BI41" s="94">
        <v>133</v>
      </c>
      <c r="BJ41" s="94">
        <v>153</v>
      </c>
      <c r="BK41" s="94">
        <v>113</v>
      </c>
      <c r="BL41" s="94">
        <v>121</v>
      </c>
      <c r="BM41" s="94">
        <v>97</v>
      </c>
      <c r="BN41" s="94">
        <v>105</v>
      </c>
      <c r="BO41" s="94">
        <v>82</v>
      </c>
      <c r="BP41" s="94">
        <v>69</v>
      </c>
      <c r="BQ41" s="94">
        <v>59</v>
      </c>
      <c r="BR41" s="94">
        <v>77</v>
      </c>
      <c r="BS41" s="94">
        <v>57</v>
      </c>
      <c r="BT41" s="94">
        <v>42</v>
      </c>
      <c r="BU41" s="94">
        <v>50</v>
      </c>
      <c r="BV41" s="94">
        <v>65</v>
      </c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49"/>
      <c r="CT41" s="9"/>
      <c r="CU41" s="98"/>
      <c r="CV41" s="94"/>
      <c r="CW41" s="94"/>
      <c r="CX41" s="94"/>
      <c r="CY41" s="94"/>
      <c r="CZ41" s="94"/>
      <c r="DA41" s="94"/>
      <c r="DB41" s="94"/>
      <c r="DC41" s="94"/>
      <c r="DD41" s="94">
        <f>SUM(AQ41:AT41)</f>
        <v>97</v>
      </c>
      <c r="DE41" s="94">
        <f>SUM(AU41:AX41)</f>
        <v>208</v>
      </c>
      <c r="DF41" s="94">
        <f>SUM(AY41:BB41)</f>
        <v>324</v>
      </c>
      <c r="DG41" s="94">
        <f>SUM(BC41:BF41)</f>
        <v>461</v>
      </c>
      <c r="DH41" s="94">
        <f>SUM(BG41:BJ41)</f>
        <v>536</v>
      </c>
      <c r="DI41" s="94">
        <f>SUM(BK41:BN41)</f>
        <v>436</v>
      </c>
      <c r="DJ41" s="94">
        <f>SUM(BO41:BR41)</f>
        <v>287</v>
      </c>
      <c r="DK41" s="94">
        <f>SUM(BS41:BV41)</f>
        <v>214</v>
      </c>
      <c r="DL41" s="94"/>
      <c r="DM41" s="94"/>
      <c r="DN41" s="94"/>
      <c r="DO41" s="94"/>
      <c r="DP41" s="94"/>
      <c r="DQ41" s="94"/>
      <c r="DR41" s="94"/>
      <c r="DS41" s="94"/>
      <c r="DU41" s="30"/>
    </row>
    <row r="42" spans="2:128" s="8" customFormat="1" ht="12.75" customHeight="1">
      <c r="B42" s="47" t="s">
        <v>128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>
        <v>1</v>
      </c>
      <c r="Y42" s="94">
        <v>10</v>
      </c>
      <c r="Z42" s="94">
        <v>27</v>
      </c>
      <c r="AA42" s="94">
        <v>43</v>
      </c>
      <c r="AB42" s="94">
        <v>47</v>
      </c>
      <c r="AC42" s="93">
        <v>61</v>
      </c>
      <c r="AD42" s="94">
        <v>80</v>
      </c>
      <c r="AE42" s="94">
        <v>74</v>
      </c>
      <c r="AF42" s="94">
        <v>66</v>
      </c>
      <c r="AG42" s="94">
        <v>11</v>
      </c>
      <c r="AH42" s="94">
        <v>162</v>
      </c>
      <c r="AI42" s="130">
        <v>75</v>
      </c>
      <c r="AJ42" s="94">
        <v>42</v>
      </c>
      <c r="AK42" s="94">
        <v>84</v>
      </c>
      <c r="AL42" s="94">
        <v>76</v>
      </c>
      <c r="AM42" s="94">
        <v>95</v>
      </c>
      <c r="AN42" s="94">
        <v>18</v>
      </c>
      <c r="AO42" s="94">
        <v>23</v>
      </c>
      <c r="AP42" s="94">
        <v>107</v>
      </c>
      <c r="AQ42" s="94">
        <v>24</v>
      </c>
      <c r="AR42" s="94">
        <v>122</v>
      </c>
      <c r="AS42" s="94">
        <v>108</v>
      </c>
      <c r="AT42" s="94">
        <v>78</v>
      </c>
      <c r="AU42" s="94">
        <v>76</v>
      </c>
      <c r="AV42" s="94">
        <v>148</v>
      </c>
      <c r="AW42" s="94">
        <v>202</v>
      </c>
      <c r="AX42" s="94">
        <v>225</v>
      </c>
      <c r="AY42" s="94">
        <v>168</v>
      </c>
      <c r="AZ42" s="94">
        <v>141</v>
      </c>
      <c r="BA42" s="94">
        <v>185</v>
      </c>
      <c r="BB42" s="94">
        <v>264</v>
      </c>
      <c r="BC42" s="94">
        <v>142</v>
      </c>
      <c r="BD42" s="94">
        <v>156</v>
      </c>
      <c r="BE42" s="94">
        <v>181</v>
      </c>
      <c r="BF42" s="94">
        <v>285</v>
      </c>
      <c r="BG42" s="94">
        <v>175</v>
      </c>
      <c r="BH42" s="94">
        <v>149</v>
      </c>
      <c r="BI42" s="94">
        <v>179</v>
      </c>
      <c r="BJ42" s="94">
        <v>246</v>
      </c>
      <c r="BK42" s="94">
        <v>125</v>
      </c>
      <c r="BL42" s="94">
        <v>149</v>
      </c>
      <c r="BM42" s="94">
        <v>190</v>
      </c>
      <c r="BN42" s="94">
        <v>221</v>
      </c>
      <c r="BO42" s="94">
        <v>154</v>
      </c>
      <c r="BP42" s="94">
        <v>160</v>
      </c>
      <c r="BQ42" s="94">
        <v>234</v>
      </c>
      <c r="BR42" s="94">
        <v>121</v>
      </c>
      <c r="BS42" s="94">
        <v>65</v>
      </c>
      <c r="BT42" s="94">
        <v>44</v>
      </c>
      <c r="BU42" s="94">
        <v>54</v>
      </c>
      <c r="BV42" s="94">
        <v>54</v>
      </c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49"/>
      <c r="CT42" s="9" t="s">
        <v>442</v>
      </c>
      <c r="CU42" s="94" t="s">
        <v>442</v>
      </c>
      <c r="CV42" s="94" t="s">
        <v>442</v>
      </c>
      <c r="CW42" s="94">
        <f>SUM(O42:R42)</f>
        <v>0</v>
      </c>
      <c r="CX42" s="94">
        <f>SUM(S42:V42)</f>
        <v>0</v>
      </c>
      <c r="CY42" s="94">
        <f>SUM(W42:Z42)</f>
        <v>38</v>
      </c>
      <c r="CZ42" s="94">
        <f>SUM(AA42:AD42)</f>
        <v>231</v>
      </c>
      <c r="DA42" s="94">
        <f>SUM(AE42:AH42)</f>
        <v>313</v>
      </c>
      <c r="DB42" s="94">
        <f>SUM(AI42:AL42)</f>
        <v>277</v>
      </c>
      <c r="DC42" s="94">
        <f>SUM(AM42:AP42)</f>
        <v>243</v>
      </c>
      <c r="DD42" s="94">
        <f>SUM(AQ42:AT42)</f>
        <v>332</v>
      </c>
      <c r="DE42" s="94">
        <f>SUM(AU42:AX42)</f>
        <v>651</v>
      </c>
      <c r="DF42" s="94">
        <f>SUM(AY42:BB42)</f>
        <v>758</v>
      </c>
      <c r="DG42" s="94">
        <f>SUM(BC42:BF42)</f>
        <v>764</v>
      </c>
      <c r="DH42" s="94">
        <f>SUM(BG42:BJ42)</f>
        <v>749</v>
      </c>
      <c r="DI42" s="94">
        <f>SUM(BK42:BN42)</f>
        <v>685</v>
      </c>
      <c r="DJ42" s="94">
        <f>SUM(BO42:BR42)</f>
        <v>669</v>
      </c>
      <c r="DK42" s="94">
        <f>SUM(BS42:BV42)</f>
        <v>217</v>
      </c>
      <c r="DL42" s="94"/>
      <c r="DM42" s="94"/>
      <c r="DN42" s="94"/>
      <c r="DO42" s="94"/>
      <c r="DP42" s="94"/>
      <c r="DQ42" s="94"/>
      <c r="DR42" s="94"/>
      <c r="DS42" s="94"/>
      <c r="DU42" s="30"/>
    </row>
    <row r="43" spans="2:128" s="41" customFormat="1" ht="12.75" customHeight="1">
      <c r="B43" s="46" t="s">
        <v>695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6" t="s">
        <v>544</v>
      </c>
      <c r="AE43" s="96" t="s">
        <v>518</v>
      </c>
      <c r="AF43" s="96" t="s">
        <v>560</v>
      </c>
      <c r="AG43" s="96" t="s">
        <v>553</v>
      </c>
      <c r="AH43" s="96" t="s">
        <v>543</v>
      </c>
      <c r="AI43" s="132" t="s">
        <v>525</v>
      </c>
      <c r="AJ43" s="96" t="s">
        <v>517</v>
      </c>
      <c r="AK43" s="96" t="s">
        <v>508</v>
      </c>
      <c r="AL43" s="94">
        <v>88</v>
      </c>
      <c r="AM43" s="94">
        <v>135</v>
      </c>
      <c r="AN43" s="94">
        <v>145</v>
      </c>
      <c r="AO43" s="94">
        <v>134</v>
      </c>
      <c r="AP43" s="94">
        <v>145</v>
      </c>
      <c r="AQ43" s="94">
        <v>142</v>
      </c>
      <c r="AR43" s="94">
        <v>154</v>
      </c>
      <c r="AS43" s="94">
        <v>159</v>
      </c>
      <c r="AT43" s="94">
        <v>168</v>
      </c>
      <c r="AU43" s="94">
        <v>146</v>
      </c>
      <c r="AV43" s="94">
        <v>157</v>
      </c>
      <c r="AW43" s="94">
        <v>156</v>
      </c>
      <c r="AX43" s="94">
        <v>164</v>
      </c>
      <c r="AY43" s="94">
        <v>151</v>
      </c>
      <c r="AZ43" s="94">
        <v>171</v>
      </c>
      <c r="BA43" s="94">
        <v>170</v>
      </c>
      <c r="BB43" s="94">
        <v>193</v>
      </c>
      <c r="BC43" s="94">
        <v>168</v>
      </c>
      <c r="BD43" s="94">
        <v>178</v>
      </c>
      <c r="BE43" s="94">
        <v>186</v>
      </c>
      <c r="BF43" s="94">
        <v>191</v>
      </c>
      <c r="BG43" s="94">
        <v>166</v>
      </c>
      <c r="BH43" s="94">
        <v>182</v>
      </c>
      <c r="BI43" s="94">
        <v>190</v>
      </c>
      <c r="BJ43" s="94">
        <v>193</v>
      </c>
      <c r="BK43" s="94">
        <v>175</v>
      </c>
      <c r="BL43" s="94">
        <v>200</v>
      </c>
      <c r="BM43" s="94">
        <v>195</v>
      </c>
      <c r="BN43" s="94">
        <v>207</v>
      </c>
      <c r="BO43" s="94">
        <v>160</v>
      </c>
      <c r="BP43" s="94">
        <v>199</v>
      </c>
      <c r="BQ43" s="94">
        <v>214</v>
      </c>
      <c r="BR43" s="94">
        <v>188</v>
      </c>
      <c r="BS43" s="94">
        <v>216</v>
      </c>
      <c r="BT43" s="94">
        <v>236</v>
      </c>
      <c r="BU43" s="94">
        <v>234</v>
      </c>
      <c r="BV43" s="94">
        <v>216</v>
      </c>
      <c r="BW43" s="94">
        <v>219</v>
      </c>
      <c r="BX43" s="94">
        <v>240</v>
      </c>
      <c r="BY43" s="94">
        <v>241</v>
      </c>
      <c r="BZ43" s="94">
        <v>179</v>
      </c>
      <c r="CA43" s="94">
        <v>63</v>
      </c>
      <c r="CB43" s="94">
        <v>63</v>
      </c>
      <c r="CC43" s="96" t="s">
        <v>781</v>
      </c>
      <c r="CD43" s="94">
        <v>53</v>
      </c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48"/>
      <c r="CT43" s="94"/>
      <c r="CU43" s="94"/>
      <c r="CV43" s="94"/>
      <c r="CW43" s="94"/>
      <c r="CX43" s="94"/>
      <c r="CY43" s="94"/>
      <c r="CZ43" s="94"/>
      <c r="DA43" s="94"/>
      <c r="DB43" s="94"/>
      <c r="DC43" s="94">
        <f>SUM(AM43:AP43)</f>
        <v>559</v>
      </c>
      <c r="DD43" s="94">
        <f>SUM(AQ43:AT43)</f>
        <v>623</v>
      </c>
      <c r="DE43" s="94">
        <f>SUM(AU43:AX43)</f>
        <v>623</v>
      </c>
      <c r="DF43" s="94">
        <f>SUM(AY43:BB43)</f>
        <v>685</v>
      </c>
      <c r="DG43" s="94">
        <f>SUM(BC43:BF43)</f>
        <v>723</v>
      </c>
      <c r="DH43" s="94">
        <f>SUM(BG43:BJ43)</f>
        <v>731</v>
      </c>
      <c r="DI43" s="94">
        <f>SUM(BK43:BN43)</f>
        <v>777</v>
      </c>
      <c r="DJ43" s="94">
        <f>SUM(BO43:BR43)</f>
        <v>761</v>
      </c>
      <c r="DK43" s="94">
        <f>SUM(BS43:BV43)</f>
        <v>902</v>
      </c>
      <c r="DL43" s="94">
        <f>SUM(BW43:BZ43)</f>
        <v>879</v>
      </c>
      <c r="DM43" s="94">
        <f>SUM(CA43:CD43)</f>
        <v>179</v>
      </c>
      <c r="DN43" s="94"/>
      <c r="DO43" s="94"/>
      <c r="DP43" s="94"/>
      <c r="DQ43" s="94"/>
      <c r="DR43" s="94"/>
      <c r="DS43" s="94"/>
      <c r="DU43" s="30"/>
    </row>
    <row r="44" spans="2:128" s="8" customFormat="1" ht="12.75" customHeight="1">
      <c r="B44" s="47" t="s">
        <v>107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>
        <v>30</v>
      </c>
      <c r="P44" s="94">
        <v>62</v>
      </c>
      <c r="Q44" s="94">
        <v>61</v>
      </c>
      <c r="R44" s="94">
        <v>77</v>
      </c>
      <c r="S44" s="94">
        <v>57</v>
      </c>
      <c r="T44" s="94">
        <v>50</v>
      </c>
      <c r="U44" s="94">
        <v>56</v>
      </c>
      <c r="V44" s="94">
        <v>55</v>
      </c>
      <c r="W44" s="94">
        <v>59</v>
      </c>
      <c r="X44" s="94">
        <v>66</v>
      </c>
      <c r="Y44" s="94">
        <v>66</v>
      </c>
      <c r="Z44" s="94">
        <v>74</v>
      </c>
      <c r="AA44" s="94">
        <v>79</v>
      </c>
      <c r="AB44" s="94">
        <v>89</v>
      </c>
      <c r="AC44" s="93">
        <v>76</v>
      </c>
      <c r="AD44" s="94">
        <f>AC44</f>
        <v>76</v>
      </c>
      <c r="AE44" s="94">
        <v>93</v>
      </c>
      <c r="AF44" s="94">
        <v>104</v>
      </c>
      <c r="AG44" s="94">
        <v>97</v>
      </c>
      <c r="AH44" s="94">
        <f>AG44-1</f>
        <v>96</v>
      </c>
      <c r="AI44" s="130">
        <v>81</v>
      </c>
      <c r="AJ44" s="94">
        <v>88</v>
      </c>
      <c r="AK44" s="94">
        <v>90</v>
      </c>
      <c r="AL44" s="94">
        <v>98</v>
      </c>
      <c r="AM44" s="94">
        <v>95</v>
      </c>
      <c r="AN44" s="94">
        <v>95</v>
      </c>
      <c r="AO44" s="94">
        <v>94</v>
      </c>
      <c r="AP44" s="94">
        <v>115</v>
      </c>
      <c r="AQ44" s="94">
        <v>114</v>
      </c>
      <c r="AR44" s="94">
        <v>100</v>
      </c>
      <c r="AS44" s="94">
        <v>108</v>
      </c>
      <c r="AT44" s="94">
        <v>110</v>
      </c>
      <c r="AU44" s="94">
        <v>112</v>
      </c>
      <c r="AV44" s="94">
        <v>117</v>
      </c>
      <c r="AW44" s="94">
        <v>109</v>
      </c>
      <c r="AX44" s="94">
        <v>115</v>
      </c>
      <c r="AY44" s="94">
        <v>121</v>
      </c>
      <c r="AZ44" s="94">
        <v>121</v>
      </c>
      <c r="BA44" s="94">
        <v>112</v>
      </c>
      <c r="BB44" s="94">
        <v>131</v>
      </c>
      <c r="BC44" s="94">
        <v>128</v>
      </c>
      <c r="BD44" s="94">
        <v>141</v>
      </c>
      <c r="BE44" s="94">
        <v>132</v>
      </c>
      <c r="BF44" s="94">
        <v>118</v>
      </c>
      <c r="BG44" s="94">
        <v>123</v>
      </c>
      <c r="BH44" s="94">
        <v>115</v>
      </c>
      <c r="BI44" s="94">
        <v>123</v>
      </c>
      <c r="BJ44" s="94">
        <v>110</v>
      </c>
      <c r="BK44" s="94">
        <v>111</v>
      </c>
      <c r="BL44" s="94">
        <v>117</v>
      </c>
      <c r="BM44" s="94">
        <v>114</v>
      </c>
      <c r="BN44" s="94">
        <v>108</v>
      </c>
      <c r="BO44" s="94">
        <v>103</v>
      </c>
      <c r="BP44" s="94">
        <v>89</v>
      </c>
      <c r="BQ44" s="94">
        <v>80</v>
      </c>
      <c r="BR44" s="94">
        <v>91</v>
      </c>
      <c r="BS44" s="94">
        <v>83</v>
      </c>
      <c r="BT44" s="94">
        <v>84</v>
      </c>
      <c r="BU44" s="94">
        <v>83</v>
      </c>
      <c r="BV44" s="94">
        <v>86</v>
      </c>
      <c r="BW44" s="94">
        <v>75</v>
      </c>
      <c r="BX44" s="94">
        <v>75</v>
      </c>
      <c r="BY44" s="94">
        <v>72</v>
      </c>
      <c r="BZ44" s="94">
        <v>67</v>
      </c>
      <c r="CA44" s="94">
        <v>70</v>
      </c>
      <c r="CB44" s="94">
        <v>65</v>
      </c>
      <c r="CC44" s="96" t="s">
        <v>788</v>
      </c>
      <c r="CD44" s="94">
        <v>54</v>
      </c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49"/>
      <c r="CT44" s="9" t="s">
        <v>442</v>
      </c>
      <c r="CU44" s="94" t="s">
        <v>442</v>
      </c>
      <c r="CV44" s="94">
        <v>70</v>
      </c>
      <c r="CW44" s="94">
        <f>SUM(O44:R44)</f>
        <v>230</v>
      </c>
      <c r="CX44" s="94">
        <f>SUM(S44:V44)</f>
        <v>218</v>
      </c>
      <c r="CY44" s="94">
        <f>SUM(W44:Z44)</f>
        <v>265</v>
      </c>
      <c r="CZ44" s="94">
        <f>SUM(AA44:AD44)</f>
        <v>320</v>
      </c>
      <c r="DA44" s="94">
        <f>SUM(AE44:AH44)</f>
        <v>390</v>
      </c>
      <c r="DB44" s="94">
        <f>SUM(AI44:AL44)</f>
        <v>357</v>
      </c>
      <c r="DC44" s="94">
        <f>SUM(AM44:AP44)</f>
        <v>399</v>
      </c>
      <c r="DD44" s="94">
        <f>SUM(AQ44:AT44)</f>
        <v>432</v>
      </c>
      <c r="DE44" s="94">
        <f>SUM(AU44:AX44)</f>
        <v>453</v>
      </c>
      <c r="DF44" s="94">
        <f>SUM(AY44:BB44)</f>
        <v>485</v>
      </c>
      <c r="DG44" s="94">
        <f>SUM(BC44:BF44)</f>
        <v>519</v>
      </c>
      <c r="DH44" s="94">
        <f>SUM(BG44:BJ44)</f>
        <v>471</v>
      </c>
      <c r="DI44" s="94">
        <f>SUM(BK44:BN44)</f>
        <v>450</v>
      </c>
      <c r="DJ44" s="94">
        <f>SUM(BO44:BR44)</f>
        <v>363</v>
      </c>
      <c r="DK44" s="94">
        <f>SUM(BS44:BV44)</f>
        <v>336</v>
      </c>
      <c r="DL44" s="94">
        <f>SUM(BW44:BZ44)</f>
        <v>289</v>
      </c>
      <c r="DM44" s="94">
        <f>SUM(CA44:CD44)</f>
        <v>189</v>
      </c>
      <c r="DN44" s="94"/>
      <c r="DO44" s="94"/>
      <c r="DP44" s="94"/>
      <c r="DQ44" s="94"/>
      <c r="DR44" s="94"/>
      <c r="DS44" s="94"/>
      <c r="DU44" s="30"/>
      <c r="DX44" s="83"/>
    </row>
    <row r="45" spans="2:128" s="8" customFormat="1" ht="12.75" customHeight="1">
      <c r="B45" s="47" t="s">
        <v>11</v>
      </c>
      <c r="C45" s="94">
        <v>394.74103000000002</v>
      </c>
      <c r="D45" s="94">
        <v>394.74152000000004</v>
      </c>
      <c r="E45" s="94">
        <v>419.24689999999998</v>
      </c>
      <c r="F45" s="94">
        <v>441.19976359338057</v>
      </c>
      <c r="G45" s="94">
        <v>515</v>
      </c>
      <c r="H45" s="94">
        <v>586</v>
      </c>
      <c r="I45" s="94">
        <v>451</v>
      </c>
      <c r="J45" s="94">
        <v>691</v>
      </c>
      <c r="K45" s="94">
        <v>795</v>
      </c>
      <c r="L45" s="94">
        <v>544</v>
      </c>
      <c r="M45" s="94">
        <v>687.25</v>
      </c>
      <c r="N45" s="94">
        <v>650.25</v>
      </c>
      <c r="O45" s="94">
        <v>759</v>
      </c>
      <c r="P45" s="94">
        <v>792</v>
      </c>
      <c r="Q45" s="94">
        <v>778</v>
      </c>
      <c r="R45" s="94">
        <v>831</v>
      </c>
      <c r="S45" s="94">
        <v>772</v>
      </c>
      <c r="T45" s="94">
        <v>853</v>
      </c>
      <c r="U45" s="94">
        <v>777</v>
      </c>
      <c r="V45" s="94">
        <v>789</v>
      </c>
      <c r="W45" s="94">
        <v>754</v>
      </c>
      <c r="X45" s="94">
        <v>821</v>
      </c>
      <c r="Y45" s="94">
        <v>771</v>
      </c>
      <c r="Z45" s="94">
        <v>789</v>
      </c>
      <c r="AA45" s="94">
        <v>742</v>
      </c>
      <c r="AB45" s="94">
        <v>786</v>
      </c>
      <c r="AC45" s="94">
        <v>725</v>
      </c>
      <c r="AD45" s="94">
        <v>730</v>
      </c>
      <c r="AE45" s="94">
        <v>470</v>
      </c>
      <c r="AF45" s="94">
        <v>411</v>
      </c>
      <c r="AG45" s="94">
        <v>354</v>
      </c>
      <c r="AH45" s="94">
        <f>AG45-40</f>
        <v>314</v>
      </c>
      <c r="AI45" s="130">
        <v>261</v>
      </c>
      <c r="AJ45" s="94">
        <v>277</v>
      </c>
      <c r="AK45" s="94">
        <v>276</v>
      </c>
      <c r="AL45" s="94">
        <v>285</v>
      </c>
      <c r="AM45" s="94">
        <f>25+205</f>
        <v>230</v>
      </c>
      <c r="AN45" s="94">
        <v>241</v>
      </c>
      <c r="AO45" s="94">
        <v>220</v>
      </c>
      <c r="AP45" s="94">
        <v>234</v>
      </c>
      <c r="AQ45" s="94">
        <v>208</v>
      </c>
      <c r="AR45" s="94">
        <v>221</v>
      </c>
      <c r="AS45" s="94">
        <v>215</v>
      </c>
      <c r="AT45" s="94">
        <v>211</v>
      </c>
      <c r="AU45" s="94">
        <v>184</v>
      </c>
      <c r="AV45" s="94">
        <v>186</v>
      </c>
      <c r="AW45" s="94">
        <v>152</v>
      </c>
      <c r="AX45" s="94">
        <v>154</v>
      </c>
      <c r="AY45" s="94">
        <v>137</v>
      </c>
      <c r="AZ45" s="94">
        <v>144</v>
      </c>
      <c r="BA45" s="94">
        <v>140</v>
      </c>
      <c r="BB45" s="94">
        <v>139</v>
      </c>
      <c r="BC45" s="94">
        <v>123</v>
      </c>
      <c r="BD45" s="94">
        <v>121</v>
      </c>
      <c r="BE45" s="94">
        <v>114</v>
      </c>
      <c r="BF45" s="94">
        <v>112</v>
      </c>
      <c r="BG45" s="94">
        <v>94</v>
      </c>
      <c r="BH45" s="94">
        <v>96</v>
      </c>
      <c r="BI45" s="94">
        <v>86</v>
      </c>
      <c r="BJ45" s="94">
        <v>82</v>
      </c>
      <c r="BK45" s="94">
        <v>75</v>
      </c>
      <c r="BL45" s="94">
        <v>73</v>
      </c>
      <c r="BM45" s="94">
        <v>68</v>
      </c>
      <c r="BN45" s="94">
        <v>68</v>
      </c>
      <c r="BO45" s="94">
        <v>61</v>
      </c>
      <c r="BP45" s="94">
        <v>66</v>
      </c>
      <c r="BQ45" s="94">
        <v>53</v>
      </c>
      <c r="BR45" s="94">
        <v>62</v>
      </c>
      <c r="BS45" s="94">
        <v>55</v>
      </c>
      <c r="BT45" s="94">
        <v>59</v>
      </c>
      <c r="BU45" s="94">
        <v>45</v>
      </c>
      <c r="BV45" s="94">
        <v>50</v>
      </c>
      <c r="BW45" s="94">
        <v>0</v>
      </c>
      <c r="BX45" s="94">
        <v>0</v>
      </c>
      <c r="BY45" s="94">
        <v>0</v>
      </c>
      <c r="BZ45" s="94">
        <v>0</v>
      </c>
      <c r="CA45" s="94">
        <v>0</v>
      </c>
      <c r="CB45" s="94">
        <v>0</v>
      </c>
      <c r="CC45" s="94">
        <v>0</v>
      </c>
      <c r="CD45" s="94">
        <v>0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49"/>
      <c r="CT45" s="94">
        <v>1649.9299223235394</v>
      </c>
      <c r="CU45" s="94">
        <v>2250</v>
      </c>
      <c r="CV45" s="94">
        <v>2677</v>
      </c>
      <c r="CW45" s="94">
        <f>SUM(O45:R45)</f>
        <v>3160</v>
      </c>
      <c r="CX45" s="94">
        <f>SUM(S45:V45)</f>
        <v>3191</v>
      </c>
      <c r="CY45" s="94">
        <f>SUM(W45:Z45)</f>
        <v>3135</v>
      </c>
      <c r="CZ45" s="94">
        <f>SUM(AA45:AD45)</f>
        <v>2983</v>
      </c>
      <c r="DA45" s="94">
        <f>SUM(AE45:AH45)</f>
        <v>1549</v>
      </c>
      <c r="DB45" s="94">
        <f>SUM(AI45:AL45)</f>
        <v>1099</v>
      </c>
      <c r="DC45" s="94">
        <f>SUM(AM45:AP45)</f>
        <v>925</v>
      </c>
      <c r="DD45" s="94">
        <f>SUM(AQ45:AT45)</f>
        <v>855</v>
      </c>
      <c r="DE45" s="94">
        <f>SUM(AU45:AX45)</f>
        <v>676</v>
      </c>
      <c r="DF45" s="94">
        <f>SUM(AY45:BB45)</f>
        <v>560</v>
      </c>
      <c r="DG45" s="94">
        <f>SUM(BC45:BF45)</f>
        <v>470</v>
      </c>
      <c r="DH45" s="94">
        <f>SUM(BG45:BJ45)</f>
        <v>358</v>
      </c>
      <c r="DI45" s="94">
        <f>SUM(BK45:BN45)</f>
        <v>284</v>
      </c>
      <c r="DJ45" s="94">
        <f>SUM(BO45:BR45)</f>
        <v>242</v>
      </c>
      <c r="DK45" s="94">
        <f>SUM(BS45:BV45)</f>
        <v>209</v>
      </c>
      <c r="DL45" s="94"/>
      <c r="DM45" s="94"/>
      <c r="DN45" s="94"/>
      <c r="DO45" s="94"/>
      <c r="DP45" s="94"/>
      <c r="DQ45" s="94"/>
      <c r="DR45" s="94"/>
      <c r="DS45" s="94"/>
      <c r="DU45" s="30"/>
    </row>
    <row r="46" spans="2:128" s="8" customFormat="1" ht="12.75" customHeight="1">
      <c r="B46" s="47" t="s">
        <v>356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6</v>
      </c>
      <c r="P46" s="94">
        <v>9</v>
      </c>
      <c r="Q46" s="94">
        <v>14</v>
      </c>
      <c r="R46" s="94">
        <v>18</v>
      </c>
      <c r="S46" s="94">
        <v>17</v>
      </c>
      <c r="T46" s="94">
        <v>19</v>
      </c>
      <c r="U46" s="94">
        <v>22</v>
      </c>
      <c r="V46" s="94">
        <v>28</v>
      </c>
      <c r="W46" s="94">
        <v>23</v>
      </c>
      <c r="X46" s="94">
        <v>32</v>
      </c>
      <c r="Y46" s="94">
        <v>41</v>
      </c>
      <c r="Z46" s="94">
        <v>36</v>
      </c>
      <c r="AA46" s="94">
        <v>48</v>
      </c>
      <c r="AB46" s="94">
        <v>47</v>
      </c>
      <c r="AC46" s="93">
        <v>49</v>
      </c>
      <c r="AD46" s="94">
        <f>AC46</f>
        <v>49</v>
      </c>
      <c r="AE46" s="94">
        <v>60</v>
      </c>
      <c r="AF46" s="94">
        <v>65</v>
      </c>
      <c r="AG46" s="94">
        <v>68</v>
      </c>
      <c r="AH46" s="94">
        <f>AG46+1</f>
        <v>69</v>
      </c>
      <c r="AI46" s="130">
        <v>69</v>
      </c>
      <c r="AJ46" s="94">
        <v>77</v>
      </c>
      <c r="AK46" s="94">
        <v>82</v>
      </c>
      <c r="AL46" s="94">
        <v>89</v>
      </c>
      <c r="AM46" s="94">
        <v>82</v>
      </c>
      <c r="AN46" s="94">
        <v>93</v>
      </c>
      <c r="AO46" s="94">
        <v>91</v>
      </c>
      <c r="AP46" s="94">
        <v>110</v>
      </c>
      <c r="AQ46" s="94">
        <v>87</v>
      </c>
      <c r="AR46" s="94">
        <v>120</v>
      </c>
      <c r="AS46" s="94">
        <v>98</v>
      </c>
      <c r="AT46" s="94">
        <v>114</v>
      </c>
      <c r="AU46" s="94">
        <v>102</v>
      </c>
      <c r="AV46" s="94">
        <v>145</v>
      </c>
      <c r="AW46" s="94">
        <v>111</v>
      </c>
      <c r="AX46" s="94">
        <v>131</v>
      </c>
      <c r="AY46" s="94">
        <v>116</v>
      </c>
      <c r="AZ46" s="94">
        <v>135</v>
      </c>
      <c r="BA46" s="94">
        <v>123</v>
      </c>
      <c r="BB46" s="94">
        <v>134</v>
      </c>
      <c r="BC46" s="94">
        <v>122</v>
      </c>
      <c r="BD46" s="94">
        <v>144</v>
      </c>
      <c r="BE46" s="94">
        <v>136</v>
      </c>
      <c r="BF46" s="94">
        <v>151</v>
      </c>
      <c r="BG46" s="94">
        <v>122</v>
      </c>
      <c r="BH46" s="94">
        <v>134</v>
      </c>
      <c r="BI46" s="94">
        <v>141</v>
      </c>
      <c r="BJ46" s="94">
        <v>139</v>
      </c>
      <c r="BK46" s="94">
        <v>126</v>
      </c>
      <c r="BL46" s="94">
        <v>143</v>
      </c>
      <c r="BM46" s="94">
        <v>137</v>
      </c>
      <c r="BN46" s="94">
        <v>144</v>
      </c>
      <c r="BO46" s="94">
        <v>133</v>
      </c>
      <c r="BP46" s="94">
        <v>143</v>
      </c>
      <c r="BQ46" s="94">
        <v>137</v>
      </c>
      <c r="BR46" s="94">
        <v>143</v>
      </c>
      <c r="BS46" s="94">
        <v>125</v>
      </c>
      <c r="BT46" s="94">
        <v>148</v>
      </c>
      <c r="BU46" s="94">
        <v>123</v>
      </c>
      <c r="BV46" s="94">
        <v>126</v>
      </c>
      <c r="BW46" s="94">
        <v>117</v>
      </c>
      <c r="BX46" s="94">
        <v>121</v>
      </c>
      <c r="BY46" s="94">
        <v>98</v>
      </c>
      <c r="BZ46" s="94">
        <v>53</v>
      </c>
      <c r="CA46" s="94">
        <v>43</v>
      </c>
      <c r="CB46" s="94">
        <v>33</v>
      </c>
      <c r="CC46" s="96" t="s">
        <v>627</v>
      </c>
      <c r="CD46" s="94">
        <v>31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49"/>
      <c r="CT46" s="9" t="s">
        <v>442</v>
      </c>
      <c r="CU46" s="94" t="s">
        <v>442</v>
      </c>
      <c r="CV46" s="94">
        <v>27</v>
      </c>
      <c r="CW46" s="94">
        <f>SUM(O46:R46)</f>
        <v>47</v>
      </c>
      <c r="CX46" s="94">
        <f>SUM(S46:V46)</f>
        <v>86</v>
      </c>
      <c r="CY46" s="94">
        <f>SUM(W46:Z46)</f>
        <v>132</v>
      </c>
      <c r="CZ46" s="94">
        <f>SUM(AA46:AD46)</f>
        <v>193</v>
      </c>
      <c r="DA46" s="94">
        <f>SUM(AE46:AH46)</f>
        <v>262</v>
      </c>
      <c r="DB46" s="94">
        <f>SUM(AI46:AL46)</f>
        <v>317</v>
      </c>
      <c r="DC46" s="94">
        <f>SUM(AM46:AP46)</f>
        <v>376</v>
      </c>
      <c r="DD46" s="94">
        <f>SUM(AQ46:AT46)</f>
        <v>419</v>
      </c>
      <c r="DE46" s="94">
        <f>SUM(AU46:AX46)</f>
        <v>489</v>
      </c>
      <c r="DF46" s="94">
        <f>SUM(AY46:BB46)</f>
        <v>508</v>
      </c>
      <c r="DG46" s="94">
        <f>SUM(BC46:BF46)</f>
        <v>553</v>
      </c>
      <c r="DH46" s="94">
        <f>SUM(BG46:BJ46)</f>
        <v>536</v>
      </c>
      <c r="DI46" s="94">
        <f>SUM(BK46:BN46)</f>
        <v>550</v>
      </c>
      <c r="DJ46" s="94">
        <f>SUM(BO46:BR46)</f>
        <v>556</v>
      </c>
      <c r="DK46" s="94">
        <f>SUM(BS46:BV46)</f>
        <v>522</v>
      </c>
      <c r="DL46" s="94">
        <f>SUM(BW46:BZ46)</f>
        <v>389</v>
      </c>
      <c r="DM46" s="94">
        <f>SUM(CA46:CD46)</f>
        <v>107</v>
      </c>
      <c r="DN46" s="94"/>
      <c r="DO46" s="94"/>
      <c r="DP46" s="94"/>
      <c r="DQ46" s="94"/>
      <c r="DR46" s="94"/>
      <c r="DS46" s="94"/>
      <c r="DU46" s="30"/>
    </row>
    <row r="47" spans="2:128" s="8" customFormat="1" ht="12.75" customHeight="1">
      <c r="B47" s="47" t="s">
        <v>357</v>
      </c>
      <c r="C47" s="9"/>
      <c r="D47" s="9"/>
      <c r="E47" s="9"/>
      <c r="F47" s="9"/>
      <c r="G47" s="7"/>
      <c r="H47" s="7"/>
      <c r="I47" s="94"/>
      <c r="J47" s="94"/>
      <c r="K47" s="94"/>
      <c r="L47" s="94"/>
      <c r="M47" s="94"/>
      <c r="N47" s="94"/>
      <c r="O47" s="94">
        <v>12</v>
      </c>
      <c r="P47" s="94">
        <v>16</v>
      </c>
      <c r="Q47" s="94">
        <v>16</v>
      </c>
      <c r="R47" s="94">
        <v>19</v>
      </c>
      <c r="S47" s="94">
        <v>20</v>
      </c>
      <c r="T47" s="94">
        <v>22</v>
      </c>
      <c r="U47" s="94">
        <v>25</v>
      </c>
      <c r="V47" s="94">
        <v>27</v>
      </c>
      <c r="W47" s="94">
        <v>28</v>
      </c>
      <c r="X47" s="94">
        <v>34</v>
      </c>
      <c r="Y47" s="94">
        <v>37</v>
      </c>
      <c r="Z47" s="94">
        <v>41</v>
      </c>
      <c r="AA47" s="94">
        <v>42</v>
      </c>
      <c r="AB47" s="94">
        <v>46</v>
      </c>
      <c r="AC47" s="93">
        <v>50</v>
      </c>
      <c r="AD47" s="94">
        <f>AC47</f>
        <v>50</v>
      </c>
      <c r="AE47" s="94">
        <v>55</v>
      </c>
      <c r="AF47" s="94">
        <v>71</v>
      </c>
      <c r="AG47" s="94">
        <v>71</v>
      </c>
      <c r="AH47" s="94">
        <f>AG47</f>
        <v>71</v>
      </c>
      <c r="AI47" s="130">
        <v>62</v>
      </c>
      <c r="AJ47" s="94">
        <v>71</v>
      </c>
      <c r="AK47" s="94">
        <v>73</v>
      </c>
      <c r="AL47" s="94">
        <v>88</v>
      </c>
      <c r="AM47" s="94">
        <v>75</v>
      </c>
      <c r="AN47" s="94">
        <v>83</v>
      </c>
      <c r="AO47" s="94">
        <v>91</v>
      </c>
      <c r="AP47" s="94">
        <v>113</v>
      </c>
      <c r="AQ47" s="94">
        <v>87</v>
      </c>
      <c r="AR47" s="94">
        <v>103</v>
      </c>
      <c r="AS47" s="94">
        <v>107</v>
      </c>
      <c r="AT47" s="94">
        <v>110</v>
      </c>
      <c r="AU47" s="94">
        <v>101</v>
      </c>
      <c r="AV47" s="94">
        <v>110</v>
      </c>
      <c r="AW47" s="94">
        <v>118</v>
      </c>
      <c r="AX47" s="94">
        <v>116</v>
      </c>
      <c r="AY47" s="94">
        <v>110</v>
      </c>
      <c r="AZ47" s="94">
        <v>120</v>
      </c>
      <c r="BA47" s="94">
        <v>130</v>
      </c>
      <c r="BB47" s="94">
        <v>128</v>
      </c>
      <c r="BC47" s="94">
        <v>114</v>
      </c>
      <c r="BD47" s="94">
        <v>134</v>
      </c>
      <c r="BE47" s="94">
        <v>141</v>
      </c>
      <c r="BF47" s="94">
        <v>139</v>
      </c>
      <c r="BG47" s="94">
        <v>132</v>
      </c>
      <c r="BH47" s="94">
        <v>139</v>
      </c>
      <c r="BI47" s="94">
        <v>153</v>
      </c>
      <c r="BJ47" s="94">
        <v>144</v>
      </c>
      <c r="BK47" s="94">
        <v>114</v>
      </c>
      <c r="BL47" s="94">
        <v>143</v>
      </c>
      <c r="BM47" s="94">
        <v>152</v>
      </c>
      <c r="BN47" s="94">
        <v>152</v>
      </c>
      <c r="BO47" s="94">
        <v>136</v>
      </c>
      <c r="BP47" s="94">
        <v>150</v>
      </c>
      <c r="BQ47" s="94">
        <v>159</v>
      </c>
      <c r="BR47" s="94">
        <v>157</v>
      </c>
      <c r="BS47" s="94">
        <v>151</v>
      </c>
      <c r="BT47" s="94">
        <v>149</v>
      </c>
      <c r="BU47" s="94">
        <v>137</v>
      </c>
      <c r="BV47" s="94">
        <v>59</v>
      </c>
      <c r="BW47" s="94">
        <v>72</v>
      </c>
      <c r="BX47" s="94">
        <v>78</v>
      </c>
      <c r="BY47" s="94">
        <v>57</v>
      </c>
      <c r="BZ47" s="94">
        <v>57</v>
      </c>
      <c r="CA47" s="94">
        <v>64</v>
      </c>
      <c r="CB47" s="94">
        <v>43</v>
      </c>
      <c r="CC47" s="94">
        <v>51</v>
      </c>
      <c r="CD47" s="94">
        <v>53</v>
      </c>
      <c r="CE47" s="94">
        <v>57</v>
      </c>
      <c r="CF47" s="94">
        <v>48</v>
      </c>
      <c r="CG47" s="94">
        <v>53</v>
      </c>
      <c r="CH47" s="94">
        <v>45</v>
      </c>
      <c r="CI47" s="94">
        <v>52</v>
      </c>
      <c r="CJ47" s="94">
        <v>46</v>
      </c>
      <c r="CK47" s="94">
        <v>50</v>
      </c>
      <c r="CL47" s="94">
        <v>40</v>
      </c>
      <c r="CM47" s="94"/>
      <c r="CN47" s="94"/>
      <c r="CO47" s="94"/>
      <c r="CP47" s="94"/>
      <c r="CQ47" s="94"/>
      <c r="CR47" s="94"/>
      <c r="CS47" s="49"/>
      <c r="CT47" s="9" t="s">
        <v>442</v>
      </c>
      <c r="CU47" s="94" t="s">
        <v>442</v>
      </c>
      <c r="CV47" s="94">
        <v>37</v>
      </c>
      <c r="CW47" s="94">
        <f>SUM(O47:R47)</f>
        <v>63</v>
      </c>
      <c r="CX47" s="94">
        <f>SUM(S47:V47)</f>
        <v>94</v>
      </c>
      <c r="CY47" s="94">
        <f>SUM(W47:Z47)</f>
        <v>140</v>
      </c>
      <c r="CZ47" s="94">
        <f>SUM(AA47:AD47)</f>
        <v>188</v>
      </c>
      <c r="DA47" s="94">
        <f>SUM(AE47:AH47)</f>
        <v>268</v>
      </c>
      <c r="DB47" s="94">
        <f>SUM(AI47:AL47)</f>
        <v>294</v>
      </c>
      <c r="DC47" s="94">
        <f>SUM(AM47:AP47)</f>
        <v>362</v>
      </c>
      <c r="DD47" s="94">
        <f>SUM(AQ47:AT47)</f>
        <v>407</v>
      </c>
      <c r="DE47" s="94">
        <f>SUM(AU47:AX47)</f>
        <v>445</v>
      </c>
      <c r="DF47" s="94">
        <f>SUM(AY47:BB47)</f>
        <v>488</v>
      </c>
      <c r="DG47" s="94">
        <f>SUM(BC47:BF47)</f>
        <v>528</v>
      </c>
      <c r="DH47" s="94">
        <f>SUM(BG47:BJ47)</f>
        <v>568</v>
      </c>
      <c r="DI47" s="94">
        <f>SUM(BK47:BN47)</f>
        <v>561</v>
      </c>
      <c r="DJ47" s="94">
        <f>SUM(BO47:BR47)</f>
        <v>602</v>
      </c>
      <c r="DK47" s="94">
        <f>SUM(BS47:BV47)</f>
        <v>496</v>
      </c>
      <c r="DL47" s="94">
        <f>SUM(BW47:BZ47)</f>
        <v>264</v>
      </c>
      <c r="DM47" s="94">
        <f>SUM(CA47:CD47)</f>
        <v>211</v>
      </c>
      <c r="DN47" s="94">
        <f>SUM(CE47:CH47)</f>
        <v>203</v>
      </c>
      <c r="DO47" s="94">
        <f>SUM(CI47:CL47)</f>
        <v>188</v>
      </c>
      <c r="DP47" s="94"/>
      <c r="DQ47" s="94"/>
      <c r="DR47" s="94"/>
      <c r="DS47" s="94"/>
      <c r="DU47" s="30"/>
    </row>
    <row r="48" spans="2:128" s="41" customFormat="1" ht="12.75" customHeight="1">
      <c r="B48" s="46" t="s">
        <v>475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>
        <v>190</v>
      </c>
      <c r="P48" s="94">
        <v>242</v>
      </c>
      <c r="Q48" s="94">
        <v>293</v>
      </c>
      <c r="R48" s="94">
        <v>328</v>
      </c>
      <c r="S48" s="94">
        <v>332</v>
      </c>
      <c r="T48" s="94">
        <v>314</v>
      </c>
      <c r="U48" s="94">
        <v>356</v>
      </c>
      <c r="V48" s="94">
        <v>391</v>
      </c>
      <c r="W48" s="94">
        <v>414.8</v>
      </c>
      <c r="X48" s="94">
        <v>476</v>
      </c>
      <c r="Y48" s="94">
        <v>501.9</v>
      </c>
      <c r="Z48" s="94">
        <v>536.1</v>
      </c>
      <c r="AA48" s="94">
        <v>544</v>
      </c>
      <c r="AB48" s="94">
        <v>577.5</v>
      </c>
      <c r="AC48" s="94">
        <v>607</v>
      </c>
      <c r="AD48" s="94">
        <v>610</v>
      </c>
      <c r="AE48" s="94">
        <v>581.70000000000005</v>
      </c>
      <c r="AF48" s="94">
        <v>560.4</v>
      </c>
      <c r="AG48" s="94">
        <v>534.29999999999995</v>
      </c>
      <c r="AH48" s="94"/>
      <c r="AI48" s="130">
        <v>510</v>
      </c>
      <c r="AJ48" s="94">
        <v>556</v>
      </c>
      <c r="AK48" s="94">
        <v>563</v>
      </c>
      <c r="AL48" s="94">
        <v>614</v>
      </c>
      <c r="AM48" s="94">
        <f>281+253</f>
        <v>534</v>
      </c>
      <c r="AN48" s="94">
        <v>564</v>
      </c>
      <c r="AO48" s="94">
        <v>571</v>
      </c>
      <c r="AP48" s="94">
        <v>629</v>
      </c>
      <c r="AQ48" s="94">
        <v>582</v>
      </c>
      <c r="AR48" s="94">
        <v>592</v>
      </c>
      <c r="AS48" s="94">
        <v>614</v>
      </c>
      <c r="AT48" s="94">
        <v>640</v>
      </c>
      <c r="AU48" s="94">
        <v>614</v>
      </c>
      <c r="AV48" s="94">
        <v>632</v>
      </c>
      <c r="AW48" s="94">
        <v>645</v>
      </c>
      <c r="AX48" s="94">
        <v>676</v>
      </c>
      <c r="AY48" s="94">
        <v>629</v>
      </c>
      <c r="AZ48" s="94">
        <v>650</v>
      </c>
      <c r="BA48" s="94">
        <v>662</v>
      </c>
      <c r="BB48" s="94">
        <v>716</v>
      </c>
      <c r="BC48" s="94">
        <v>611</v>
      </c>
      <c r="BD48" s="94">
        <v>717</v>
      </c>
      <c r="BE48" s="94">
        <v>660</v>
      </c>
      <c r="BF48" s="94">
        <v>662</v>
      </c>
      <c r="BG48" s="94">
        <v>568</v>
      </c>
      <c r="BH48" s="94">
        <v>635</v>
      </c>
      <c r="BI48" s="94">
        <v>633</v>
      </c>
      <c r="BJ48" s="94">
        <v>691</v>
      </c>
      <c r="BK48" s="94">
        <v>612</v>
      </c>
      <c r="BL48" s="94">
        <v>702</v>
      </c>
      <c r="BM48" s="94">
        <v>671</v>
      </c>
      <c r="BN48" s="94">
        <v>575</v>
      </c>
      <c r="BO48" s="94">
        <v>334</v>
      </c>
      <c r="BP48" s="94">
        <v>367</v>
      </c>
      <c r="BQ48" s="94">
        <v>320</v>
      </c>
      <c r="BR48" s="94">
        <v>323</v>
      </c>
      <c r="BS48" s="94">
        <v>305</v>
      </c>
      <c r="BT48" s="94">
        <v>226</v>
      </c>
      <c r="BU48" s="94">
        <v>165</v>
      </c>
      <c r="BV48" s="94">
        <v>162</v>
      </c>
      <c r="BW48" s="94">
        <v>140</v>
      </c>
      <c r="BX48" s="94">
        <v>156</v>
      </c>
      <c r="BY48" s="94">
        <v>147</v>
      </c>
      <c r="BZ48" s="94">
        <v>146</v>
      </c>
      <c r="CA48" s="94">
        <v>145</v>
      </c>
      <c r="CB48" s="94">
        <v>137</v>
      </c>
      <c r="CC48" s="96" t="s">
        <v>783</v>
      </c>
      <c r="CD48" s="94">
        <v>98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48"/>
      <c r="CT48" s="94" t="s">
        <v>442</v>
      </c>
      <c r="CU48" s="94">
        <v>25</v>
      </c>
      <c r="CV48" s="94">
        <v>469</v>
      </c>
      <c r="CW48" s="94">
        <f>SUM(O48:R48)</f>
        <v>1053</v>
      </c>
      <c r="CX48" s="94">
        <f>SUM(S48:V48)</f>
        <v>1393</v>
      </c>
      <c r="CY48" s="94">
        <f>SUM(W48:Z48)</f>
        <v>1928.7999999999997</v>
      </c>
      <c r="CZ48" s="94">
        <f>SUM(AA48:AD48)</f>
        <v>2338.5</v>
      </c>
      <c r="DA48" s="94">
        <f>SUM(AE48:AH48)</f>
        <v>1676.3999999999999</v>
      </c>
      <c r="DB48" s="94">
        <f>SUM(AI48:AL48)</f>
        <v>2243</v>
      </c>
      <c r="DC48" s="94">
        <f>SUM(AM48:AP48)</f>
        <v>2298</v>
      </c>
      <c r="DD48" s="94">
        <f>SUM(AQ48:AT48)</f>
        <v>2428</v>
      </c>
      <c r="DE48" s="94">
        <f>SUM(AU48:AX48)</f>
        <v>2567</v>
      </c>
      <c r="DF48" s="94">
        <f>SUM(AY48:BB48)</f>
        <v>2657</v>
      </c>
      <c r="DG48" s="94">
        <f>SUM(BC48:BF48)</f>
        <v>2650</v>
      </c>
      <c r="DH48" s="94">
        <f>SUM(BG48:BJ48)</f>
        <v>2527</v>
      </c>
      <c r="DI48" s="94">
        <f>SUM(BK48:BN48)</f>
        <v>2560</v>
      </c>
      <c r="DJ48" s="94">
        <f>SUM(BO48:BR48)</f>
        <v>1344</v>
      </c>
      <c r="DK48" s="94">
        <f>SUM(BS48:BV48)</f>
        <v>858</v>
      </c>
      <c r="DL48" s="94">
        <f>SUM(BW48:BZ48)</f>
        <v>589</v>
      </c>
      <c r="DM48" s="94">
        <f>SUM(CA48:CD48)</f>
        <v>380</v>
      </c>
      <c r="DN48" s="94"/>
      <c r="DO48" s="94"/>
      <c r="DP48" s="94"/>
      <c r="DQ48" s="94"/>
      <c r="DR48" s="94"/>
      <c r="DS48" s="94"/>
      <c r="DU48" s="87"/>
    </row>
    <row r="49" spans="2:128" s="41" customFormat="1" ht="12.75" customHeight="1">
      <c r="B49" s="46" t="s">
        <v>476</v>
      </c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>
        <v>0</v>
      </c>
      <c r="P49" s="94">
        <v>5</v>
      </c>
      <c r="Q49" s="94">
        <v>52</v>
      </c>
      <c r="R49" s="94">
        <v>76</v>
      </c>
      <c r="S49" s="94">
        <v>179</v>
      </c>
      <c r="T49" s="94">
        <v>193</v>
      </c>
      <c r="U49" s="94">
        <v>274</v>
      </c>
      <c r="V49" s="94">
        <v>355</v>
      </c>
      <c r="W49" s="94">
        <v>378.4</v>
      </c>
      <c r="X49" s="94">
        <v>497.4</v>
      </c>
      <c r="Y49" s="94">
        <v>526.6</v>
      </c>
      <c r="Z49" s="94">
        <v>552.9</v>
      </c>
      <c r="AA49" s="94">
        <v>623.79999999999995</v>
      </c>
      <c r="AB49" s="94">
        <v>686.4</v>
      </c>
      <c r="AC49" s="94">
        <v>693</v>
      </c>
      <c r="AD49" s="94">
        <v>600</v>
      </c>
      <c r="AE49" s="94">
        <v>651.20000000000005</v>
      </c>
      <c r="AF49" s="94">
        <v>592.1</v>
      </c>
      <c r="AG49" s="94">
        <v>567.20000000000005</v>
      </c>
      <c r="AH49" s="94">
        <f>AG49+10</f>
        <v>577.20000000000005</v>
      </c>
      <c r="AI49" s="130">
        <v>477</v>
      </c>
      <c r="AJ49" s="94">
        <v>532</v>
      </c>
      <c r="AK49" s="94">
        <v>525</v>
      </c>
      <c r="AL49" s="94">
        <v>577</v>
      </c>
      <c r="AM49" s="94">
        <v>477</v>
      </c>
      <c r="AN49" s="94">
        <v>490</v>
      </c>
      <c r="AO49" s="94">
        <v>485</v>
      </c>
      <c r="AP49" s="94">
        <v>562</v>
      </c>
      <c r="AQ49" s="94">
        <v>480</v>
      </c>
      <c r="AR49" s="94">
        <v>459</v>
      </c>
      <c r="AS49" s="94">
        <v>469</v>
      </c>
      <c r="AT49" s="94">
        <v>475</v>
      </c>
      <c r="AU49" s="94">
        <v>444</v>
      </c>
      <c r="AV49" s="94">
        <v>445</v>
      </c>
      <c r="AW49" s="94">
        <v>423</v>
      </c>
      <c r="AX49" s="94">
        <v>435</v>
      </c>
      <c r="AY49" s="94">
        <v>394</v>
      </c>
      <c r="AZ49" s="94">
        <v>417</v>
      </c>
      <c r="BA49" s="94">
        <v>396</v>
      </c>
      <c r="BB49" s="94">
        <v>436</v>
      </c>
      <c r="BC49" s="94">
        <v>361</v>
      </c>
      <c r="BD49" s="94">
        <v>417</v>
      </c>
      <c r="BE49" s="94">
        <v>369</v>
      </c>
      <c r="BF49" s="94">
        <v>370</v>
      </c>
      <c r="BG49" s="94">
        <v>320</v>
      </c>
      <c r="BH49" s="94">
        <v>320</v>
      </c>
      <c r="BI49" s="94">
        <v>302</v>
      </c>
      <c r="BJ49" s="94">
        <v>308</v>
      </c>
      <c r="BK49" s="94">
        <v>277</v>
      </c>
      <c r="BL49" s="94">
        <v>293</v>
      </c>
      <c r="BM49" s="94">
        <v>273</v>
      </c>
      <c r="BN49" s="94">
        <v>299</v>
      </c>
      <c r="BO49" s="94">
        <v>241</v>
      </c>
      <c r="BP49" s="94">
        <v>182</v>
      </c>
      <c r="BQ49" s="94">
        <v>142</v>
      </c>
      <c r="BR49" s="94">
        <v>186</v>
      </c>
      <c r="BS49" s="94">
        <v>167</v>
      </c>
      <c r="BT49" s="94">
        <v>155</v>
      </c>
      <c r="BU49" s="94">
        <v>92</v>
      </c>
      <c r="BV49" s="94">
        <v>83</v>
      </c>
      <c r="BW49" s="94">
        <v>97</v>
      </c>
      <c r="BX49" s="94">
        <v>76</v>
      </c>
      <c r="BY49" s="94">
        <v>57</v>
      </c>
      <c r="BZ49" s="94">
        <v>54</v>
      </c>
      <c r="CA49" s="94">
        <v>53</v>
      </c>
      <c r="CB49" s="94">
        <v>39</v>
      </c>
      <c r="CC49" s="96" t="s">
        <v>784</v>
      </c>
      <c r="CD49" s="94">
        <v>43</v>
      </c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4"/>
      <c r="CR49" s="94"/>
      <c r="CS49" s="48"/>
      <c r="CT49" s="94" t="s">
        <v>442</v>
      </c>
      <c r="CU49" s="94" t="s">
        <v>442</v>
      </c>
      <c r="CV49" s="94" t="s">
        <v>442</v>
      </c>
      <c r="CW49" s="94">
        <f>SUM(O49:R49)</f>
        <v>133</v>
      </c>
      <c r="CX49" s="94">
        <f>SUM(S49:V49)</f>
        <v>1001</v>
      </c>
      <c r="CY49" s="94">
        <f>SUM(W49:Z49)</f>
        <v>1955.3000000000002</v>
      </c>
      <c r="CZ49" s="94">
        <f>SUM(AA49:AD49)</f>
        <v>2603.1999999999998</v>
      </c>
      <c r="DA49" s="94">
        <f>SUM(AE49:AH49)</f>
        <v>2387.7000000000003</v>
      </c>
      <c r="DB49" s="94">
        <f>SUM(AI49:AL49)</f>
        <v>2111</v>
      </c>
      <c r="DC49" s="94">
        <f>SUM(AM49:AP49)</f>
        <v>2014</v>
      </c>
      <c r="DD49" s="94">
        <f>SUM(AQ49:AT49)</f>
        <v>1883</v>
      </c>
      <c r="DE49" s="94">
        <f>SUM(AU49:AX49)</f>
        <v>1747</v>
      </c>
      <c r="DF49" s="94">
        <f>SUM(AY49:BB49)</f>
        <v>1643</v>
      </c>
      <c r="DG49" s="94">
        <f>SUM(BC49:BF49)</f>
        <v>1517</v>
      </c>
      <c r="DH49" s="94">
        <f>SUM(BG49:BJ49)</f>
        <v>1250</v>
      </c>
      <c r="DI49" s="94">
        <f>SUM(BK49:BN49)</f>
        <v>1142</v>
      </c>
      <c r="DJ49" s="94">
        <f>SUM(BO49:BR49)</f>
        <v>751</v>
      </c>
      <c r="DK49" s="94">
        <f>SUM(BS49:BV49)</f>
        <v>497</v>
      </c>
      <c r="DL49" s="94">
        <f>SUM(BW49:BZ49)</f>
        <v>284</v>
      </c>
      <c r="DM49" s="94">
        <f>SUM(CA49:CD49)</f>
        <v>135</v>
      </c>
      <c r="DN49" s="94"/>
      <c r="DO49" s="94"/>
      <c r="DP49" s="94"/>
      <c r="DQ49" s="94"/>
      <c r="DR49" s="94"/>
      <c r="DS49" s="94"/>
      <c r="DU49" s="87"/>
    </row>
    <row r="50" spans="2:128" s="41" customFormat="1" ht="12.75" customHeight="1">
      <c r="B50" s="46" t="s">
        <v>754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>
        <v>49</v>
      </c>
      <c r="BP50" s="94">
        <v>63</v>
      </c>
      <c r="BQ50" s="94">
        <v>59</v>
      </c>
      <c r="BR50" s="94">
        <v>54</v>
      </c>
      <c r="BS50" s="94">
        <v>73</v>
      </c>
      <c r="BT50" s="94">
        <v>101</v>
      </c>
      <c r="BU50" s="94">
        <v>84</v>
      </c>
      <c r="BV50" s="94">
        <v>89</v>
      </c>
      <c r="BW50" s="94">
        <v>94</v>
      </c>
      <c r="BX50" s="94">
        <v>92</v>
      </c>
      <c r="BY50" s="94">
        <v>97</v>
      </c>
      <c r="BZ50" s="94">
        <v>108</v>
      </c>
      <c r="CA50" s="94">
        <v>122</v>
      </c>
      <c r="CB50" s="94">
        <v>115</v>
      </c>
      <c r="CC50" s="96" t="s">
        <v>561</v>
      </c>
      <c r="CD50" s="94">
        <v>105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48"/>
      <c r="CT50" s="94"/>
      <c r="CU50" s="94"/>
      <c r="CV50" s="94"/>
      <c r="CW50" s="94"/>
      <c r="CX50" s="94"/>
      <c r="CY50" s="94"/>
      <c r="CZ50" s="94"/>
      <c r="DA50" s="94"/>
      <c r="DB50" s="94"/>
      <c r="DC50" s="94"/>
      <c r="DD50" s="94"/>
      <c r="DE50" s="94"/>
      <c r="DF50" s="94"/>
      <c r="DG50" s="94"/>
      <c r="DH50" s="94"/>
      <c r="DI50" s="94"/>
      <c r="DJ50" s="94">
        <f>SUM(BO50:BR50)</f>
        <v>225</v>
      </c>
      <c r="DK50" s="94">
        <f>SUM(BS50:BV50)</f>
        <v>347</v>
      </c>
      <c r="DL50" s="94">
        <f>SUM(BW50:BZ50)</f>
        <v>391</v>
      </c>
      <c r="DM50" s="94">
        <f>SUM(CA50:CD50)</f>
        <v>342</v>
      </c>
      <c r="DN50" s="94"/>
      <c r="DO50" s="94"/>
      <c r="DP50" s="94"/>
      <c r="DQ50" s="94"/>
      <c r="DR50" s="94"/>
      <c r="DS50" s="94"/>
      <c r="DU50" s="87"/>
    </row>
    <row r="51" spans="2:128" s="41" customFormat="1" ht="12.75" customHeight="1">
      <c r="B51" s="46" t="s">
        <v>570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6" t="s">
        <v>536</v>
      </c>
      <c r="AE51" s="96" t="s">
        <v>535</v>
      </c>
      <c r="AF51" s="96" t="s">
        <v>556</v>
      </c>
      <c r="AG51" s="96" t="s">
        <v>548</v>
      </c>
      <c r="AH51" s="96" t="s">
        <v>534</v>
      </c>
      <c r="AI51" s="132" t="s">
        <v>522</v>
      </c>
      <c r="AJ51" s="96" t="s">
        <v>513</v>
      </c>
      <c r="AK51" s="96" t="s">
        <v>504</v>
      </c>
      <c r="AL51" s="94">
        <v>165</v>
      </c>
      <c r="AM51" s="94">
        <f>155+164</f>
        <v>319</v>
      </c>
      <c r="AN51" s="94">
        <v>338</v>
      </c>
      <c r="AO51" s="94">
        <v>259</v>
      </c>
      <c r="AP51" s="94">
        <v>303</v>
      </c>
      <c r="AQ51" s="94">
        <v>373</v>
      </c>
      <c r="AR51" s="94">
        <v>323</v>
      </c>
      <c r="AS51" s="94">
        <v>266</v>
      </c>
      <c r="AT51" s="94">
        <v>325</v>
      </c>
      <c r="AU51" s="94">
        <v>375</v>
      </c>
      <c r="AV51" s="94">
        <v>293</v>
      </c>
      <c r="AW51" s="94">
        <v>292</v>
      </c>
      <c r="AX51" s="94">
        <v>308</v>
      </c>
      <c r="AY51" s="94">
        <v>385</v>
      </c>
      <c r="AZ51" s="94">
        <v>325</v>
      </c>
      <c r="BA51" s="94">
        <v>297</v>
      </c>
      <c r="BB51" s="94">
        <v>327</v>
      </c>
      <c r="BC51" s="94">
        <v>312</v>
      </c>
      <c r="BD51" s="94">
        <v>258</v>
      </c>
      <c r="BE51" s="94">
        <v>261</v>
      </c>
      <c r="BF51" s="94">
        <v>268</v>
      </c>
      <c r="BG51" s="94">
        <v>289</v>
      </c>
      <c r="BH51" s="94">
        <v>215</v>
      </c>
      <c r="BI51" s="94">
        <v>121</v>
      </c>
      <c r="BJ51" s="94">
        <v>231</v>
      </c>
      <c r="BK51" s="94">
        <v>229</v>
      </c>
      <c r="BL51" s="94">
        <v>101</v>
      </c>
      <c r="BM51" s="94">
        <v>94</v>
      </c>
      <c r="BN51" s="94">
        <v>112</v>
      </c>
      <c r="BO51" s="94">
        <v>139</v>
      </c>
      <c r="BP51" s="94">
        <v>85</v>
      </c>
      <c r="BQ51" s="94">
        <v>42</v>
      </c>
      <c r="BR51" s="94">
        <v>120</v>
      </c>
      <c r="BS51" s="94">
        <v>122</v>
      </c>
      <c r="BT51" s="94">
        <v>81</v>
      </c>
      <c r="BU51" s="94">
        <v>71</v>
      </c>
      <c r="BV51" s="94">
        <v>102</v>
      </c>
      <c r="BW51" s="94">
        <v>96</v>
      </c>
      <c r="BX51" s="94">
        <v>72</v>
      </c>
      <c r="BY51" s="94">
        <v>58</v>
      </c>
      <c r="BZ51" s="94">
        <v>67</v>
      </c>
      <c r="CA51" s="94">
        <v>71</v>
      </c>
      <c r="CB51" s="94">
        <v>49</v>
      </c>
      <c r="CC51" s="96" t="s">
        <v>626</v>
      </c>
      <c r="CD51" s="94">
        <v>57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48"/>
      <c r="CT51" s="94"/>
      <c r="CU51" s="94"/>
      <c r="CV51" s="94"/>
      <c r="CW51" s="94"/>
      <c r="CX51" s="94"/>
      <c r="CY51" s="94"/>
      <c r="CZ51" s="94"/>
      <c r="DA51" s="96" t="s">
        <v>564</v>
      </c>
      <c r="DB51" s="96" t="s">
        <v>565</v>
      </c>
      <c r="DC51" s="94">
        <f>SUM(AM51:AP51)</f>
        <v>1219</v>
      </c>
      <c r="DD51" s="94">
        <f>DC51</f>
        <v>1219</v>
      </c>
      <c r="DE51" s="94">
        <f>SUM(AU51:AX51)</f>
        <v>1268</v>
      </c>
      <c r="DF51" s="94">
        <f>SUM(AY51:BB51)</f>
        <v>1334</v>
      </c>
      <c r="DG51" s="94">
        <f>SUM(BC51:BF51)</f>
        <v>1099</v>
      </c>
      <c r="DH51" s="94">
        <f>SUM(BG51:BJ51)</f>
        <v>856</v>
      </c>
      <c r="DI51" s="94">
        <f>SUM(BK51:BN51)</f>
        <v>536</v>
      </c>
      <c r="DJ51" s="94">
        <f>SUM(BO51:BR51)</f>
        <v>386</v>
      </c>
      <c r="DK51" s="94">
        <f>SUM(BS51:BV51)</f>
        <v>376</v>
      </c>
      <c r="DL51" s="94">
        <f>SUM(BW51:BZ51)</f>
        <v>293</v>
      </c>
      <c r="DM51" s="94">
        <f>SUM(CA51:CD51)</f>
        <v>177</v>
      </c>
      <c r="DN51" s="94"/>
      <c r="DO51" s="94"/>
      <c r="DP51" s="94"/>
      <c r="DQ51" s="94"/>
      <c r="DR51" s="94"/>
      <c r="DS51" s="94"/>
      <c r="DU51" s="30"/>
      <c r="DX51" s="43"/>
    </row>
    <row r="52" spans="2:128" s="41" customFormat="1" ht="12.75" customHeight="1">
      <c r="B52" s="46" t="s">
        <v>776</v>
      </c>
      <c r="C52" s="94">
        <v>430.71800000000002</v>
      </c>
      <c r="D52" s="94">
        <v>430.71800000000002</v>
      </c>
      <c r="E52" s="94">
        <v>508.7876</v>
      </c>
      <c r="F52" s="94">
        <v>454.80281608529947</v>
      </c>
      <c r="G52" s="94">
        <v>422</v>
      </c>
      <c r="H52" s="94">
        <v>525</v>
      </c>
      <c r="I52" s="94">
        <v>549</v>
      </c>
      <c r="J52" s="94">
        <v>681</v>
      </c>
      <c r="K52" s="94">
        <v>633</v>
      </c>
      <c r="L52" s="94">
        <v>541</v>
      </c>
      <c r="M52" s="94">
        <v>622</v>
      </c>
      <c r="N52" s="94">
        <v>690</v>
      </c>
      <c r="O52" s="94">
        <v>629</v>
      </c>
      <c r="P52" s="94">
        <v>725</v>
      </c>
      <c r="Q52" s="94">
        <v>706</v>
      </c>
      <c r="R52" s="94">
        <v>764</v>
      </c>
      <c r="S52" s="94">
        <v>719</v>
      </c>
      <c r="T52" s="94">
        <v>785</v>
      </c>
      <c r="U52" s="94">
        <v>751</v>
      </c>
      <c r="V52" s="94">
        <v>782</v>
      </c>
      <c r="W52" s="94">
        <v>701</v>
      </c>
      <c r="X52" s="94">
        <v>784</v>
      </c>
      <c r="Y52" s="94">
        <v>813</v>
      </c>
      <c r="Z52" s="94">
        <v>865</v>
      </c>
      <c r="AA52" s="94">
        <v>798</v>
      </c>
      <c r="AB52" s="94">
        <v>847</v>
      </c>
      <c r="AC52" s="94">
        <v>814</v>
      </c>
      <c r="AD52" s="94">
        <v>800</v>
      </c>
      <c r="AE52" s="94">
        <v>847</v>
      </c>
      <c r="AF52" s="94">
        <v>941</v>
      </c>
      <c r="AG52" s="94">
        <v>888</v>
      </c>
      <c r="AH52" s="94">
        <f>+AG52+5</f>
        <v>893</v>
      </c>
      <c r="AI52" s="130">
        <v>839</v>
      </c>
      <c r="AJ52" s="94">
        <v>906</v>
      </c>
      <c r="AK52" s="94">
        <v>861</v>
      </c>
      <c r="AL52" s="94">
        <v>955</v>
      </c>
      <c r="AM52" s="94">
        <v>782</v>
      </c>
      <c r="AN52" s="94">
        <v>485</v>
      </c>
      <c r="AO52" s="94">
        <v>423</v>
      </c>
      <c r="AP52" s="94">
        <v>415</v>
      </c>
      <c r="AQ52" s="94">
        <v>426</v>
      </c>
      <c r="AR52" s="94">
        <v>406</v>
      </c>
      <c r="AS52" s="94">
        <v>404</v>
      </c>
      <c r="AT52" s="94">
        <v>427</v>
      </c>
      <c r="AU52" s="94">
        <v>336</v>
      </c>
      <c r="AV52" s="94">
        <v>337</v>
      </c>
      <c r="AW52" s="94">
        <v>295</v>
      </c>
      <c r="AX52" s="94">
        <v>315</v>
      </c>
      <c r="AY52" s="94">
        <v>267</v>
      </c>
      <c r="AZ52" s="94">
        <v>255</v>
      </c>
      <c r="BA52" s="94">
        <v>238</v>
      </c>
      <c r="BB52" s="94">
        <v>246</v>
      </c>
      <c r="BC52" s="94">
        <v>205</v>
      </c>
      <c r="BD52" s="94">
        <v>214</v>
      </c>
      <c r="BE52" s="94">
        <v>195</v>
      </c>
      <c r="BF52" s="94">
        <v>192</v>
      </c>
      <c r="BG52" s="94">
        <v>185</v>
      </c>
      <c r="BH52" s="94">
        <v>189</v>
      </c>
      <c r="BI52" s="94">
        <v>150</v>
      </c>
      <c r="BJ52" s="94">
        <v>143</v>
      </c>
      <c r="BK52" s="94">
        <v>126</v>
      </c>
      <c r="BL52" s="94">
        <v>132</v>
      </c>
      <c r="BM52" s="94">
        <v>131</v>
      </c>
      <c r="BN52" s="94">
        <v>121</v>
      </c>
      <c r="BO52" s="94">
        <v>112</v>
      </c>
      <c r="BP52" s="94">
        <v>119</v>
      </c>
      <c r="BQ52" s="94">
        <v>128</v>
      </c>
      <c r="BR52" s="94">
        <v>125</v>
      </c>
      <c r="BS52" s="94">
        <v>120</v>
      </c>
      <c r="BT52" s="94">
        <v>125</v>
      </c>
      <c r="BU52" s="94">
        <v>103</v>
      </c>
      <c r="BV52" s="94">
        <v>105</v>
      </c>
      <c r="BW52" s="94">
        <v>103</v>
      </c>
      <c r="BX52" s="94">
        <v>109</v>
      </c>
      <c r="BY52" s="94">
        <v>116</v>
      </c>
      <c r="BZ52" s="94">
        <v>113</v>
      </c>
      <c r="CA52" s="94">
        <v>102</v>
      </c>
      <c r="CB52" s="94">
        <v>98</v>
      </c>
      <c r="CC52" s="96" t="s">
        <v>785</v>
      </c>
      <c r="CD52" s="94">
        <v>94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48"/>
      <c r="CT52" s="94">
        <v>1825</v>
      </c>
      <c r="CU52" s="94">
        <v>2190</v>
      </c>
      <c r="CV52" s="94">
        <v>2486</v>
      </c>
      <c r="CW52" s="94">
        <f>SUM(O52:R52)</f>
        <v>2824</v>
      </c>
      <c r="CX52" s="94">
        <f>SUM(S52:V52)</f>
        <v>3037</v>
      </c>
      <c r="CY52" s="94">
        <f>SUM(W52:Z52)</f>
        <v>3163</v>
      </c>
      <c r="CZ52" s="94">
        <f>SUM(AA52:AD52)</f>
        <v>3259</v>
      </c>
      <c r="DA52" s="94">
        <f>SUM(AE52:AH52)</f>
        <v>3569</v>
      </c>
      <c r="DB52" s="94">
        <f>SUM(AI52:AL52)</f>
        <v>3561</v>
      </c>
      <c r="DC52" s="94">
        <f>SUM(AM52:AP52)</f>
        <v>2105</v>
      </c>
      <c r="DD52" s="94">
        <f>SUM(AQ52:AT52)</f>
        <v>1663</v>
      </c>
      <c r="DE52" s="94">
        <f>SUM(AU52:AX52)</f>
        <v>1283</v>
      </c>
      <c r="DF52" s="94">
        <f>SUM(AY52:BB52)</f>
        <v>1006</v>
      </c>
      <c r="DG52" s="94">
        <f>SUM(BC52:BF52)</f>
        <v>806</v>
      </c>
      <c r="DH52" s="94">
        <f>SUM(BG52:BJ52)</f>
        <v>667</v>
      </c>
      <c r="DI52" s="94">
        <f>SUM(BK52:BN52)</f>
        <v>510</v>
      </c>
      <c r="DJ52" s="94">
        <f>SUM(BO52:BR52)</f>
        <v>484</v>
      </c>
      <c r="DK52" s="94">
        <f>SUM(BS52:BV52)</f>
        <v>453</v>
      </c>
      <c r="DL52" s="94">
        <f>SUM(BW52:BZ52)</f>
        <v>441</v>
      </c>
      <c r="DM52" s="94">
        <f>SUM(CA52:CD52)</f>
        <v>294</v>
      </c>
      <c r="DN52" s="94"/>
      <c r="DO52" s="94"/>
      <c r="DP52" s="94"/>
      <c r="DQ52" s="94"/>
      <c r="DR52" s="94"/>
      <c r="DS52" s="94"/>
      <c r="DT52" s="97"/>
      <c r="DU52" s="94"/>
      <c r="DV52" s="97"/>
      <c r="DW52" s="97"/>
      <c r="DX52" s="92"/>
    </row>
    <row r="53" spans="2:128" s="8" customFormat="1" ht="12.75" customHeight="1">
      <c r="B53" s="47" t="s">
        <v>634</v>
      </c>
      <c r="C53" s="9"/>
      <c r="D53" s="9"/>
      <c r="E53" s="9"/>
      <c r="F53" s="9"/>
      <c r="G53" s="7"/>
      <c r="H53" s="7"/>
      <c r="I53" s="94"/>
      <c r="J53" s="94"/>
      <c r="K53" s="94"/>
      <c r="L53" s="94"/>
      <c r="M53" s="94"/>
      <c r="N53" s="94"/>
      <c r="O53" s="94">
        <v>63</v>
      </c>
      <c r="P53" s="94">
        <v>65</v>
      </c>
      <c r="Q53" s="94">
        <v>67</v>
      </c>
      <c r="R53" s="94">
        <v>76</v>
      </c>
      <c r="S53" s="94">
        <v>70</v>
      </c>
      <c r="T53" s="94">
        <v>69</v>
      </c>
      <c r="U53" s="94">
        <v>67</v>
      </c>
      <c r="V53" s="94">
        <v>86</v>
      </c>
      <c r="W53" s="94">
        <v>75</v>
      </c>
      <c r="X53" s="94">
        <v>85</v>
      </c>
      <c r="Y53" s="94">
        <v>89</v>
      </c>
      <c r="Z53" s="94">
        <v>103</v>
      </c>
      <c r="AA53" s="94">
        <v>95</v>
      </c>
      <c r="AB53" s="94">
        <v>98</v>
      </c>
      <c r="AC53" s="93">
        <v>99</v>
      </c>
      <c r="AD53" s="94">
        <f>AC53</f>
        <v>99</v>
      </c>
      <c r="AE53" s="94">
        <v>105</v>
      </c>
      <c r="AF53" s="94">
        <v>108</v>
      </c>
      <c r="AG53" s="94">
        <v>108</v>
      </c>
      <c r="AH53" s="94">
        <f>AG53</f>
        <v>108</v>
      </c>
      <c r="AI53" s="130">
        <v>103</v>
      </c>
      <c r="AJ53" s="94">
        <v>106</v>
      </c>
      <c r="AK53" s="94">
        <v>109</v>
      </c>
      <c r="AL53" s="94">
        <v>123</v>
      </c>
      <c r="AM53" s="94">
        <f>35+64</f>
        <v>99</v>
      </c>
      <c r="AN53" s="94">
        <v>113</v>
      </c>
      <c r="AO53" s="94">
        <v>109</v>
      </c>
      <c r="AP53" s="94">
        <v>124</v>
      </c>
      <c r="AQ53" s="94">
        <v>106</v>
      </c>
      <c r="AR53" s="94">
        <v>112</v>
      </c>
      <c r="AS53" s="94">
        <v>112</v>
      </c>
      <c r="AT53" s="94">
        <v>117</v>
      </c>
      <c r="AU53" s="94">
        <v>108</v>
      </c>
      <c r="AV53" s="94">
        <v>100</v>
      </c>
      <c r="AW53" s="94">
        <v>104</v>
      </c>
      <c r="AX53" s="94">
        <v>112</v>
      </c>
      <c r="AY53" s="94">
        <v>68</v>
      </c>
      <c r="AZ53" s="94">
        <v>67</v>
      </c>
      <c r="BA53" s="94">
        <v>71</v>
      </c>
      <c r="BB53" s="94">
        <v>77</v>
      </c>
      <c r="BC53" s="94">
        <v>74</v>
      </c>
      <c r="BD53" s="94">
        <v>58</v>
      </c>
      <c r="BE53" s="94">
        <v>66</v>
      </c>
      <c r="BF53" s="94">
        <v>67</v>
      </c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49"/>
      <c r="CT53" s="9" t="s">
        <v>442</v>
      </c>
      <c r="CU53" s="94" t="s">
        <v>442</v>
      </c>
      <c r="CV53" s="94">
        <v>239</v>
      </c>
      <c r="CW53" s="94">
        <f>SUM(O53:R53)</f>
        <v>271</v>
      </c>
      <c r="CX53" s="94">
        <f>SUM(S53:V53)</f>
        <v>292</v>
      </c>
      <c r="CY53" s="94">
        <f>SUM(W53:Z53)</f>
        <v>352</v>
      </c>
      <c r="CZ53" s="94">
        <f>SUM(AA53:AD53)</f>
        <v>391</v>
      </c>
      <c r="DA53" s="94">
        <f>SUM(AE53:AH53)</f>
        <v>429</v>
      </c>
      <c r="DB53" s="94">
        <f>SUM(AI53:AL53)</f>
        <v>441</v>
      </c>
      <c r="DC53" s="94">
        <f>SUM(AM53:AP53)</f>
        <v>445</v>
      </c>
      <c r="DD53" s="94">
        <f t="shared" si="76"/>
        <v>447</v>
      </c>
      <c r="DE53" s="94">
        <f t="shared" si="29"/>
        <v>424</v>
      </c>
      <c r="DF53" s="94">
        <f t="shared" ref="DF53:DF54" si="114">SUM(AY53:BB53)</f>
        <v>283</v>
      </c>
      <c r="DG53" s="94">
        <f t="shared" ref="DG53:DG54" si="115">SUM(BC53:BF53)</f>
        <v>265</v>
      </c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S53" s="94"/>
      <c r="DU53" s="30"/>
      <c r="DX53" s="99"/>
    </row>
    <row r="54" spans="2:128" s="8" customFormat="1" ht="12.75" customHeight="1">
      <c r="B54" s="47" t="s">
        <v>589</v>
      </c>
      <c r="C54" s="9"/>
      <c r="D54" s="9"/>
      <c r="E54" s="9"/>
      <c r="F54" s="9"/>
      <c r="G54" s="7"/>
      <c r="H54" s="7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132" t="s">
        <v>624</v>
      </c>
      <c r="AJ54" s="94">
        <v>50</v>
      </c>
      <c r="AK54" s="94">
        <v>74</v>
      </c>
      <c r="AL54" s="94">
        <v>38</v>
      </c>
      <c r="AM54" s="94">
        <v>51</v>
      </c>
      <c r="AN54" s="94">
        <v>59</v>
      </c>
      <c r="AO54" s="94">
        <v>50</v>
      </c>
      <c r="AP54" s="94">
        <v>62</v>
      </c>
      <c r="AQ54" s="94">
        <v>60</v>
      </c>
      <c r="AR54" s="94">
        <v>57</v>
      </c>
      <c r="AS54" s="94">
        <v>65</v>
      </c>
      <c r="AT54" s="94">
        <v>59</v>
      </c>
      <c r="AU54" s="94">
        <v>57</v>
      </c>
      <c r="AV54" s="94">
        <v>66</v>
      </c>
      <c r="AW54" s="94">
        <v>52</v>
      </c>
      <c r="AX54" s="94">
        <v>57</v>
      </c>
      <c r="AY54" s="94">
        <v>52</v>
      </c>
      <c r="AZ54" s="94">
        <v>53</v>
      </c>
      <c r="BA54" s="94">
        <v>44</v>
      </c>
      <c r="BB54" s="94">
        <v>56</v>
      </c>
      <c r="BC54" s="94">
        <v>50</v>
      </c>
      <c r="BD54" s="94">
        <v>40</v>
      </c>
      <c r="BE54" s="94">
        <v>47</v>
      </c>
      <c r="BF54" s="94">
        <v>56</v>
      </c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49"/>
      <c r="CT54" s="9"/>
      <c r="CU54" s="94"/>
      <c r="CV54" s="94"/>
      <c r="CW54" s="94"/>
      <c r="CX54" s="94"/>
      <c r="CY54" s="94"/>
      <c r="CZ54" s="94"/>
      <c r="DA54" s="94"/>
      <c r="DB54" s="94"/>
      <c r="DC54" s="94">
        <f t="shared" ref="DC54:DC67" si="116">SUM(AM54:AP54)</f>
        <v>222</v>
      </c>
      <c r="DD54" s="94">
        <f t="shared" si="76"/>
        <v>241</v>
      </c>
      <c r="DE54" s="94">
        <f t="shared" si="29"/>
        <v>232</v>
      </c>
      <c r="DF54" s="94">
        <f t="shared" si="114"/>
        <v>205</v>
      </c>
      <c r="DG54" s="94">
        <f t="shared" si="115"/>
        <v>193</v>
      </c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U54" s="30"/>
    </row>
    <row r="55" spans="2:128" s="8" customFormat="1" ht="12.75" customHeight="1">
      <c r="B55" s="47" t="s">
        <v>102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175</v>
      </c>
      <c r="P55" s="94">
        <v>185</v>
      </c>
      <c r="Q55" s="94">
        <v>180</v>
      </c>
      <c r="R55" s="94">
        <v>194</v>
      </c>
      <c r="S55" s="94">
        <v>175</v>
      </c>
      <c r="T55" s="94">
        <v>188</v>
      </c>
      <c r="U55" s="94">
        <v>186</v>
      </c>
      <c r="V55" s="94">
        <v>192</v>
      </c>
      <c r="W55" s="94">
        <v>188</v>
      </c>
      <c r="X55" s="94">
        <v>183</v>
      </c>
      <c r="Y55" s="94">
        <v>127</v>
      </c>
      <c r="Z55" s="94">
        <v>120</v>
      </c>
      <c r="AA55" s="94">
        <v>125</v>
      </c>
      <c r="AB55" s="94">
        <v>113</v>
      </c>
      <c r="AC55" s="93">
        <v>90</v>
      </c>
      <c r="AD55" s="94">
        <f>AC55</f>
        <v>90</v>
      </c>
      <c r="AE55" s="94">
        <v>85</v>
      </c>
      <c r="AF55" s="94">
        <v>86</v>
      </c>
      <c r="AG55" s="94">
        <v>81</v>
      </c>
      <c r="AH55" s="94">
        <f>AG55-2</f>
        <v>79</v>
      </c>
      <c r="AI55" s="130">
        <v>72</v>
      </c>
      <c r="AJ55" s="94">
        <v>79</v>
      </c>
      <c r="AK55" s="94">
        <v>67</v>
      </c>
      <c r="AL55" s="94">
        <v>72</v>
      </c>
      <c r="AM55" s="94">
        <v>58</v>
      </c>
      <c r="AN55" s="94">
        <v>56</v>
      </c>
      <c r="AO55" s="94">
        <v>58</v>
      </c>
      <c r="AP55" s="94">
        <v>44</v>
      </c>
      <c r="AQ55" s="94">
        <v>60</v>
      </c>
      <c r="AR55" s="94">
        <v>53</v>
      </c>
      <c r="AS55" s="94">
        <v>58</v>
      </c>
      <c r="AT55" s="94">
        <v>52</v>
      </c>
      <c r="AU55" s="94">
        <v>51</v>
      </c>
      <c r="AV55" s="94">
        <v>55</v>
      </c>
      <c r="AW55" s="94">
        <v>55</v>
      </c>
      <c r="AX55" s="94">
        <v>56</v>
      </c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49"/>
      <c r="CT55" s="9" t="s">
        <v>442</v>
      </c>
      <c r="CU55" s="98" t="s">
        <v>442</v>
      </c>
      <c r="CV55" s="94">
        <v>606</v>
      </c>
      <c r="CW55" s="94">
        <f>SUM(O55:R55)</f>
        <v>734</v>
      </c>
      <c r="CX55" s="94">
        <f>SUM(S55:V55)</f>
        <v>741</v>
      </c>
      <c r="CY55" s="94">
        <f>SUM(W55:Z55)</f>
        <v>618</v>
      </c>
      <c r="CZ55" s="94">
        <f>SUM(AA55:AD55)</f>
        <v>418</v>
      </c>
      <c r="DA55" s="94">
        <f>SUM(AE55:AH55)</f>
        <v>331</v>
      </c>
      <c r="DB55" s="94">
        <f>SUM(AI55:AL55)</f>
        <v>290</v>
      </c>
      <c r="DC55" s="94">
        <f t="shared" si="116"/>
        <v>216</v>
      </c>
      <c r="DD55" s="94">
        <f t="shared" si="76"/>
        <v>223</v>
      </c>
      <c r="DE55" s="94">
        <f t="shared" si="29"/>
        <v>217</v>
      </c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U55" s="30"/>
    </row>
    <row r="56" spans="2:128" s="8" customFormat="1" ht="12.75" customHeight="1">
      <c r="B56" s="47" t="s">
        <v>614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3"/>
      <c r="AD56" s="94"/>
      <c r="AE56" s="94"/>
      <c r="AF56" s="94"/>
      <c r="AG56" s="94"/>
      <c r="AH56" s="94"/>
      <c r="AI56" s="132" t="s">
        <v>632</v>
      </c>
      <c r="AJ56" s="94">
        <v>71</v>
      </c>
      <c r="AK56" s="94">
        <v>70</v>
      </c>
      <c r="AL56" s="94">
        <v>118</v>
      </c>
      <c r="AM56" s="94">
        <v>106</v>
      </c>
      <c r="AN56" s="94">
        <v>59</v>
      </c>
      <c r="AO56" s="94">
        <v>59</v>
      </c>
      <c r="AP56" s="94">
        <v>92</v>
      </c>
      <c r="AQ56" s="94">
        <v>106</v>
      </c>
      <c r="AR56" s="94">
        <v>61</v>
      </c>
      <c r="AS56" s="94">
        <v>59</v>
      </c>
      <c r="AT56" s="94">
        <v>95</v>
      </c>
      <c r="AU56" s="94">
        <v>73</v>
      </c>
      <c r="AV56" s="94">
        <v>44</v>
      </c>
      <c r="AW56" s="94">
        <v>30</v>
      </c>
      <c r="AX56" s="94">
        <v>55</v>
      </c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49"/>
      <c r="CT56" s="9"/>
      <c r="CU56" s="94"/>
      <c r="CV56" s="94"/>
      <c r="CW56" s="94"/>
      <c r="CX56" s="94"/>
      <c r="CY56" s="94"/>
      <c r="CZ56" s="94"/>
      <c r="DA56" s="94"/>
      <c r="DB56" s="94"/>
      <c r="DC56" s="94">
        <f t="shared" si="116"/>
        <v>316</v>
      </c>
      <c r="DD56" s="94">
        <f t="shared" si="76"/>
        <v>321</v>
      </c>
      <c r="DE56" s="94">
        <f t="shared" si="29"/>
        <v>202</v>
      </c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U56" s="30"/>
    </row>
    <row r="57" spans="2:128" s="8" customFormat="1" ht="12.75" customHeight="1">
      <c r="B57" s="47" t="s">
        <v>355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64</v>
      </c>
      <c r="P57" s="94">
        <v>64</v>
      </c>
      <c r="Q57" s="94">
        <v>65</v>
      </c>
      <c r="R57" s="94">
        <v>62</v>
      </c>
      <c r="S57" s="94">
        <v>79</v>
      </c>
      <c r="T57" s="94">
        <v>89</v>
      </c>
      <c r="U57" s="94">
        <v>91</v>
      </c>
      <c r="V57" s="94">
        <v>90</v>
      </c>
      <c r="W57" s="94">
        <v>82</v>
      </c>
      <c r="X57" s="94">
        <v>74</v>
      </c>
      <c r="Y57" s="94">
        <v>83</v>
      </c>
      <c r="Z57" s="94">
        <v>89</v>
      </c>
      <c r="AA57" s="94">
        <v>82</v>
      </c>
      <c r="AB57" s="94">
        <v>75</v>
      </c>
      <c r="AC57" s="93">
        <v>72</v>
      </c>
      <c r="AD57" s="94">
        <f>AC57</f>
        <v>72</v>
      </c>
      <c r="AE57" s="94">
        <v>75</v>
      </c>
      <c r="AF57" s="94">
        <v>79</v>
      </c>
      <c r="AG57" s="94">
        <v>69</v>
      </c>
      <c r="AH57" s="94">
        <f>AG57-1</f>
        <v>68</v>
      </c>
      <c r="AI57" s="130">
        <v>49</v>
      </c>
      <c r="AJ57" s="94">
        <v>56</v>
      </c>
      <c r="AK57" s="94">
        <v>49</v>
      </c>
      <c r="AL57" s="94">
        <v>52</v>
      </c>
      <c r="AM57" s="94">
        <v>52</v>
      </c>
      <c r="AN57" s="94">
        <v>48</v>
      </c>
      <c r="AO57" s="94">
        <v>49</v>
      </c>
      <c r="AP57" s="94">
        <v>58</v>
      </c>
      <c r="AQ57" s="94">
        <v>45</v>
      </c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49"/>
      <c r="CT57" s="9" t="s">
        <v>442</v>
      </c>
      <c r="CU57" s="94" t="s">
        <v>442</v>
      </c>
      <c r="CV57" s="94">
        <v>291</v>
      </c>
      <c r="CW57" s="94">
        <f>SUM(O57:R57)</f>
        <v>255</v>
      </c>
      <c r="CX57" s="94">
        <f>SUM(S57:V57)</f>
        <v>349</v>
      </c>
      <c r="CY57" s="94">
        <f>SUM(W57:Z57)</f>
        <v>328</v>
      </c>
      <c r="CZ57" s="94">
        <f>SUM(AA57:AD57)</f>
        <v>301</v>
      </c>
      <c r="DA57" s="94">
        <f>SUM(AE57:AH57)</f>
        <v>291</v>
      </c>
      <c r="DB57" s="94">
        <f>SUM(AI57:AL57)</f>
        <v>206</v>
      </c>
      <c r="DC57" s="94">
        <f t="shared" si="116"/>
        <v>207</v>
      </c>
      <c r="DD57" s="94">
        <f t="shared" si="76"/>
        <v>45</v>
      </c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U57" s="30"/>
    </row>
    <row r="58" spans="2:128" s="8" customFormat="1" ht="12.75" customHeight="1">
      <c r="B58" s="47" t="s">
        <v>587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2" t="s">
        <v>631</v>
      </c>
      <c r="AJ58" s="94">
        <v>67</v>
      </c>
      <c r="AK58" s="94">
        <v>64</v>
      </c>
      <c r="AL58" s="94">
        <v>57</v>
      </c>
      <c r="AM58" s="94">
        <v>56</v>
      </c>
      <c r="AN58" s="94">
        <v>55</v>
      </c>
      <c r="AO58" s="94">
        <v>55</v>
      </c>
      <c r="AP58" s="94">
        <v>54</v>
      </c>
      <c r="AQ58" s="94">
        <v>53</v>
      </c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49"/>
      <c r="CT58" s="9"/>
      <c r="CU58" s="94"/>
      <c r="CV58" s="94"/>
      <c r="CW58" s="94"/>
      <c r="CX58" s="94"/>
      <c r="CY58" s="94"/>
      <c r="CZ58" s="94"/>
      <c r="DA58" s="94"/>
      <c r="DB58" s="94"/>
      <c r="DC58" s="94">
        <f t="shared" si="116"/>
        <v>220</v>
      </c>
      <c r="DD58" s="94">
        <f t="shared" si="76"/>
        <v>53</v>
      </c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U58" s="30"/>
    </row>
    <row r="59" spans="2:128" s="8" customFormat="1" ht="12.75" customHeight="1">
      <c r="B59" s="47" t="s">
        <v>101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56</v>
      </c>
      <c r="P59" s="94">
        <v>79</v>
      </c>
      <c r="Q59" s="94">
        <v>84</v>
      </c>
      <c r="R59" s="94">
        <v>91</v>
      </c>
      <c r="S59" s="94">
        <v>78</v>
      </c>
      <c r="T59" s="94">
        <v>84</v>
      </c>
      <c r="U59" s="94">
        <v>92</v>
      </c>
      <c r="V59" s="94">
        <v>94</v>
      </c>
      <c r="W59" s="94">
        <v>93</v>
      </c>
      <c r="X59" s="94">
        <v>97</v>
      </c>
      <c r="Y59" s="94">
        <v>105</v>
      </c>
      <c r="Z59" s="94">
        <v>111</v>
      </c>
      <c r="AA59" s="94">
        <v>107</v>
      </c>
      <c r="AB59" s="94">
        <v>109</v>
      </c>
      <c r="AC59" s="93">
        <v>125</v>
      </c>
      <c r="AD59" s="94">
        <f>AC59</f>
        <v>125</v>
      </c>
      <c r="AE59" s="94">
        <v>122</v>
      </c>
      <c r="AF59" s="94">
        <v>130</v>
      </c>
      <c r="AG59" s="94">
        <v>136</v>
      </c>
      <c r="AH59" s="94">
        <f>AG59</f>
        <v>136</v>
      </c>
      <c r="AI59" s="130">
        <v>133</v>
      </c>
      <c r="AJ59" s="94">
        <v>141</v>
      </c>
      <c r="AK59" s="94">
        <v>144</v>
      </c>
      <c r="AL59" s="94">
        <v>156</v>
      </c>
      <c r="AM59" s="94">
        <v>135</v>
      </c>
      <c r="AN59" s="94">
        <v>133</v>
      </c>
      <c r="AO59" s="94">
        <v>133</v>
      </c>
      <c r="AP59" s="94">
        <v>149</v>
      </c>
      <c r="AQ59" s="94">
        <v>173</v>
      </c>
      <c r="AR59" s="94">
        <v>131</v>
      </c>
      <c r="AS59" s="94">
        <v>156</v>
      </c>
      <c r="AT59" s="94">
        <v>178</v>
      </c>
      <c r="AU59" s="94">
        <v>156</v>
      </c>
      <c r="AV59" s="94">
        <v>154</v>
      </c>
      <c r="AW59" s="94">
        <v>166</v>
      </c>
      <c r="AX59" s="94">
        <v>165</v>
      </c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49"/>
      <c r="CT59" s="9" t="s">
        <v>442</v>
      </c>
      <c r="CU59" s="94" t="s">
        <v>442</v>
      </c>
      <c r="CV59" s="94">
        <v>324</v>
      </c>
      <c r="CW59" s="94">
        <f>SUM(O59:R59)</f>
        <v>310</v>
      </c>
      <c r="CX59" s="94">
        <f>SUM(S59:V59)</f>
        <v>348</v>
      </c>
      <c r="CY59" s="94">
        <f>SUM(W59:Z59)</f>
        <v>406</v>
      </c>
      <c r="CZ59" s="94">
        <f>SUM(AA59:AD59)</f>
        <v>466</v>
      </c>
      <c r="DA59" s="94">
        <f>SUM(AE59:AH59)</f>
        <v>524</v>
      </c>
      <c r="DB59" s="94">
        <f>SUM(AI59:AL59)</f>
        <v>574</v>
      </c>
      <c r="DC59" s="94">
        <f t="shared" si="116"/>
        <v>550</v>
      </c>
      <c r="DD59" s="94">
        <f t="shared" si="76"/>
        <v>638</v>
      </c>
      <c r="DE59" s="94">
        <f t="shared" si="29"/>
        <v>641</v>
      </c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U59" s="30"/>
    </row>
    <row r="60" spans="2:128" s="8" customFormat="1" ht="12.75" customHeight="1">
      <c r="B60" s="47" t="s">
        <v>441</v>
      </c>
      <c r="C60" s="94">
        <v>315.91790000000003</v>
      </c>
      <c r="D60" s="94">
        <v>315.91802000000001</v>
      </c>
      <c r="E60" s="94">
        <v>315.00424999999996</v>
      </c>
      <c r="F60" s="94">
        <v>324.61241835208943</v>
      </c>
      <c r="G60" s="94">
        <v>417</v>
      </c>
      <c r="H60" s="94">
        <v>222</v>
      </c>
      <c r="I60" s="94">
        <v>342</v>
      </c>
      <c r="J60" s="94">
        <v>508</v>
      </c>
      <c r="K60" s="94">
        <v>464</v>
      </c>
      <c r="L60" s="94">
        <v>422</v>
      </c>
      <c r="M60" s="94">
        <v>615.75</v>
      </c>
      <c r="N60" s="94">
        <v>507.74</v>
      </c>
      <c r="O60" s="94">
        <v>623</v>
      </c>
      <c r="P60" s="94">
        <v>643</v>
      </c>
      <c r="Q60" s="94">
        <v>626</v>
      </c>
      <c r="R60" s="94">
        <v>731</v>
      </c>
      <c r="S60" s="94">
        <v>735</v>
      </c>
      <c r="T60" s="94">
        <v>730</v>
      </c>
      <c r="U60" s="94">
        <v>692</v>
      </c>
      <c r="V60" s="94">
        <v>819</v>
      </c>
      <c r="W60" s="94">
        <v>801</v>
      </c>
      <c r="X60" s="94">
        <v>950</v>
      </c>
      <c r="Y60" s="94">
        <v>868</v>
      </c>
      <c r="Z60" s="94">
        <v>960</v>
      </c>
      <c r="AA60" s="94">
        <v>1002</v>
      </c>
      <c r="AB60" s="94">
        <v>1092</v>
      </c>
      <c r="AC60" s="94">
        <v>1018</v>
      </c>
      <c r="AD60" s="94">
        <v>1020</v>
      </c>
      <c r="AE60" s="94">
        <v>1104</v>
      </c>
      <c r="AF60" s="94">
        <v>1082</v>
      </c>
      <c r="AG60" s="94">
        <v>1029</v>
      </c>
      <c r="AH60" s="94">
        <v>1060</v>
      </c>
      <c r="AI60" s="130">
        <v>1057</v>
      </c>
      <c r="AJ60" s="94">
        <v>1257</v>
      </c>
      <c r="AK60" s="94">
        <v>1085</v>
      </c>
      <c r="AL60" s="94">
        <v>1260</v>
      </c>
      <c r="AM60" s="94">
        <f>728+437</f>
        <v>1165</v>
      </c>
      <c r="AN60" s="94">
        <v>1258</v>
      </c>
      <c r="AO60" s="94">
        <v>1215</v>
      </c>
      <c r="AP60" s="94">
        <v>1349</v>
      </c>
      <c r="AQ60" s="94">
        <v>1328</v>
      </c>
      <c r="AR60" s="94">
        <v>1354</v>
      </c>
      <c r="AS60" s="94">
        <v>1336</v>
      </c>
      <c r="AT60" s="94">
        <v>1461</v>
      </c>
      <c r="AU60" s="94">
        <v>1340</v>
      </c>
      <c r="AV60" s="94">
        <v>1431</v>
      </c>
      <c r="AW60" s="94">
        <v>602</v>
      </c>
      <c r="AX60" s="94">
        <v>480</v>
      </c>
      <c r="AY60" s="94">
        <v>337</v>
      </c>
      <c r="AZ60" s="94">
        <v>281</v>
      </c>
      <c r="BA60" s="94">
        <v>280</v>
      </c>
      <c r="BB60" s="94">
        <v>298</v>
      </c>
      <c r="BC60" s="94">
        <v>271</v>
      </c>
      <c r="BD60" s="94">
        <v>284</v>
      </c>
      <c r="BE60" s="94">
        <v>218</v>
      </c>
      <c r="BF60" s="94">
        <v>319</v>
      </c>
      <c r="BG60" s="94">
        <v>245</v>
      </c>
      <c r="BH60" s="94">
        <v>212</v>
      </c>
      <c r="BI60" s="94">
        <v>201</v>
      </c>
      <c r="BJ60" s="94">
        <v>273</v>
      </c>
      <c r="BK60" s="94">
        <v>237</v>
      </c>
      <c r="BL60" s="94">
        <v>229</v>
      </c>
      <c r="BM60" s="94">
        <v>239</v>
      </c>
      <c r="BN60" s="94">
        <v>210</v>
      </c>
      <c r="BO60" s="94">
        <v>186</v>
      </c>
      <c r="BP60" s="94">
        <v>203</v>
      </c>
      <c r="BQ60" s="94">
        <v>161</v>
      </c>
      <c r="BR60" s="94">
        <v>182</v>
      </c>
      <c r="BS60" s="94">
        <v>175</v>
      </c>
      <c r="BT60" s="94">
        <v>185</v>
      </c>
      <c r="BU60" s="94">
        <v>161</v>
      </c>
      <c r="BV60" s="94">
        <v>187</v>
      </c>
      <c r="BW60" s="94">
        <v>191</v>
      </c>
      <c r="BX60" s="94">
        <v>160</v>
      </c>
      <c r="BY60" s="94">
        <v>152</v>
      </c>
      <c r="BZ60" s="94">
        <v>195</v>
      </c>
      <c r="CA60" s="94">
        <v>155</v>
      </c>
      <c r="CB60" s="94">
        <v>100</v>
      </c>
      <c r="CC60" s="96" t="s">
        <v>786</v>
      </c>
      <c r="CD60" s="94">
        <v>124</v>
      </c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49"/>
      <c r="CT60" s="94">
        <v>1271</v>
      </c>
      <c r="CU60" s="94">
        <v>1505</v>
      </c>
      <c r="CV60" s="94">
        <v>2025</v>
      </c>
      <c r="CW60" s="94">
        <f>SUM(O60:R60)</f>
        <v>2623</v>
      </c>
      <c r="CX60" s="94">
        <f>SUM(S60:V60)</f>
        <v>2976</v>
      </c>
      <c r="CY60" s="94">
        <f>SUM(W60:Z60)</f>
        <v>3579</v>
      </c>
      <c r="CZ60" s="94">
        <f>SUM(AA60:AD60)</f>
        <v>4132</v>
      </c>
      <c r="DA60" s="94">
        <f>SUM(AE60:AH60)</f>
        <v>4275</v>
      </c>
      <c r="DB60" s="94">
        <f>SUM(AI60:AL60)</f>
        <v>4659</v>
      </c>
      <c r="DC60" s="94">
        <f t="shared" si="116"/>
        <v>4987</v>
      </c>
      <c r="DD60" s="94">
        <f>SUM(AQ60:AT60)</f>
        <v>5479</v>
      </c>
      <c r="DE60" s="94">
        <f t="shared" si="29"/>
        <v>3853</v>
      </c>
      <c r="DF60" s="94">
        <f t="shared" ref="DF60" si="117">SUM(AY60:BB60)</f>
        <v>1196</v>
      </c>
      <c r="DG60" s="94">
        <f t="shared" ref="DG60" si="118">SUM(BC60:BF60)</f>
        <v>1092</v>
      </c>
      <c r="DH60" s="94">
        <f t="shared" si="32"/>
        <v>931</v>
      </c>
      <c r="DI60" s="94">
        <f t="shared" si="33"/>
        <v>915</v>
      </c>
      <c r="DJ60" s="94">
        <f t="shared" si="14"/>
        <v>732</v>
      </c>
      <c r="DK60" s="94">
        <f t="shared" si="15"/>
        <v>708</v>
      </c>
      <c r="DL60" s="94">
        <f t="shared" si="95"/>
        <v>698</v>
      </c>
      <c r="DM60" s="94">
        <f t="shared" si="96"/>
        <v>379</v>
      </c>
      <c r="DN60" s="94"/>
      <c r="DO60" s="94"/>
      <c r="DP60" s="94"/>
      <c r="DQ60" s="94"/>
      <c r="DR60" s="94"/>
      <c r="DS60" s="94"/>
      <c r="DU60" s="87"/>
      <c r="DX60" s="83"/>
    </row>
    <row r="61" spans="2:128" s="8" customFormat="1" ht="12.75" customHeight="1">
      <c r="B61" s="47" t="s">
        <v>510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6" t="s">
        <v>546</v>
      </c>
      <c r="AE61" s="96" t="s">
        <v>547</v>
      </c>
      <c r="AF61" s="96" t="s">
        <v>561</v>
      </c>
      <c r="AG61" s="96" t="s">
        <v>554</v>
      </c>
      <c r="AH61" s="96" t="s">
        <v>545</v>
      </c>
      <c r="AI61" s="132" t="s">
        <v>526</v>
      </c>
      <c r="AJ61" s="96" t="s">
        <v>518</v>
      </c>
      <c r="AK61" s="96" t="s">
        <v>509</v>
      </c>
      <c r="AL61" s="94">
        <v>71</v>
      </c>
      <c r="AM61" s="94">
        <v>124</v>
      </c>
      <c r="AN61" s="94">
        <v>93</v>
      </c>
      <c r="AO61" s="94">
        <v>81</v>
      </c>
      <c r="AP61" s="94">
        <v>122</v>
      </c>
      <c r="AQ61" s="94">
        <v>120</v>
      </c>
      <c r="AR61" s="94">
        <v>65</v>
      </c>
      <c r="AS61" s="94">
        <v>55</v>
      </c>
      <c r="AT61" s="94">
        <v>74</v>
      </c>
      <c r="AU61" s="94">
        <v>87</v>
      </c>
      <c r="AV61" s="94">
        <v>48</v>
      </c>
      <c r="AW61" s="94">
        <v>47</v>
      </c>
      <c r="AX61" s="94">
        <v>63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49"/>
      <c r="CT61" s="94"/>
      <c r="CU61" s="94"/>
      <c r="CV61" s="94"/>
      <c r="CW61" s="94"/>
      <c r="CX61" s="94"/>
      <c r="CY61" s="94"/>
      <c r="CZ61" s="94"/>
      <c r="DA61" s="94"/>
      <c r="DB61" s="94"/>
      <c r="DC61" s="94">
        <f t="shared" si="116"/>
        <v>420</v>
      </c>
      <c r="DD61" s="94">
        <f t="shared" si="76"/>
        <v>314</v>
      </c>
      <c r="DE61" s="94">
        <f t="shared" si="29"/>
        <v>245</v>
      </c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U61" s="30"/>
    </row>
    <row r="62" spans="2:128" s="8" customFormat="1" ht="12.75" customHeight="1">
      <c r="B62" s="47" t="s">
        <v>164</v>
      </c>
      <c r="C62" s="9"/>
      <c r="D62" s="9"/>
      <c r="E62" s="9"/>
      <c r="F62" s="9"/>
      <c r="G62" s="7"/>
      <c r="H62" s="7"/>
      <c r="I62" s="94"/>
      <c r="J62" s="94"/>
      <c r="K62" s="94"/>
      <c r="L62" s="94"/>
      <c r="M62" s="94"/>
      <c r="N62" s="94"/>
      <c r="O62" s="94">
        <v>173</v>
      </c>
      <c r="P62" s="94">
        <v>195</v>
      </c>
      <c r="Q62" s="94">
        <v>170</v>
      </c>
      <c r="R62" s="94">
        <v>182</v>
      </c>
      <c r="S62" s="94">
        <v>158</v>
      </c>
      <c r="T62" s="94">
        <v>164</v>
      </c>
      <c r="U62" s="94">
        <v>149</v>
      </c>
      <c r="V62" s="94">
        <v>152</v>
      </c>
      <c r="W62" s="94">
        <v>136</v>
      </c>
      <c r="X62" s="94">
        <v>140</v>
      </c>
      <c r="Y62" s="94">
        <v>134</v>
      </c>
      <c r="Z62" s="94">
        <v>136</v>
      </c>
      <c r="AA62" s="94">
        <v>122</v>
      </c>
      <c r="AB62" s="94">
        <v>127</v>
      </c>
      <c r="AC62" s="94">
        <v>119</v>
      </c>
      <c r="AD62" s="94">
        <f>AC62</f>
        <v>119</v>
      </c>
      <c r="AE62" s="94">
        <v>96</v>
      </c>
      <c r="AF62" s="94">
        <v>94</v>
      </c>
      <c r="AG62" s="94">
        <v>82</v>
      </c>
      <c r="AH62" s="94">
        <f>AG62-2</f>
        <v>80</v>
      </c>
      <c r="AI62" s="130">
        <v>77</v>
      </c>
      <c r="AJ62" s="94">
        <v>76</v>
      </c>
      <c r="AK62" s="94">
        <v>73</v>
      </c>
      <c r="AL62" s="94">
        <v>85</v>
      </c>
      <c r="AM62" s="94">
        <v>59</v>
      </c>
      <c r="AN62" s="94">
        <v>63</v>
      </c>
      <c r="AO62" s="94">
        <v>69</v>
      </c>
      <c r="AP62" s="94">
        <v>64</v>
      </c>
      <c r="AQ62" s="94">
        <v>57</v>
      </c>
      <c r="AR62" s="94">
        <v>59</v>
      </c>
      <c r="AS62" s="94">
        <v>57</v>
      </c>
      <c r="AT62" s="94">
        <v>58</v>
      </c>
      <c r="AU62" s="94">
        <v>53</v>
      </c>
      <c r="AV62" s="94">
        <v>49</v>
      </c>
      <c r="AW62" s="94">
        <v>42</v>
      </c>
      <c r="AX62" s="94">
        <v>48</v>
      </c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49"/>
      <c r="CT62" s="9" t="s">
        <v>442</v>
      </c>
      <c r="CU62" s="94" t="s">
        <v>442</v>
      </c>
      <c r="CV62" s="94">
        <v>765</v>
      </c>
      <c r="CW62" s="94">
        <f>SUM(O62:R62)</f>
        <v>720</v>
      </c>
      <c r="CX62" s="94">
        <f>SUM(S62:V62)</f>
        <v>623</v>
      </c>
      <c r="CY62" s="94">
        <f>SUM(W62:Z62)</f>
        <v>546</v>
      </c>
      <c r="CZ62" s="94">
        <f>SUM(AA62:AD62)</f>
        <v>487</v>
      </c>
      <c r="DA62" s="94">
        <f>SUM(AE62:AH62)</f>
        <v>352</v>
      </c>
      <c r="DB62" s="94">
        <f>SUM(AI62:AL62)</f>
        <v>311</v>
      </c>
      <c r="DC62" s="94">
        <f t="shared" si="116"/>
        <v>255</v>
      </c>
      <c r="DD62" s="94">
        <f t="shared" si="76"/>
        <v>231</v>
      </c>
      <c r="DE62" s="94">
        <f t="shared" si="29"/>
        <v>192</v>
      </c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U62" s="30"/>
    </row>
    <row r="63" spans="2:128" s="8" customFormat="1" ht="12.75" customHeight="1">
      <c r="B63" s="47" t="s">
        <v>586</v>
      </c>
      <c r="C63" s="9"/>
      <c r="D63" s="9"/>
      <c r="E63" s="9"/>
      <c r="F63" s="9"/>
      <c r="G63" s="7"/>
      <c r="H63" s="7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132" t="s">
        <v>629</v>
      </c>
      <c r="AJ63" s="94">
        <v>73</v>
      </c>
      <c r="AK63" s="94">
        <v>74</v>
      </c>
      <c r="AL63" s="94">
        <v>46</v>
      </c>
      <c r="AM63" s="94">
        <v>70</v>
      </c>
      <c r="AN63" s="94">
        <v>70</v>
      </c>
      <c r="AO63" s="94">
        <v>63</v>
      </c>
      <c r="AP63" s="94">
        <v>63</v>
      </c>
      <c r="AQ63" s="94">
        <v>64</v>
      </c>
      <c r="AR63" s="94">
        <v>56</v>
      </c>
      <c r="AS63" s="94">
        <v>53</v>
      </c>
      <c r="AT63" s="94">
        <v>57</v>
      </c>
      <c r="AU63" s="94">
        <v>53</v>
      </c>
      <c r="AV63" s="94">
        <v>60</v>
      </c>
      <c r="AW63" s="94">
        <v>48</v>
      </c>
      <c r="AX63" s="94">
        <v>51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49"/>
      <c r="CT63" s="9"/>
      <c r="CU63" s="94"/>
      <c r="CV63" s="94"/>
      <c r="CW63" s="94"/>
      <c r="CX63" s="94"/>
      <c r="CY63" s="94"/>
      <c r="CZ63" s="94"/>
      <c r="DA63" s="94"/>
      <c r="DB63" s="94"/>
      <c r="DC63" s="94">
        <f t="shared" si="116"/>
        <v>266</v>
      </c>
      <c r="DD63" s="94">
        <f t="shared" si="76"/>
        <v>230</v>
      </c>
      <c r="DE63" s="94">
        <f t="shared" si="29"/>
        <v>212</v>
      </c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U63" s="30"/>
    </row>
    <row r="64" spans="2:128" s="8" customFormat="1" ht="12.75" customHeight="1">
      <c r="B64" s="47" t="s">
        <v>591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132" t="s">
        <v>625</v>
      </c>
      <c r="AJ64" s="94">
        <v>68</v>
      </c>
      <c r="AK64" s="94">
        <v>67</v>
      </c>
      <c r="AL64" s="94">
        <v>47</v>
      </c>
      <c r="AM64" s="94">
        <v>74</v>
      </c>
      <c r="AN64" s="94">
        <v>66</v>
      </c>
      <c r="AO64" s="94">
        <v>70</v>
      </c>
      <c r="AP64" s="94">
        <v>75</v>
      </c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49"/>
      <c r="CT64" s="9"/>
      <c r="CU64" s="94"/>
      <c r="CV64" s="94"/>
      <c r="CW64" s="94"/>
      <c r="CX64" s="94"/>
      <c r="CY64" s="94"/>
      <c r="CZ64" s="94"/>
      <c r="DA64" s="94"/>
      <c r="DB64" s="94"/>
      <c r="DC64" s="94">
        <f t="shared" si="116"/>
        <v>285</v>
      </c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U64" s="30"/>
    </row>
    <row r="65" spans="2:132" s="8" customFormat="1" ht="12.75" customHeight="1">
      <c r="B65" s="47" t="s">
        <v>590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2" t="s">
        <v>624</v>
      </c>
      <c r="AJ65" s="94">
        <v>52</v>
      </c>
      <c r="AK65" s="94">
        <v>53</v>
      </c>
      <c r="AL65" s="94">
        <v>36</v>
      </c>
      <c r="AM65" s="94">
        <v>52</v>
      </c>
      <c r="AN65" s="94">
        <v>51</v>
      </c>
      <c r="AO65" s="94">
        <v>7</v>
      </c>
      <c r="AP65" s="94">
        <v>1</v>
      </c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49"/>
      <c r="CT65" s="9"/>
      <c r="CU65" s="94"/>
      <c r="CV65" s="94"/>
      <c r="CW65" s="94"/>
      <c r="CX65" s="94"/>
      <c r="CY65" s="94"/>
      <c r="CZ65" s="94"/>
      <c r="DA65" s="94"/>
      <c r="DB65" s="94"/>
      <c r="DC65" s="94">
        <f t="shared" si="116"/>
        <v>111</v>
      </c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U65" s="30"/>
    </row>
    <row r="66" spans="2:132" s="8" customFormat="1" ht="12.75" customHeight="1">
      <c r="B66" s="47" t="s">
        <v>639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2" t="s">
        <v>622</v>
      </c>
      <c r="AJ66" s="94">
        <v>54</v>
      </c>
      <c r="AK66" s="94">
        <v>53</v>
      </c>
      <c r="AL66" s="94">
        <v>58</v>
      </c>
      <c r="AM66" s="94">
        <f>49+2</f>
        <v>51</v>
      </c>
      <c r="AN66" s="94">
        <v>56</v>
      </c>
      <c r="AO66" s="94">
        <v>48</v>
      </c>
      <c r="AP66" s="94">
        <v>53</v>
      </c>
      <c r="AQ66" s="94">
        <v>60</v>
      </c>
      <c r="AR66" s="94">
        <v>47</v>
      </c>
      <c r="AS66" s="94">
        <v>42</v>
      </c>
      <c r="AT66" s="94">
        <v>57</v>
      </c>
      <c r="AU66" s="94">
        <v>48</v>
      </c>
      <c r="AV66" s="94">
        <v>51</v>
      </c>
      <c r="AW66" s="94">
        <v>42</v>
      </c>
      <c r="AX66" s="94">
        <v>44</v>
      </c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49"/>
      <c r="CT66" s="9"/>
      <c r="CU66" s="94"/>
      <c r="CV66" s="94"/>
      <c r="CW66" s="94"/>
      <c r="CX66" s="94"/>
      <c r="CY66" s="94"/>
      <c r="CZ66" s="94"/>
      <c r="DA66" s="94"/>
      <c r="DB66" s="94"/>
      <c r="DC66" s="94">
        <f t="shared" si="116"/>
        <v>208</v>
      </c>
      <c r="DD66" s="94">
        <f t="shared" si="76"/>
        <v>206</v>
      </c>
      <c r="DE66" s="94">
        <f t="shared" si="29"/>
        <v>185</v>
      </c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U66" s="30"/>
      <c r="DX66" s="83"/>
    </row>
    <row r="67" spans="2:132" s="8" customFormat="1" ht="12.75" customHeight="1">
      <c r="B67" s="47" t="s">
        <v>592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2" t="s">
        <v>623</v>
      </c>
      <c r="AJ67" s="94">
        <v>67</v>
      </c>
      <c r="AK67" s="94">
        <v>56</v>
      </c>
      <c r="AL67" s="94">
        <v>38</v>
      </c>
      <c r="AM67" s="94">
        <v>54</v>
      </c>
      <c r="AN67" s="94">
        <v>51</v>
      </c>
      <c r="AO67" s="94">
        <v>50</v>
      </c>
      <c r="AP67" s="94">
        <v>54</v>
      </c>
      <c r="AQ67" s="94">
        <v>49</v>
      </c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49"/>
      <c r="CT67" s="9"/>
      <c r="CU67" s="94"/>
      <c r="CV67" s="94"/>
      <c r="CW67" s="94"/>
      <c r="CX67" s="94"/>
      <c r="CY67" s="94"/>
      <c r="CZ67" s="94"/>
      <c r="DA67" s="94"/>
      <c r="DB67" s="94"/>
      <c r="DC67" s="94">
        <f t="shared" si="116"/>
        <v>209</v>
      </c>
      <c r="DD67" s="94">
        <f t="shared" si="76"/>
        <v>49</v>
      </c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U67" s="30"/>
    </row>
    <row r="68" spans="2:132" s="8" customFormat="1" ht="12.75" customHeight="1">
      <c r="B68" s="47" t="s">
        <v>611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2" t="s">
        <v>627</v>
      </c>
      <c r="AJ68" s="94">
        <v>46</v>
      </c>
      <c r="AK68" s="94">
        <v>49</v>
      </c>
      <c r="AL68" s="94">
        <v>53</v>
      </c>
      <c r="AM68" s="94">
        <v>55</v>
      </c>
      <c r="AN68" s="94">
        <v>49</v>
      </c>
      <c r="AO68" s="94">
        <v>56</v>
      </c>
      <c r="AP68" s="94">
        <v>49</v>
      </c>
      <c r="AQ68" s="94">
        <v>59</v>
      </c>
      <c r="AR68" s="94">
        <v>66</v>
      </c>
      <c r="AS68" s="94">
        <v>74</v>
      </c>
      <c r="AT68" s="94">
        <v>69</v>
      </c>
      <c r="AU68" s="94">
        <v>67</v>
      </c>
      <c r="AV68" s="94">
        <v>72</v>
      </c>
      <c r="AW68" s="94">
        <v>64</v>
      </c>
      <c r="AX68" s="94">
        <v>68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49"/>
      <c r="CT68" s="9"/>
      <c r="CU68" s="94"/>
      <c r="CV68" s="94"/>
      <c r="CW68" s="94"/>
      <c r="CX68" s="94"/>
      <c r="CY68" s="94"/>
      <c r="CZ68" s="94"/>
      <c r="DA68" s="94"/>
      <c r="DB68" s="94"/>
      <c r="DC68" s="94">
        <f>SUM(AM68:AQ68)</f>
        <v>268</v>
      </c>
      <c r="DD68" s="94">
        <f t="shared" si="76"/>
        <v>268</v>
      </c>
      <c r="DE68" s="94">
        <f t="shared" si="29"/>
        <v>271</v>
      </c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U68" s="30"/>
    </row>
    <row r="69" spans="2:132" s="8" customFormat="1" ht="12.75" customHeight="1">
      <c r="B69" s="47" t="s">
        <v>353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>
        <v>52</v>
      </c>
      <c r="P69" s="94">
        <v>46</v>
      </c>
      <c r="Q69" s="94">
        <v>82</v>
      </c>
      <c r="R69" s="94">
        <v>104</v>
      </c>
      <c r="S69" s="94">
        <v>55</v>
      </c>
      <c r="T69" s="94">
        <v>57</v>
      </c>
      <c r="U69" s="94">
        <v>88</v>
      </c>
      <c r="V69" s="94">
        <v>111</v>
      </c>
      <c r="W69" s="94">
        <v>56</v>
      </c>
      <c r="X69" s="94">
        <v>67</v>
      </c>
      <c r="Y69" s="94">
        <v>97</v>
      </c>
      <c r="Z69" s="94">
        <v>134</v>
      </c>
      <c r="AA69" s="94">
        <v>92</v>
      </c>
      <c r="AB69" s="94">
        <v>96</v>
      </c>
      <c r="AC69" s="93">
        <v>97</v>
      </c>
      <c r="AD69" s="94">
        <f>AC69</f>
        <v>97</v>
      </c>
      <c r="AE69" s="94">
        <v>73</v>
      </c>
      <c r="AF69" s="94">
        <v>69</v>
      </c>
      <c r="AG69" s="94">
        <v>81</v>
      </c>
      <c r="AH69" s="94">
        <f>AG69</f>
        <v>81</v>
      </c>
      <c r="AI69" s="96" t="s">
        <v>934</v>
      </c>
      <c r="AJ69" s="96" t="s">
        <v>935</v>
      </c>
      <c r="AK69" s="96" t="s">
        <v>936</v>
      </c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49"/>
      <c r="CT69" s="9" t="s">
        <v>442</v>
      </c>
      <c r="CU69" s="94" t="s">
        <v>442</v>
      </c>
      <c r="CV69" s="94">
        <v>281</v>
      </c>
      <c r="CW69" s="94">
        <f>SUM(O69:R69)</f>
        <v>284</v>
      </c>
      <c r="CX69" s="94">
        <f>SUM(S69:V69)</f>
        <v>311</v>
      </c>
      <c r="CY69" s="94">
        <f>SUM(W69:Z69)</f>
        <v>354</v>
      </c>
      <c r="CZ69" s="94">
        <f>SUM(AA69:AD69)</f>
        <v>382</v>
      </c>
      <c r="DA69" s="94">
        <f>SUM(AE69:AH69)</f>
        <v>304</v>
      </c>
      <c r="DB69" s="94">
        <f>SUM(AI69:AL69)</f>
        <v>0</v>
      </c>
      <c r="DC69" s="94"/>
      <c r="DD69" s="94"/>
      <c r="DE69" s="94"/>
      <c r="DF69" s="94"/>
      <c r="DG69" s="94"/>
      <c r="DH69" s="94"/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S69" s="94"/>
      <c r="DU69" s="30"/>
    </row>
    <row r="70" spans="2:132" s="8" customFormat="1" ht="12.75" customHeight="1">
      <c r="B70" s="47" t="s">
        <v>352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>
        <v>60</v>
      </c>
      <c r="P70" s="94">
        <v>43</v>
      </c>
      <c r="Q70" s="94">
        <v>48</v>
      </c>
      <c r="R70" s="94">
        <v>47</v>
      </c>
      <c r="S70" s="94">
        <v>36</v>
      </c>
      <c r="T70" s="94">
        <v>46</v>
      </c>
      <c r="U70" s="94">
        <v>65</v>
      </c>
      <c r="V70" s="94">
        <v>48</v>
      </c>
      <c r="W70" s="94">
        <v>54</v>
      </c>
      <c r="X70" s="94">
        <v>59</v>
      </c>
      <c r="Y70" s="94">
        <v>69</v>
      </c>
      <c r="Z70" s="94">
        <v>67</v>
      </c>
      <c r="AA70" s="94">
        <v>72</v>
      </c>
      <c r="AB70" s="94">
        <v>80</v>
      </c>
      <c r="AC70" s="93">
        <v>68</v>
      </c>
      <c r="AD70" s="94">
        <f>AC70</f>
        <v>68</v>
      </c>
      <c r="AE70" s="94">
        <v>34</v>
      </c>
      <c r="AF70" s="94">
        <v>38</v>
      </c>
      <c r="AG70" s="94">
        <v>36</v>
      </c>
      <c r="AH70" s="94">
        <f>AG70</f>
        <v>36</v>
      </c>
      <c r="AI70" s="96" t="s">
        <v>937</v>
      </c>
      <c r="AJ70" s="96" t="s">
        <v>938</v>
      </c>
      <c r="AK70" s="96" t="s">
        <v>939</v>
      </c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49"/>
      <c r="CT70" s="9" t="s">
        <v>442</v>
      </c>
      <c r="CU70" s="94" t="s">
        <v>442</v>
      </c>
      <c r="CV70" s="94">
        <v>241</v>
      </c>
      <c r="CW70" s="94">
        <f>SUM(O70:R70)</f>
        <v>198</v>
      </c>
      <c r="CX70" s="94">
        <f>SUM(S70:V70)</f>
        <v>195</v>
      </c>
      <c r="CY70" s="94">
        <f>SUM(W70:Z70)</f>
        <v>249</v>
      </c>
      <c r="CZ70" s="94">
        <f>SUM(AA70:AD70)</f>
        <v>288</v>
      </c>
      <c r="DA70" s="94">
        <f>SUM(AE70:AH70)</f>
        <v>144</v>
      </c>
      <c r="DB70" s="94">
        <f>SUM(AI70:AL70)</f>
        <v>0</v>
      </c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U70" s="30"/>
    </row>
    <row r="71" spans="2:132" s="8" customFormat="1" ht="12.75" customHeight="1">
      <c r="B71" s="47" t="s">
        <v>358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37</v>
      </c>
      <c r="P71" s="94">
        <v>39</v>
      </c>
      <c r="Q71" s="94">
        <v>38</v>
      </c>
      <c r="R71" s="94">
        <v>43</v>
      </c>
      <c r="S71" s="94">
        <v>32</v>
      </c>
      <c r="T71" s="94">
        <v>37</v>
      </c>
      <c r="U71" s="94">
        <v>35</v>
      </c>
      <c r="V71" s="94">
        <v>35</v>
      </c>
      <c r="W71" s="94">
        <v>30</v>
      </c>
      <c r="X71" s="94">
        <v>33</v>
      </c>
      <c r="Y71" s="94">
        <v>31</v>
      </c>
      <c r="Z71" s="94">
        <v>33</v>
      </c>
      <c r="AA71" s="94">
        <v>29</v>
      </c>
      <c r="AB71" s="94">
        <v>31</v>
      </c>
      <c r="AC71" s="93">
        <v>28</v>
      </c>
      <c r="AD71" s="94">
        <f>AC71</f>
        <v>28</v>
      </c>
      <c r="AE71" s="94">
        <v>29</v>
      </c>
      <c r="AF71" s="94">
        <v>32</v>
      </c>
      <c r="AG71" s="94">
        <v>30</v>
      </c>
      <c r="AH71" s="94">
        <f>AG71</f>
        <v>30</v>
      </c>
      <c r="AI71" s="96" t="s">
        <v>787</v>
      </c>
      <c r="AJ71" s="96" t="s">
        <v>940</v>
      </c>
      <c r="AK71" s="96" t="s">
        <v>787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49"/>
      <c r="CT71" s="9" t="s">
        <v>442</v>
      </c>
      <c r="CU71" s="98" t="s">
        <v>442</v>
      </c>
      <c r="CV71" s="94">
        <v>160</v>
      </c>
      <c r="CW71" s="94">
        <f>SUM(O71:R71)</f>
        <v>157</v>
      </c>
      <c r="CX71" s="94">
        <f>SUM(S71:V71)</f>
        <v>139</v>
      </c>
      <c r="CY71" s="94">
        <f>SUM(W71:Z71)</f>
        <v>127</v>
      </c>
      <c r="CZ71" s="94">
        <f>SUM(AA71:AD71)</f>
        <v>116</v>
      </c>
      <c r="DA71" s="94">
        <f>SUM(AE71:AH71)</f>
        <v>121</v>
      </c>
      <c r="DB71" s="94">
        <f>SUM(AI71:AL71)</f>
        <v>0</v>
      </c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U71" s="30"/>
    </row>
    <row r="72" spans="2:132" s="8" customFormat="1" ht="12.75" customHeight="1">
      <c r="B72" s="47" t="s">
        <v>588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3"/>
      <c r="AD72" s="94"/>
      <c r="AE72" s="94"/>
      <c r="AF72" s="94"/>
      <c r="AG72" s="94"/>
      <c r="AH72" s="94"/>
      <c r="AI72" s="132" t="s">
        <v>623</v>
      </c>
      <c r="AJ72" s="94">
        <v>56</v>
      </c>
      <c r="AK72" s="94">
        <v>59</v>
      </c>
      <c r="AL72" s="94">
        <v>56</v>
      </c>
      <c r="AM72" s="94">
        <v>57</v>
      </c>
      <c r="AN72" s="94">
        <v>55</v>
      </c>
      <c r="AO72" s="94">
        <v>43</v>
      </c>
      <c r="AP72" s="94">
        <v>55</v>
      </c>
      <c r="AQ72" s="94">
        <v>42</v>
      </c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49"/>
      <c r="CT72" s="9"/>
      <c r="CU72" s="98"/>
      <c r="CV72" s="94"/>
      <c r="CW72" s="94"/>
      <c r="CX72" s="94"/>
      <c r="CY72" s="94"/>
      <c r="CZ72" s="94"/>
      <c r="DA72" s="94"/>
      <c r="DB72" s="94"/>
      <c r="DC72" s="94">
        <f>SUM(AM72:AP72)</f>
        <v>210</v>
      </c>
      <c r="DD72" s="94">
        <f t="shared" si="76"/>
        <v>42</v>
      </c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U72" s="30"/>
    </row>
    <row r="73" spans="2:132" s="8" customFormat="1" ht="12.75" customHeight="1">
      <c r="B73" s="47" t="s">
        <v>100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22</v>
      </c>
      <c r="P73" s="94">
        <v>21</v>
      </c>
      <c r="Q73" s="94">
        <v>19</v>
      </c>
      <c r="R73" s="94">
        <v>22</v>
      </c>
      <c r="S73" s="94">
        <v>23</v>
      </c>
      <c r="T73" s="94">
        <v>23</v>
      </c>
      <c r="U73" s="94">
        <v>21</v>
      </c>
      <c r="V73" s="94">
        <v>21</v>
      </c>
      <c r="W73" s="94">
        <v>22</v>
      </c>
      <c r="X73" s="94">
        <v>23</v>
      </c>
      <c r="Y73" s="94">
        <v>22</v>
      </c>
      <c r="Z73" s="94">
        <v>19</v>
      </c>
      <c r="AA73" s="94">
        <v>24</v>
      </c>
      <c r="AB73" s="94">
        <v>20</v>
      </c>
      <c r="AC73" s="94">
        <v>21</v>
      </c>
      <c r="AD73" s="94">
        <f>AC73</f>
        <v>21</v>
      </c>
      <c r="AE73" s="94" t="s">
        <v>442</v>
      </c>
      <c r="AF73" s="94" t="s">
        <v>442</v>
      </c>
      <c r="AG73" s="94" t="s">
        <v>442</v>
      </c>
      <c r="AH73" s="94" t="s">
        <v>442</v>
      </c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49"/>
      <c r="CT73" s="9" t="s">
        <v>442</v>
      </c>
      <c r="CU73" s="94">
        <v>115</v>
      </c>
      <c r="CV73" s="94">
        <v>96</v>
      </c>
      <c r="CW73" s="94">
        <f>SUM(O73:R73)</f>
        <v>84</v>
      </c>
      <c r="CX73" s="94">
        <f>SUM(S73:V73)</f>
        <v>88</v>
      </c>
      <c r="CY73" s="94">
        <f>SUM(W73:Z73)</f>
        <v>86</v>
      </c>
      <c r="CZ73" s="94">
        <f>SUM(AA73:AD73)</f>
        <v>86</v>
      </c>
      <c r="DA73" s="94">
        <f>SUM(AE73:AH73)</f>
        <v>0</v>
      </c>
      <c r="DB73" s="94">
        <f>SUM(AI73:AL73)</f>
        <v>0</v>
      </c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U73" s="30"/>
    </row>
    <row r="74" spans="2:132" s="8" customFormat="1" ht="12.75" customHeight="1">
      <c r="B74" s="47" t="s">
        <v>180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>
        <v>1</v>
      </c>
      <c r="AA74" s="94">
        <v>2</v>
      </c>
      <c r="AB74" s="94">
        <v>3</v>
      </c>
      <c r="AC74" s="94">
        <v>3</v>
      </c>
      <c r="AD74" s="94">
        <f>AC74</f>
        <v>3</v>
      </c>
      <c r="AE74" s="94">
        <v>4</v>
      </c>
      <c r="AF74" s="94">
        <v>3</v>
      </c>
      <c r="AG74" s="94">
        <v>4</v>
      </c>
      <c r="AH74" s="94">
        <f>AG74</f>
        <v>4</v>
      </c>
      <c r="AI74" s="94">
        <v>5</v>
      </c>
      <c r="AJ74" s="94">
        <v>4</v>
      </c>
      <c r="AK74" s="94">
        <v>5</v>
      </c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49"/>
      <c r="CT74" s="9" t="s">
        <v>442</v>
      </c>
      <c r="CU74" s="94" t="s">
        <v>442</v>
      </c>
      <c r="CV74" s="94" t="s">
        <v>442</v>
      </c>
      <c r="CW74" s="94" t="s">
        <v>442</v>
      </c>
      <c r="CX74" s="94">
        <f>SUM(S74:V74)</f>
        <v>0</v>
      </c>
      <c r="CY74" s="94">
        <f>SUM(W74:Z74)</f>
        <v>1</v>
      </c>
      <c r="CZ74" s="94">
        <f>SUM(AA74:AD74)</f>
        <v>11</v>
      </c>
      <c r="DA74" s="94">
        <f>SUM(AE74:AH74)</f>
        <v>15</v>
      </c>
      <c r="DB74" s="94">
        <f>SUM(AI74:AL74)</f>
        <v>14</v>
      </c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U74" s="30"/>
    </row>
    <row r="75" spans="2:132" s="8" customFormat="1" ht="12.75" customHeight="1">
      <c r="B75" s="47" t="s">
        <v>487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>
        <v>759</v>
      </c>
      <c r="AG75" s="94"/>
      <c r="AH75" s="94"/>
      <c r="AI75" s="132" t="s">
        <v>615</v>
      </c>
      <c r="AJ75" s="96">
        <v>672</v>
      </c>
      <c r="AK75" s="94">
        <v>664</v>
      </c>
      <c r="AL75" s="94">
        <v>759</v>
      </c>
      <c r="AM75" s="94">
        <v>709</v>
      </c>
      <c r="AN75" s="94">
        <v>731</v>
      </c>
      <c r="AO75" s="94">
        <v>687</v>
      </c>
      <c r="AP75" s="94">
        <v>815</v>
      </c>
      <c r="AQ75" s="94">
        <v>758</v>
      </c>
      <c r="AR75" s="94">
        <v>802</v>
      </c>
      <c r="AS75" s="94">
        <v>826</v>
      </c>
      <c r="AT75" s="94">
        <v>868</v>
      </c>
      <c r="AU75" s="94">
        <v>821</v>
      </c>
      <c r="AV75" s="94">
        <v>865</v>
      </c>
      <c r="AW75" s="94">
        <v>815</v>
      </c>
      <c r="AX75" s="94">
        <v>898</v>
      </c>
      <c r="AY75" s="94">
        <v>840</v>
      </c>
      <c r="AZ75" s="94">
        <v>851</v>
      </c>
      <c r="BA75" s="94">
        <v>800</v>
      </c>
      <c r="BB75" s="94">
        <v>871</v>
      </c>
      <c r="BC75" s="94">
        <v>813</v>
      </c>
      <c r="BD75" s="94">
        <v>872</v>
      </c>
      <c r="BE75" s="94">
        <v>885</v>
      </c>
      <c r="BF75" s="94">
        <v>885</v>
      </c>
      <c r="BG75" s="94">
        <v>831</v>
      </c>
      <c r="BH75" s="94">
        <v>842</v>
      </c>
      <c r="BI75" s="94">
        <v>827</v>
      </c>
      <c r="BJ75" s="94">
        <v>832</v>
      </c>
      <c r="BK75" s="94">
        <v>829</v>
      </c>
      <c r="BL75" s="94">
        <v>900</v>
      </c>
      <c r="BM75" s="94">
        <v>865</v>
      </c>
      <c r="BN75" s="94">
        <v>884</v>
      </c>
      <c r="BO75" s="94">
        <v>939</v>
      </c>
      <c r="BP75" s="94">
        <v>955</v>
      </c>
      <c r="BQ75" s="94">
        <v>1000</v>
      </c>
      <c r="BR75" s="94">
        <v>981</v>
      </c>
      <c r="BS75" s="94">
        <v>1065</v>
      </c>
      <c r="BT75" s="94">
        <v>1090</v>
      </c>
      <c r="BU75" s="94">
        <v>1021</v>
      </c>
      <c r="BV75" s="94">
        <v>1036</v>
      </c>
      <c r="BW75" s="94">
        <v>1025</v>
      </c>
      <c r="BX75" s="94">
        <v>1124</v>
      </c>
      <c r="BY75" s="94">
        <v>1122</v>
      </c>
      <c r="BZ75" s="94">
        <v>1122</v>
      </c>
      <c r="CA75" s="94">
        <v>1214</v>
      </c>
      <c r="CB75" s="94">
        <v>1101</v>
      </c>
      <c r="CC75" s="94">
        <v>1220</v>
      </c>
      <c r="CD75" s="94">
        <v>1168</v>
      </c>
      <c r="CE75" s="94">
        <v>1418</v>
      </c>
      <c r="CF75" s="94">
        <v>1472</v>
      </c>
      <c r="CG75" s="94">
        <v>1417</v>
      </c>
      <c r="CH75" s="94">
        <v>1261</v>
      </c>
      <c r="CI75" s="94">
        <v>1482</v>
      </c>
      <c r="CJ75" s="94">
        <v>1467</v>
      </c>
      <c r="CK75" s="94">
        <v>1371</v>
      </c>
      <c r="CL75" s="94">
        <v>1230</v>
      </c>
      <c r="CM75" s="94">
        <v>1491</v>
      </c>
      <c r="CN75" s="94">
        <f t="shared" ref="CN75:CP75" si="119">+CJ75*1.05</f>
        <v>1540.3500000000001</v>
      </c>
      <c r="CO75" s="94">
        <f t="shared" si="119"/>
        <v>1439.55</v>
      </c>
      <c r="CP75" s="94">
        <f t="shared" si="119"/>
        <v>1291.5</v>
      </c>
      <c r="CQ75" s="94"/>
      <c r="CR75" s="94"/>
      <c r="CS75" s="49"/>
      <c r="CT75" s="9"/>
      <c r="CU75" s="94"/>
      <c r="CV75" s="94"/>
      <c r="CW75" s="94"/>
      <c r="CX75" s="94"/>
      <c r="CY75" s="94"/>
      <c r="CZ75" s="94"/>
      <c r="DA75" s="94"/>
      <c r="DB75" s="94"/>
      <c r="DC75" s="94">
        <f>SUM(AM75:AP75)</f>
        <v>2942</v>
      </c>
      <c r="DD75" s="94">
        <f t="shared" si="76"/>
        <v>3254</v>
      </c>
      <c r="DE75" s="94">
        <f t="shared" ref="DE75:DE84" si="120">SUM(AU75:AX75)</f>
        <v>3399</v>
      </c>
      <c r="DF75" s="94">
        <f t="shared" ref="DF75:DF84" si="121">SUM(AY75:BB75)</f>
        <v>3362</v>
      </c>
      <c r="DG75" s="94">
        <f t="shared" ref="DG75:DG84" si="122">SUM(BC75:BF75)</f>
        <v>3455</v>
      </c>
      <c r="DH75" s="94">
        <f t="shared" ref="DH75:DH84" si="123">SUM(BG75:BJ75)</f>
        <v>3332</v>
      </c>
      <c r="DI75" s="94">
        <f t="shared" ref="DI75:DI84" si="124">SUM(BK75:BN75)</f>
        <v>3478</v>
      </c>
      <c r="DJ75" s="94">
        <f t="shared" ref="DJ75:DJ84" si="125">SUM(BO75:BR75)</f>
        <v>3875</v>
      </c>
      <c r="DK75" s="94">
        <f t="shared" ref="DK75:DK84" si="126">SUM(BS75:BV75)</f>
        <v>4212</v>
      </c>
      <c r="DL75" s="94">
        <f t="shared" si="95"/>
        <v>4393</v>
      </c>
      <c r="DM75" s="94">
        <f t="shared" si="96"/>
        <v>4703</v>
      </c>
      <c r="DN75" s="94">
        <f t="shared" si="97"/>
        <v>5568</v>
      </c>
      <c r="DO75" s="94">
        <f t="shared" si="98"/>
        <v>5550</v>
      </c>
      <c r="DP75" s="94">
        <f t="shared" ref="DP75" si="127">SUM(CM75:CP75)</f>
        <v>5762.4000000000005</v>
      </c>
      <c r="DQ75" s="94">
        <f t="shared" ref="DQ75:DS75" si="128">DP75*1.02</f>
        <v>5877.648000000001</v>
      </c>
      <c r="DR75" s="94">
        <f t="shared" si="128"/>
        <v>5995.200960000001</v>
      </c>
      <c r="DS75" s="94">
        <f t="shared" si="128"/>
        <v>6115.1049792000013</v>
      </c>
      <c r="DT75" s="94">
        <f t="shared" ref="DT75" si="129">DS75*1.02</f>
        <v>6237.407078784001</v>
      </c>
      <c r="DU75" s="94">
        <f t="shared" ref="DU75" si="130">DT75*1.02</f>
        <v>6362.1552203596812</v>
      </c>
      <c r="DV75" s="94">
        <f t="shared" ref="DV75" si="131">DU75*1.02</f>
        <v>6489.3983247668748</v>
      </c>
      <c r="DW75" s="94">
        <f t="shared" ref="DW75" si="132">DV75*1.02</f>
        <v>6619.1862912622128</v>
      </c>
      <c r="DX75" s="94">
        <f t="shared" ref="DX75" si="133">DW75*1.02</f>
        <v>6751.570017087457</v>
      </c>
      <c r="DY75" s="94">
        <f t="shared" ref="DY75" si="134">DX75*1.02</f>
        <v>6886.6014174292059</v>
      </c>
      <c r="DZ75" s="94">
        <f t="shared" ref="DZ75" si="135">DY75*1.02</f>
        <v>7024.3334457777901</v>
      </c>
      <c r="EA75" s="94">
        <f t="shared" ref="EA75" si="136">DZ75*1.02</f>
        <v>7164.8201146933461</v>
      </c>
      <c r="EB75" s="94">
        <f t="shared" ref="EB75" si="137">EA75*1.02</f>
        <v>7308.1165169872129</v>
      </c>
    </row>
    <row r="76" spans="2:132" s="8" customFormat="1" ht="12.75" customHeight="1">
      <c r="B76" s="47" t="s">
        <v>488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132" t="s">
        <v>630</v>
      </c>
      <c r="AJ76" s="94">
        <v>381</v>
      </c>
      <c r="AK76" s="94">
        <v>283</v>
      </c>
      <c r="AL76" s="94">
        <v>232</v>
      </c>
      <c r="AM76" s="94">
        <v>379</v>
      </c>
      <c r="AN76" s="94">
        <v>422</v>
      </c>
      <c r="AO76" s="94">
        <v>291</v>
      </c>
      <c r="AP76" s="94">
        <v>251</v>
      </c>
      <c r="AQ76" s="94">
        <v>517</v>
      </c>
      <c r="AR76" s="94">
        <v>541</v>
      </c>
      <c r="AS76" s="94">
        <v>421</v>
      </c>
      <c r="AT76" s="94">
        <v>361</v>
      </c>
      <c r="AU76" s="94">
        <v>554</v>
      </c>
      <c r="AV76" s="94">
        <v>552</v>
      </c>
      <c r="AW76" s="94">
        <v>451</v>
      </c>
      <c r="AX76" s="94">
        <v>395</v>
      </c>
      <c r="AY76" s="94">
        <v>571</v>
      </c>
      <c r="AZ76" s="94">
        <v>490</v>
      </c>
      <c r="BA76" s="94">
        <v>443</v>
      </c>
      <c r="BB76" s="94">
        <v>390</v>
      </c>
      <c r="BC76" s="94">
        <v>546</v>
      </c>
      <c r="BD76" s="94">
        <v>583</v>
      </c>
      <c r="BE76" s="94">
        <v>401</v>
      </c>
      <c r="BF76" s="94">
        <v>16</v>
      </c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49"/>
      <c r="CT76" s="9"/>
      <c r="CU76" s="94"/>
      <c r="CV76" s="94"/>
      <c r="CW76" s="94"/>
      <c r="CX76" s="94"/>
      <c r="CY76" s="94"/>
      <c r="CZ76" s="94"/>
      <c r="DA76" s="94"/>
      <c r="DB76" s="94"/>
      <c r="DC76" s="94">
        <f>SUM(AM76:AP76)</f>
        <v>1343</v>
      </c>
      <c r="DD76" s="94">
        <f t="shared" si="76"/>
        <v>1840</v>
      </c>
      <c r="DE76" s="94">
        <f t="shared" si="120"/>
        <v>1952</v>
      </c>
      <c r="DF76" s="94">
        <f t="shared" si="121"/>
        <v>1894</v>
      </c>
      <c r="DG76" s="94">
        <f t="shared" si="122"/>
        <v>1546</v>
      </c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U76" s="30"/>
    </row>
    <row r="77" spans="2:132" s="8" customFormat="1" ht="12.75" customHeight="1">
      <c r="B77" s="47" t="s">
        <v>98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4"/>
      <c r="Z77" s="33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49"/>
      <c r="CT77" s="25"/>
      <c r="CU77" s="94">
        <v>480</v>
      </c>
      <c r="CV77" s="94">
        <v>115</v>
      </c>
      <c r="CW77" s="94">
        <v>47</v>
      </c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84"/>
      <c r="DQ77" s="84"/>
      <c r="DR77" s="84"/>
      <c r="DS77" s="84"/>
      <c r="DU77" s="30"/>
    </row>
    <row r="78" spans="2:132" s="8" customFormat="1" ht="12.75" customHeight="1">
      <c r="B78" s="47" t="s">
        <v>613</v>
      </c>
      <c r="C78" s="9"/>
      <c r="D78" s="9"/>
      <c r="E78" s="9"/>
      <c r="F78" s="9"/>
      <c r="G78" s="7"/>
      <c r="H78" s="7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94"/>
      <c r="Z78" s="33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49"/>
      <c r="CT78" s="25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94"/>
      <c r="DI78" s="94"/>
      <c r="DJ78" s="94"/>
      <c r="DK78" s="94"/>
      <c r="DL78" s="94"/>
      <c r="DM78" s="94"/>
      <c r="DN78" s="94"/>
      <c r="DO78" s="94"/>
      <c r="DP78" s="84"/>
      <c r="DQ78" s="84"/>
      <c r="DR78" s="84"/>
      <c r="DS78" s="84"/>
      <c r="DU78" s="30"/>
    </row>
    <row r="79" spans="2:132" s="8" customFormat="1" ht="12.75" customHeight="1">
      <c r="B79" s="47" t="s">
        <v>104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49"/>
      <c r="CT79" s="25"/>
      <c r="CU79" s="94">
        <v>55</v>
      </c>
      <c r="CV79" s="94">
        <v>37</v>
      </c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26"/>
      <c r="DQ79" s="26"/>
      <c r="DR79" s="26"/>
      <c r="DS79" s="26"/>
      <c r="DU79" s="30"/>
    </row>
    <row r="80" spans="2:132" s="8" customFormat="1" ht="12.75" customHeight="1">
      <c r="B80" s="47" t="s">
        <v>99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49"/>
      <c r="CT80" s="25"/>
      <c r="CU80" s="94">
        <v>110</v>
      </c>
      <c r="CV80" s="94">
        <v>56</v>
      </c>
      <c r="CW80" s="94"/>
      <c r="CX80" s="94"/>
      <c r="CY80" s="94"/>
      <c r="CZ80" s="94"/>
      <c r="DA80" s="94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26"/>
      <c r="DQ80" s="26"/>
      <c r="DR80" s="26"/>
      <c r="DS80" s="26"/>
      <c r="DU80" s="30"/>
    </row>
    <row r="81" spans="2:132" s="8" customFormat="1" ht="12.75" customHeight="1">
      <c r="B81" s="47" t="s">
        <v>97</v>
      </c>
      <c r="C81" s="94">
        <v>554.31479999999999</v>
      </c>
      <c r="D81" s="94">
        <v>554.31549999999993</v>
      </c>
      <c r="E81" s="94">
        <v>731.20980000000009</v>
      </c>
      <c r="F81" s="94">
        <v>510.72115509097432</v>
      </c>
      <c r="G81" s="94">
        <v>598</v>
      </c>
      <c r="H81" s="94">
        <v>788</v>
      </c>
      <c r="I81" s="94">
        <v>756</v>
      </c>
      <c r="J81" s="94">
        <v>386</v>
      </c>
      <c r="K81" s="94">
        <v>521</v>
      </c>
      <c r="L81" s="94">
        <v>814</v>
      </c>
      <c r="M81" s="94">
        <v>529.25</v>
      </c>
      <c r="N81" s="94">
        <v>754.25</v>
      </c>
      <c r="O81" s="94">
        <v>661</v>
      </c>
      <c r="P81" s="94">
        <v>653</v>
      </c>
      <c r="Q81" s="94">
        <v>175</v>
      </c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49"/>
      <c r="CT81" s="94">
        <v>2350.5626944231763</v>
      </c>
      <c r="CU81" s="94">
        <v>2530</v>
      </c>
      <c r="CV81" s="94">
        <v>2569</v>
      </c>
      <c r="CW81" s="94">
        <f>SUM(O81:R81)</f>
        <v>1489</v>
      </c>
      <c r="CX81" s="94"/>
      <c r="CY81" s="94"/>
      <c r="CZ81" s="94"/>
      <c r="DA81" s="94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26"/>
      <c r="DQ81" s="26"/>
      <c r="DR81" s="26"/>
      <c r="DS81" s="26"/>
      <c r="DU81" s="30"/>
    </row>
    <row r="82" spans="2:132" s="8" customFormat="1" ht="12.75" customHeight="1">
      <c r="B82" s="47" t="s">
        <v>165</v>
      </c>
      <c r="C82" s="26"/>
      <c r="D82" s="26"/>
      <c r="E82" s="26"/>
      <c r="F82" s="26"/>
      <c r="G82" s="26"/>
      <c r="H82" s="26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4"/>
      <c r="Z82" s="9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49"/>
      <c r="CT82" s="27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U82" s="30"/>
    </row>
    <row r="83" spans="2:132" s="8" customFormat="1" ht="12.75" customHeight="1">
      <c r="B83" s="47" t="s">
        <v>489</v>
      </c>
      <c r="C83" s="26"/>
      <c r="D83" s="26"/>
      <c r="E83" s="26"/>
      <c r="F83" s="26"/>
      <c r="G83" s="26"/>
      <c r="H83" s="2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4"/>
      <c r="Z83" s="9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49"/>
      <c r="CT83" s="27"/>
      <c r="CU83" s="94"/>
      <c r="CV83" s="94"/>
      <c r="CW83" s="94"/>
      <c r="CX83" s="94"/>
      <c r="CY83" s="94"/>
      <c r="CZ83" s="94"/>
      <c r="DA83" s="94"/>
      <c r="DB83" s="94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U83" s="30"/>
    </row>
    <row r="84" spans="2:132" s="8" customFormat="1" ht="12.75" customHeight="1">
      <c r="B84" s="47" t="s">
        <v>79</v>
      </c>
      <c r="C84" s="26"/>
      <c r="D84" s="26"/>
      <c r="E84" s="26"/>
      <c r="F84" s="26"/>
      <c r="G84" s="26"/>
      <c r="H84" s="26"/>
      <c r="I84" s="94"/>
      <c r="J84" s="94"/>
      <c r="K84" s="94"/>
      <c r="L84" s="94"/>
      <c r="M84" s="94"/>
      <c r="N84" s="94"/>
      <c r="O84" s="94">
        <f>5631-SUM(O14:O45,O9:O81)</f>
        <v>-2217</v>
      </c>
      <c r="P84" s="94">
        <f>6022-SUM(P14:P45,P9:P81)</f>
        <v>-2365</v>
      </c>
      <c r="Q84" s="94">
        <f>5538-SUM(Q14:Q45,Q9:Q81)</f>
        <v>-2202</v>
      </c>
      <c r="R84" s="94">
        <f>5748-SUM(R14:R45,R9:R80)</f>
        <v>-2512</v>
      </c>
      <c r="S84" s="94">
        <f>5362-SUM(S14:S45,S9:S80)</f>
        <v>-2259</v>
      </c>
      <c r="T84" s="94">
        <f>5468-SUM(T14:T45,T9:T80)</f>
        <v>-2552</v>
      </c>
      <c r="U84" s="94">
        <f>5416-SUM(U14:U45,U9:U80)</f>
        <v>-2410</v>
      </c>
      <c r="V84" s="94">
        <f>5766-SUM(V14:V45,V9:V80)</f>
        <v>-2465</v>
      </c>
      <c r="W84" s="94">
        <f>5410-SUM(W14:W45,W9:W80)</f>
        <v>-2521.1999999999998</v>
      </c>
      <c r="X84" s="94">
        <f>5772-SUM(X14:X45,X9:X80)</f>
        <v>-2713.3999999999996</v>
      </c>
      <c r="Y84" s="94">
        <f>5410-SUM((Y9:Y74,Y14:Y52))</f>
        <v>-3932</v>
      </c>
      <c r="Z84" s="94">
        <f>6044-SUM((Z10:Z74,Z14:Z52))</f>
        <v>-3726</v>
      </c>
      <c r="AA84" s="94">
        <f>5769-SUM((AA10:AA74,AA14:AA52))</f>
        <v>-3875.5999999999985</v>
      </c>
      <c r="AB84" s="94">
        <f>6111-SUM((AB10:AB74,AB14:AB52))</f>
        <v>-4092.7999999999993</v>
      </c>
      <c r="AC84" s="94">
        <f>6074-SUM((AC10:AC74,AC14:AC52))</f>
        <v>-4262</v>
      </c>
      <c r="AD84" s="94"/>
      <c r="AE84" s="94">
        <f>5822-SUM((AE10:AE74,AE14:AE52))</f>
        <v>-4062.8000000000011</v>
      </c>
      <c r="AF84" s="94">
        <f>6052-SUM((AF10:AF74,AF14:AF52))</f>
        <v>-4036</v>
      </c>
      <c r="AG84" s="94">
        <f>5944-SUM((AG10:AG74,AG14:AG52))</f>
        <v>-3689</v>
      </c>
      <c r="AH84" s="94">
        <f>6032-SUM((AH10:AH74,AH14:AH52))</f>
        <v>-2307.6000000000004</v>
      </c>
      <c r="AI84" s="130">
        <f>443+945</f>
        <v>1388</v>
      </c>
      <c r="AJ84" s="94"/>
      <c r="AK84" s="94"/>
      <c r="AL84" s="94">
        <f>781+379-1</f>
        <v>1159</v>
      </c>
      <c r="AM84" s="94">
        <f>975+542</f>
        <v>1517</v>
      </c>
      <c r="AN84" s="94">
        <f>417+986</f>
        <v>1403</v>
      </c>
      <c r="AO84" s="94">
        <f>1049+487</f>
        <v>1536</v>
      </c>
      <c r="AP84" s="94">
        <f>1160+447</f>
        <v>1607</v>
      </c>
      <c r="AQ84" s="94">
        <f>486+892-AQ72-AQ67-AQ58-AQ57</f>
        <v>1189</v>
      </c>
      <c r="AR84" s="94">
        <f>448+1064</f>
        <v>1512</v>
      </c>
      <c r="AS84" s="94">
        <f>1015+421</f>
        <v>1436</v>
      </c>
      <c r="AT84" s="94">
        <f>1064+310</f>
        <v>1374</v>
      </c>
      <c r="AU84" s="94">
        <f>274+1013</f>
        <v>1287</v>
      </c>
      <c r="AV84" s="94">
        <f>985+333</f>
        <v>1318</v>
      </c>
      <c r="AW84" s="94">
        <f>1023+347</f>
        <v>1370</v>
      </c>
      <c r="AX84" s="94">
        <f>1113+360</f>
        <v>1473</v>
      </c>
      <c r="AY84" s="94">
        <f>1361+369</f>
        <v>1730</v>
      </c>
      <c r="AZ84" s="94">
        <f>1430+359</f>
        <v>1789</v>
      </c>
      <c r="BA84" s="94">
        <f>1350+314</f>
        <v>1664</v>
      </c>
      <c r="BB84" s="94">
        <f>1435+298</f>
        <v>1733</v>
      </c>
      <c r="BC84" s="94">
        <f>1175+454</f>
        <v>1629</v>
      </c>
      <c r="BD84" s="94">
        <f>1209+392</f>
        <v>1601</v>
      </c>
      <c r="BE84" s="94">
        <f>1225+137</f>
        <v>1362</v>
      </c>
      <c r="BF84" s="94">
        <f>1174+211</f>
        <v>1385</v>
      </c>
      <c r="BG84" s="94">
        <f>1235+328</f>
        <v>1563</v>
      </c>
      <c r="BH84" s="94">
        <f>1274+379</f>
        <v>1653</v>
      </c>
      <c r="BI84" s="94">
        <f>1298+321</f>
        <v>1619</v>
      </c>
      <c r="BJ84" s="94">
        <f>1300+356</f>
        <v>1656</v>
      </c>
      <c r="BK84" s="94">
        <f>1093+379</f>
        <v>1472</v>
      </c>
      <c r="BL84" s="94">
        <f>1151+244</f>
        <v>1395</v>
      </c>
      <c r="BM84" s="94">
        <f>1224+228</f>
        <v>1452</v>
      </c>
      <c r="BN84" s="94">
        <f>1234+327</f>
        <v>1561</v>
      </c>
      <c r="BO84" s="94">
        <f>995+310</f>
        <v>1305</v>
      </c>
      <c r="BP84" s="94">
        <f>1064+216</f>
        <v>1280</v>
      </c>
      <c r="BQ84" s="94">
        <f>952+169</f>
        <v>1121</v>
      </c>
      <c r="BR84" s="94">
        <f>1048+162</f>
        <v>1210</v>
      </c>
      <c r="BS84" s="94">
        <f>989+53</f>
        <v>1042</v>
      </c>
      <c r="BT84" s="94">
        <f>1053+93</f>
        <v>1146</v>
      </c>
      <c r="BU84" s="94">
        <f>980+115</f>
        <v>1095</v>
      </c>
      <c r="BV84" s="94">
        <f>1062+132</f>
        <v>1194</v>
      </c>
      <c r="BW84" s="94">
        <f>1082+128</f>
        <v>1210</v>
      </c>
      <c r="BX84" s="94">
        <f>1203+176</f>
        <v>1379</v>
      </c>
      <c r="BY84" s="94">
        <f>1149+180</f>
        <v>1329</v>
      </c>
      <c r="BZ84" s="94">
        <f>1183+213</f>
        <v>1396</v>
      </c>
      <c r="CA84" s="94">
        <f>1194+188</f>
        <v>1382</v>
      </c>
      <c r="CB84" s="94">
        <f>1103+92</f>
        <v>1195</v>
      </c>
      <c r="CC84" s="94">
        <f>-5+526</f>
        <v>521</v>
      </c>
      <c r="CD84" s="94">
        <f>1228-21</f>
        <v>1207</v>
      </c>
      <c r="CE84" s="94">
        <f>554-29</f>
        <v>525</v>
      </c>
      <c r="CF84" s="94">
        <f>512-50</f>
        <v>462</v>
      </c>
      <c r="CG84" s="94">
        <f>518+241</f>
        <v>759</v>
      </c>
      <c r="CH84" s="94">
        <f>533+221</f>
        <v>754</v>
      </c>
      <c r="CI84" s="94">
        <f>520+312-CI7-CI16</f>
        <v>809</v>
      </c>
      <c r="CJ84" s="94">
        <f>370+479-CJ7-CJ16</f>
        <v>810</v>
      </c>
      <c r="CK84" s="94">
        <f>625+564-CK7-CK16</f>
        <v>1135</v>
      </c>
      <c r="CL84" s="94">
        <f>420+685-CL7-CL16</f>
        <v>927</v>
      </c>
      <c r="CM84" s="94">
        <f>275+584</f>
        <v>859</v>
      </c>
      <c r="CN84" s="94">
        <f t="shared" ref="CN84:CP84" si="138">AVERAGE(CJ84:CM84)</f>
        <v>932.75</v>
      </c>
      <c r="CO84" s="94">
        <f t="shared" si="138"/>
        <v>963.4375</v>
      </c>
      <c r="CP84" s="94">
        <f t="shared" si="138"/>
        <v>920.546875</v>
      </c>
      <c r="CQ84" s="94"/>
      <c r="CR84" s="94"/>
      <c r="CS84" s="49"/>
      <c r="CT84" s="27"/>
      <c r="CU84" s="94"/>
      <c r="CV84" s="94"/>
      <c r="CW84" s="94">
        <f>SUM(O84:R84)</f>
        <v>-9296</v>
      </c>
      <c r="CX84" s="94">
        <f>SUM(S84:V84)</f>
        <v>-9686</v>
      </c>
      <c r="CY84" s="94">
        <f>SUM(W84:Z84)</f>
        <v>-12892.599999999999</v>
      </c>
      <c r="CZ84" s="94">
        <f>SUM(AA84:AD84)</f>
        <v>-12230.399999999998</v>
      </c>
      <c r="DA84" s="94">
        <f>SUM(AE84:AH84)</f>
        <v>-14095.400000000001</v>
      </c>
      <c r="DB84" s="94">
        <f>SUM(AI84:AL84)</f>
        <v>2547</v>
      </c>
      <c r="DC84" s="94">
        <f>SUM(AM84:AP84)</f>
        <v>6063</v>
      </c>
      <c r="DD84" s="94">
        <f t="shared" si="76"/>
        <v>5511</v>
      </c>
      <c r="DE84" s="94">
        <f t="shared" si="120"/>
        <v>5448</v>
      </c>
      <c r="DF84" s="94">
        <f t="shared" si="121"/>
        <v>6916</v>
      </c>
      <c r="DG84" s="94">
        <f t="shared" si="122"/>
        <v>5977</v>
      </c>
      <c r="DH84" s="94">
        <f t="shared" si="123"/>
        <v>6491</v>
      </c>
      <c r="DI84" s="94">
        <f t="shared" si="124"/>
        <v>5880</v>
      </c>
      <c r="DJ84" s="94">
        <f t="shared" si="125"/>
        <v>4916</v>
      </c>
      <c r="DK84" s="94">
        <f t="shared" si="126"/>
        <v>4477</v>
      </c>
      <c r="DL84" s="94">
        <f t="shared" si="95"/>
        <v>5314</v>
      </c>
      <c r="DM84" s="94">
        <f t="shared" si="96"/>
        <v>4305</v>
      </c>
      <c r="DN84" s="94">
        <f t="shared" si="97"/>
        <v>2500</v>
      </c>
      <c r="DO84" s="94">
        <f>SUM(CI84:CL84)</f>
        <v>3681</v>
      </c>
      <c r="DP84" s="94">
        <f>SUM(CM84:CP84)</f>
        <v>3675.734375</v>
      </c>
      <c r="DQ84" s="94">
        <f t="shared" ref="DQ84:DS84" si="139">DP84*0.9</f>
        <v>3308.1609375000003</v>
      </c>
      <c r="DR84" s="94">
        <f t="shared" si="139"/>
        <v>2977.3448437500001</v>
      </c>
      <c r="DS84" s="94">
        <f t="shared" si="139"/>
        <v>2679.6103593750004</v>
      </c>
      <c r="DT84" s="94">
        <f t="shared" ref="DT84" si="140">DS84*0.9</f>
        <v>2411.6493234375002</v>
      </c>
      <c r="DU84" s="94">
        <f t="shared" ref="DU84" si="141">DT84*0.9</f>
        <v>2170.4843910937502</v>
      </c>
      <c r="DV84" s="94">
        <f t="shared" ref="DV84" si="142">DU84*0.9</f>
        <v>1953.4359519843752</v>
      </c>
      <c r="DW84" s="94">
        <f t="shared" ref="DW84" si="143">DV84*0.9</f>
        <v>1758.0923567859377</v>
      </c>
      <c r="DX84" s="94">
        <f t="shared" ref="DX84" si="144">DW84*0.9</f>
        <v>1582.283121107344</v>
      </c>
      <c r="DY84" s="94">
        <f t="shared" ref="DY84" si="145">DX84*0.9</f>
        <v>1424.0548089966096</v>
      </c>
      <c r="DZ84" s="94">
        <f t="shared" ref="DZ84" si="146">DY84*0.9</f>
        <v>1281.6493280969487</v>
      </c>
      <c r="EA84" s="94">
        <f t="shared" ref="EA84" si="147">DZ84*0.9</f>
        <v>1153.4843952872538</v>
      </c>
      <c r="EB84" s="94">
        <f t="shared" ref="EB84" si="148">EA84*0.9</f>
        <v>1038.1359557585286</v>
      </c>
    </row>
    <row r="85" spans="2:132" s="41" customFormat="1" ht="12.75" customHeight="1">
      <c r="B85" s="36" t="s">
        <v>701</v>
      </c>
      <c r="C85" s="28">
        <v>4895.8</v>
      </c>
      <c r="D85" s="28">
        <v>5287.8</v>
      </c>
      <c r="E85" s="28">
        <v>5443.7</v>
      </c>
      <c r="F85" s="28">
        <v>5571.6</v>
      </c>
      <c r="G85" s="28"/>
      <c r="H85" s="28"/>
      <c r="I85" s="28"/>
      <c r="J85" s="28"/>
      <c r="K85" s="28"/>
      <c r="L85" s="28"/>
      <c r="M85" s="28"/>
      <c r="N85" s="28"/>
      <c r="O85" s="28">
        <f>SUM(O14:O82)+O84</f>
        <v>3060</v>
      </c>
      <c r="P85" s="28">
        <f>SUM(P14:P82)+P84</f>
        <v>3276</v>
      </c>
      <c r="Q85" s="28">
        <f>SUM(Q14:Q82)+Q84</f>
        <v>2902</v>
      </c>
      <c r="R85" s="28">
        <f>SUM(R14:R82)+R84</f>
        <v>2929</v>
      </c>
      <c r="S85" s="28">
        <f>SUM(S14:S82)+S84</f>
        <v>2839</v>
      </c>
      <c r="T85" s="28">
        <f>SUM(T14:T82)+T84</f>
        <v>2796</v>
      </c>
      <c r="U85" s="28">
        <f>SUM(U14:U82)+U84</f>
        <v>2867</v>
      </c>
      <c r="V85" s="28">
        <f>SUM(V14:V82)+V84</f>
        <v>3199</v>
      </c>
      <c r="W85" s="28">
        <f>SUM(W14:W82)+W84</f>
        <v>2905.0000000000009</v>
      </c>
      <c r="X85" s="28">
        <f>SUM(X14:X82)+X84</f>
        <v>3201</v>
      </c>
      <c r="Y85" s="28">
        <f>SUM(Y14:Y82)+Y84</f>
        <v>1392.5</v>
      </c>
      <c r="Z85" s="28">
        <f>SUM(Z14:Z82)+Z84</f>
        <v>1909</v>
      </c>
      <c r="AA85" s="28">
        <f>SUM(AA14:AA82)+AA84</f>
        <v>1656.2000000000016</v>
      </c>
      <c r="AB85" s="28">
        <f>SUM(AB14:AB82)+AB84</f>
        <v>1675.1000000000004</v>
      </c>
      <c r="AC85" s="28">
        <f>SUM(AC14:AC82)+AC84</f>
        <v>1460</v>
      </c>
      <c r="AD85" s="28">
        <f>SUM(AD14:AD82)+AD84</f>
        <v>5640</v>
      </c>
      <c r="AE85" s="28">
        <f>SUM(AE14:AE82)+AE84</f>
        <v>1465.0999999999985</v>
      </c>
      <c r="AF85" s="28">
        <f>SUM(AF14:AF82)+AF84</f>
        <v>2265.5</v>
      </c>
      <c r="AG85" s="28">
        <f>SUM(AG14:AG82)+AG84</f>
        <v>1500.5</v>
      </c>
      <c r="AH85" s="28">
        <f>SUM(AH14:AH82)+AH84</f>
        <v>2488.1999999999998</v>
      </c>
      <c r="AI85" s="28">
        <f>SUM(AI3:AI84)</f>
        <v>7155</v>
      </c>
      <c r="AJ85" s="28">
        <f>SUM(AJ3:AJ84)</f>
        <v>8095</v>
      </c>
      <c r="AK85" s="28">
        <f>SUM(AK3:AK84)</f>
        <v>8175</v>
      </c>
      <c r="AL85" s="28">
        <f>SUM(AL3:AL84)</f>
        <v>11147</v>
      </c>
      <c r="AM85" s="28">
        <f>SUM(AM3:AM84)</f>
        <v>11423</v>
      </c>
      <c r="AN85" s="41">
        <f>SUM(AN3:AN84)</f>
        <v>11348</v>
      </c>
      <c r="AO85" s="41">
        <f>SUM(AO3:AO84)</f>
        <v>11125</v>
      </c>
      <c r="AP85" s="41">
        <f>SUM(AP3:AP84)</f>
        <v>12094</v>
      </c>
      <c r="AQ85" s="41">
        <f>SUM(AQ3:AQ84)</f>
        <v>11581</v>
      </c>
      <c r="AR85" s="41">
        <f>SUM(AR3:AR84)</f>
        <v>12153</v>
      </c>
      <c r="AS85" s="41">
        <f>SUM(AS3:AS84)</f>
        <v>12022</v>
      </c>
      <c r="AT85" s="41">
        <f>SUM(AT3:AT84)</f>
        <v>12298</v>
      </c>
      <c r="AU85" s="41">
        <f>SUM(AU3:AU84)</f>
        <v>11731</v>
      </c>
      <c r="AV85" s="41">
        <f>SUM(AV3:AV84)</f>
        <v>12310</v>
      </c>
      <c r="AW85" s="41">
        <f>SUM(AW3:AW84)</f>
        <v>11488</v>
      </c>
      <c r="AX85" s="41">
        <f>SUM(AX3:AX84)</f>
        <v>11741</v>
      </c>
      <c r="AY85" s="41">
        <f>SUM(AY3:AY84)</f>
        <v>10671</v>
      </c>
      <c r="AZ85" s="41">
        <f>SUM(AZ3:AZ84)</f>
        <v>11010</v>
      </c>
      <c r="BA85" s="41">
        <f>SUM(BA3:BA84)</f>
        <v>11032</v>
      </c>
      <c r="BB85" s="41">
        <f>SUM(BB3:BB84)</f>
        <v>11319</v>
      </c>
      <c r="BC85" s="41">
        <f>SUM(BC3:BC84)</f>
        <v>10264</v>
      </c>
      <c r="BD85" s="41">
        <f>SUM(BD3:BD84)</f>
        <v>10934</v>
      </c>
      <c r="BE85" s="41">
        <f>SUM(BE3:BE84)</f>
        <v>10557</v>
      </c>
      <c r="BF85" s="41">
        <f>SUM(BF3:BF84)</f>
        <v>10482</v>
      </c>
      <c r="BG85" s="41">
        <f>SUM(BG3:BG84)</f>
        <v>9425</v>
      </c>
      <c r="BH85" s="41">
        <f>SUM(BH3:BH84)</f>
        <v>9785</v>
      </c>
      <c r="BI85" s="41">
        <f>SUM(BI3:BI84)</f>
        <v>10073</v>
      </c>
      <c r="BJ85" s="41">
        <f>SUM(BJ3:BJ84)</f>
        <v>10215</v>
      </c>
      <c r="BK85" s="41">
        <f>SUM(BK3:BK84)</f>
        <v>9312</v>
      </c>
      <c r="BL85" s="41">
        <f>SUM(BL3:BL84)</f>
        <v>9844</v>
      </c>
      <c r="BM85" s="41">
        <f>SUM(BM3:BM84)</f>
        <v>10536</v>
      </c>
      <c r="BN85" s="41">
        <f>SUM(BN3:BN84)</f>
        <v>10115</v>
      </c>
      <c r="BO85" s="41">
        <f>SUM(BO3:BO84)</f>
        <v>9434</v>
      </c>
      <c r="BP85" s="41">
        <f>SUM(BP3:BP84)</f>
        <v>9930</v>
      </c>
      <c r="BQ85" s="41">
        <f>SUM(BQ3:BQ84)</f>
        <v>10325</v>
      </c>
      <c r="BR85" s="41">
        <f>SUM(BR3:BR84)</f>
        <v>10433</v>
      </c>
      <c r="BS85" s="41">
        <f>SUM(BS3:BS84)</f>
        <v>10037</v>
      </c>
      <c r="BT85" s="41">
        <f>SUM(BT3:BT84)</f>
        <v>10465</v>
      </c>
      <c r="BU85" s="41">
        <f>SUM(BU3:BU84)</f>
        <v>10794</v>
      </c>
      <c r="BV85" s="41">
        <f>SUM(BV3:BV84)</f>
        <v>10998</v>
      </c>
      <c r="BW85" s="41">
        <f>SUM(BW3:BW84)</f>
        <v>10816</v>
      </c>
      <c r="BX85" s="41">
        <f>SUM(BX3:BX84)</f>
        <v>11760</v>
      </c>
      <c r="BY85" s="41">
        <f>SUM(BY3:BY84)</f>
        <v>12397</v>
      </c>
      <c r="BZ85" s="41">
        <f>SUM(BZ3:BZ84)</f>
        <v>11868</v>
      </c>
      <c r="CA85" s="41">
        <f>SUM(CA3:CA84)</f>
        <v>12057</v>
      </c>
      <c r="CB85" s="41">
        <f>SUM(CB3:CB84)</f>
        <v>10872</v>
      </c>
      <c r="CC85" s="41">
        <f>SUM(CC3:CC84)</f>
        <v>10929</v>
      </c>
      <c r="CD85" s="41">
        <f>SUM(CD3:CD84)</f>
        <v>12514</v>
      </c>
      <c r="CE85" s="41">
        <f>SUM(CE3:CE84)</f>
        <v>10627</v>
      </c>
      <c r="CF85" s="41">
        <f>SUM(CF3:CF84)</f>
        <v>11402</v>
      </c>
      <c r="CG85" s="41">
        <f>SUM(CG3:CG84)</f>
        <v>13154</v>
      </c>
      <c r="CH85" s="41">
        <f>SUM(CH3:CH84)</f>
        <v>13521</v>
      </c>
      <c r="CI85" s="41">
        <f>SUM(CI3:CI84)</f>
        <v>15901</v>
      </c>
      <c r="CJ85" s="41">
        <f>SUM(CJ3:CJ84)</f>
        <v>14593</v>
      </c>
      <c r="CK85" s="41">
        <f>SUM(CK3:CK84)</f>
        <v>14959</v>
      </c>
      <c r="CL85" s="41">
        <f>SUM(CL3:CL84)</f>
        <v>13830</v>
      </c>
      <c r="CM85" s="41">
        <f>SUM(CM3:CM84)</f>
        <v>14487</v>
      </c>
      <c r="CN85" s="41">
        <f>SUM(CN3:CN84)</f>
        <v>14815.199999999999</v>
      </c>
      <c r="CO85" s="41">
        <f>SUM(CO3:CO84)</f>
        <v>15694.777499999998</v>
      </c>
      <c r="CP85" s="41">
        <f>SUM(CP3:CP84)</f>
        <v>14305.619375</v>
      </c>
      <c r="CS85" s="48"/>
      <c r="CT85" s="28">
        <f>SUM(C85:F85)+0.1</f>
        <v>21199</v>
      </c>
      <c r="CU85" s="28">
        <f>SUM(G85:J85)</f>
        <v>0</v>
      </c>
      <c r="CV85" s="28">
        <f>SUM(K85:N85)</f>
        <v>0</v>
      </c>
      <c r="CW85" s="28">
        <f>SUM(CW14:CW82)+CW84</f>
        <v>12214</v>
      </c>
      <c r="CX85" s="28">
        <f>SUM(CX14:CX82)+CX84</f>
        <v>11701</v>
      </c>
      <c r="CY85" s="28">
        <f>SUM(CY14:CY82)+CY84</f>
        <v>9407.5</v>
      </c>
      <c r="CZ85" s="28">
        <f>SUM(CZ14:CZ82)+CZ84</f>
        <v>10431.300000000003</v>
      </c>
      <c r="DA85" s="28">
        <f>SUM(DA14:DA82)+DA84</f>
        <v>6960.2999999999993</v>
      </c>
      <c r="DB85" s="28">
        <f>SUM(DB3:DB83)+DB84</f>
        <v>28009</v>
      </c>
      <c r="DC85" s="28">
        <f>SUM(DC3:DC84)</f>
        <v>46049</v>
      </c>
      <c r="DD85" s="28">
        <f>SUM(DD3:DD84)</f>
        <v>47986</v>
      </c>
      <c r="DE85" s="28">
        <f>SUM(DE3:DE84)</f>
        <v>47270</v>
      </c>
      <c r="DF85" s="28">
        <f>SUM(DF3:DF84)</f>
        <v>44032</v>
      </c>
      <c r="DG85" s="28">
        <f>SUM(DG3:DG84)</f>
        <v>42237</v>
      </c>
      <c r="DH85" s="28">
        <f>SUM(DH3:DH84)</f>
        <v>39498</v>
      </c>
      <c r="DI85" s="28">
        <f>SUM(DI3:DI84)</f>
        <v>39807</v>
      </c>
      <c r="DJ85" s="28">
        <f>SUM(DJ3:DJ84)</f>
        <v>40122</v>
      </c>
      <c r="DK85" s="28">
        <f>SUM(DK3:DK84)</f>
        <v>42294</v>
      </c>
      <c r="DL85" s="28">
        <f>SUM(DL3:DL84)</f>
        <v>46841</v>
      </c>
      <c r="DM85" s="28">
        <f>SUM(DM3:DM84)</f>
        <v>46372</v>
      </c>
      <c r="DN85" s="28">
        <f>SUM(DN3:DN84)</f>
        <v>48704</v>
      </c>
      <c r="DO85" s="28">
        <f>SUM(DO3:DO84)</f>
        <v>59283</v>
      </c>
      <c r="DP85" s="28">
        <f>SUM(DP3:DP84)</f>
        <v>59352.59687500001</v>
      </c>
      <c r="DQ85" s="28">
        <f>SUM(DQ3:DQ84)</f>
        <v>57817.095212500011</v>
      </c>
      <c r="DR85" s="28">
        <f>SUM(DR3:DR84)</f>
        <v>57006.6160475</v>
      </c>
      <c r="DS85" s="28">
        <f>SUM(DS3:DS84)</f>
        <v>55064.00579825</v>
      </c>
      <c r="DT85" s="28">
        <f>SUM(DT3:DT84)</f>
        <v>53515.344843258506</v>
      </c>
      <c r="DU85" s="28">
        <f>SUM(DU3:DU84)</f>
        <v>52956.084189408415</v>
      </c>
      <c r="DV85" s="28">
        <f>SUM(DV3:DV84)</f>
        <v>49925.413221423463</v>
      </c>
      <c r="DW85" s="28">
        <f>SUM(DW3:DW84)</f>
        <v>44976.745038566303</v>
      </c>
      <c r="DX85" s="28">
        <f t="shared" ref="DX85:EB85" si="149">SUM(DX3:DX84)</f>
        <v>39185.899044986138</v>
      </c>
      <c r="DY85" s="28">
        <f t="shared" si="149"/>
        <v>33846.639042202674</v>
      </c>
      <c r="DZ85" s="28">
        <f t="shared" si="149"/>
        <v>30690.691727358237</v>
      </c>
      <c r="EA85" s="28">
        <f t="shared" si="149"/>
        <v>28671.161904237597</v>
      </c>
      <c r="EB85" s="28">
        <f t="shared" si="149"/>
        <v>27540.841424083443</v>
      </c>
    </row>
    <row r="86" spans="2:132" s="92" customFormat="1" ht="12.75" customHeight="1">
      <c r="B86" s="100" t="s">
        <v>780</v>
      </c>
      <c r="C86" s="93">
        <v>862.8</v>
      </c>
      <c r="D86" s="93">
        <v>886</v>
      </c>
      <c r="E86" s="93">
        <v>917.3</v>
      </c>
      <c r="F86" s="93">
        <v>958.7</v>
      </c>
      <c r="G86" s="94">
        <v>864.2</v>
      </c>
      <c r="H86" s="94">
        <f>942.1</f>
        <v>942.1</v>
      </c>
      <c r="I86" s="94">
        <f>973.2</f>
        <v>973.2</v>
      </c>
      <c r="J86" s="94">
        <f>1125.7</f>
        <v>1125.7</v>
      </c>
      <c r="K86" s="94">
        <f>1046.8</f>
        <v>1046.8</v>
      </c>
      <c r="L86" s="94">
        <f>988.5</f>
        <v>988.5</v>
      </c>
      <c r="M86" s="94">
        <v>1083.4000000000001</v>
      </c>
      <c r="N86" s="94">
        <v>1228.3</v>
      </c>
      <c r="O86" s="94">
        <f>1115.8+32</f>
        <v>1147.8</v>
      </c>
      <c r="P86" s="94">
        <f>1131.3+32.9</f>
        <v>1164.2</v>
      </c>
      <c r="Q86" s="94">
        <v>1364.2</v>
      </c>
      <c r="R86" s="94">
        <v>1283.5999999999999</v>
      </c>
      <c r="S86" s="94">
        <v>1271.4000000000001</v>
      </c>
      <c r="T86" s="94">
        <v>1160.5999999999999</v>
      </c>
      <c r="U86" s="94">
        <v>1238.8</v>
      </c>
      <c r="V86" s="94">
        <f>1478.8-177</f>
        <v>1301.8</v>
      </c>
      <c r="W86" s="94">
        <f>1342.7-205</f>
        <v>1137.7</v>
      </c>
      <c r="X86" s="94">
        <f>1445.2-167.5</f>
        <v>1277.7</v>
      </c>
      <c r="Y86" s="94">
        <v>1544.1</v>
      </c>
      <c r="Z86" s="94">
        <f>1669.1-164.3</f>
        <v>1504.8</v>
      </c>
      <c r="AA86" s="94">
        <v>1525.8</v>
      </c>
      <c r="AB86" s="94">
        <v>1552.3</v>
      </c>
      <c r="AC86" s="94">
        <v>1517.7</v>
      </c>
      <c r="AD86" s="94"/>
      <c r="AE86" s="94">
        <f>1238.1-14.9</f>
        <v>1223.1999999999998</v>
      </c>
      <c r="AF86" s="94">
        <v>1396.5</v>
      </c>
      <c r="AG86" s="94">
        <v>1477.9</v>
      </c>
      <c r="AH86" s="94">
        <v>1470</v>
      </c>
      <c r="AI86" s="94">
        <f>1333.8-22</f>
        <v>1311.8</v>
      </c>
      <c r="AJ86" s="94">
        <f>1353.9-47</f>
        <v>1306.9000000000001</v>
      </c>
      <c r="AK86" s="94">
        <v>1430.3</v>
      </c>
      <c r="AL86" s="94">
        <v>2595.8000000000002</v>
      </c>
      <c r="AM86" s="94">
        <v>2811.7</v>
      </c>
      <c r="AN86" s="94">
        <v>2662.5</v>
      </c>
      <c r="AO86" s="94">
        <v>2796.2</v>
      </c>
      <c r="AP86" s="94">
        <v>3129</v>
      </c>
      <c r="AQ86" s="94">
        <v>2690</v>
      </c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>
        <v>2572</v>
      </c>
      <c r="CD86" s="94">
        <v>2739</v>
      </c>
      <c r="CE86" s="94">
        <v>2487</v>
      </c>
      <c r="CF86" s="94">
        <v>2684</v>
      </c>
      <c r="CG86" s="94">
        <v>3056</v>
      </c>
      <c r="CH86" s="94">
        <v>3411</v>
      </c>
      <c r="CI86" s="94">
        <v>4654</v>
      </c>
      <c r="CJ86" s="94">
        <v>3698</v>
      </c>
      <c r="CK86" s="94">
        <v>3434</v>
      </c>
      <c r="CL86" s="94">
        <v>3361</v>
      </c>
      <c r="CM86" s="94">
        <v>3352</v>
      </c>
      <c r="CN86" s="94">
        <f t="shared" ref="CN86:CP86" si="150">+CN85-CN87</f>
        <v>3703.7999999999993</v>
      </c>
      <c r="CO86" s="94">
        <f t="shared" si="150"/>
        <v>3923.6943749999991</v>
      </c>
      <c r="CP86" s="94">
        <f t="shared" si="150"/>
        <v>3576.4048437500005</v>
      </c>
      <c r="CQ86" s="94"/>
      <c r="CR86" s="94"/>
      <c r="CS86" s="95"/>
      <c r="CT86" s="94">
        <f>SUM(C86:F86)</f>
        <v>3624.8</v>
      </c>
      <c r="CU86" s="93">
        <f>SUM(G86:J86)+1.9</f>
        <v>3907.1</v>
      </c>
      <c r="CV86" s="94">
        <f>SUM(K86:N86)</f>
        <v>4347</v>
      </c>
      <c r="CW86" s="94">
        <f>SUM(O86:R86)</f>
        <v>4959.7999999999993</v>
      </c>
      <c r="CX86" s="94">
        <f>SUM(S86:V86)</f>
        <v>4972.6000000000004</v>
      </c>
      <c r="CY86" s="94">
        <f>SUM(W86:Z86)</f>
        <v>5464.3</v>
      </c>
      <c r="CZ86" s="94">
        <f>SUM(AA86:AD86)</f>
        <v>4595.8</v>
      </c>
      <c r="DA86" s="94">
        <f>SUM(AE86:AH86)</f>
        <v>5567.6</v>
      </c>
      <c r="DB86" s="94"/>
      <c r="DC86" s="94"/>
      <c r="DD86" s="94">
        <f t="shared" ref="DD86:DS86" si="151">DD85-DD87</f>
        <v>12044.485999999997</v>
      </c>
      <c r="DE86" s="94">
        <f t="shared" si="151"/>
        <v>47270</v>
      </c>
      <c r="DF86" s="94">
        <f t="shared" si="151"/>
        <v>44032</v>
      </c>
      <c r="DG86" s="94">
        <f t="shared" si="151"/>
        <v>42237</v>
      </c>
      <c r="DH86" s="94">
        <f t="shared" si="151"/>
        <v>39498</v>
      </c>
      <c r="DI86" s="94">
        <f t="shared" si="151"/>
        <v>39807</v>
      </c>
      <c r="DJ86" s="94">
        <f t="shared" si="151"/>
        <v>40122</v>
      </c>
      <c r="DK86" s="94">
        <f t="shared" si="151"/>
        <v>42294</v>
      </c>
      <c r="DL86" s="94">
        <f t="shared" si="151"/>
        <v>46841</v>
      </c>
      <c r="DM86" s="94">
        <f t="shared" si="151"/>
        <v>46372</v>
      </c>
      <c r="DN86" s="94">
        <f t="shared" ref="DN86" si="152">SUM(CE86:CH86)</f>
        <v>11638</v>
      </c>
      <c r="DO86" s="94">
        <f>SUM(CI86:CL86)</f>
        <v>15147</v>
      </c>
      <c r="DP86" s="94">
        <f>SUM(CM86:CP86)</f>
        <v>14555.899218749999</v>
      </c>
      <c r="DQ86" s="92">
        <f t="shared" si="151"/>
        <v>11563.419042499998</v>
      </c>
      <c r="DR86" s="92">
        <f t="shared" si="151"/>
        <v>11401.323209499998</v>
      </c>
      <c r="DS86" s="92">
        <f t="shared" si="151"/>
        <v>11012.80115965</v>
      </c>
      <c r="DT86" s="92">
        <f>DT85-DT87</f>
        <v>10703.0689686517</v>
      </c>
      <c r="DU86" s="92">
        <f t="shared" ref="DU86:EB86" si="153">DU85-DU87</f>
        <v>10591.216837881679</v>
      </c>
      <c r="DV86" s="92">
        <f t="shared" si="153"/>
        <v>9985.0826442846883</v>
      </c>
      <c r="DW86" s="92">
        <f t="shared" si="153"/>
        <v>8995.3490077132592</v>
      </c>
      <c r="DX86" s="92">
        <f t="shared" si="153"/>
        <v>7837.1798089972253</v>
      </c>
      <c r="DY86" s="92">
        <f t="shared" si="153"/>
        <v>6769.327808440532</v>
      </c>
      <c r="DZ86" s="92">
        <f t="shared" si="153"/>
        <v>6138.1383454716452</v>
      </c>
      <c r="EA86" s="92">
        <f t="shared" si="153"/>
        <v>5734.2323808475194</v>
      </c>
      <c r="EB86" s="92">
        <f t="shared" si="153"/>
        <v>5508.1682848166856</v>
      </c>
    </row>
    <row r="87" spans="2:132" s="92" customFormat="1" ht="12.75" customHeight="1">
      <c r="B87" s="100" t="s">
        <v>378</v>
      </c>
      <c r="C87" s="93"/>
      <c r="D87" s="93"/>
      <c r="E87" s="93"/>
      <c r="F87" s="93"/>
      <c r="G87" s="94"/>
      <c r="H87" s="94"/>
      <c r="I87" s="94"/>
      <c r="J87" s="94"/>
      <c r="K87" s="94"/>
      <c r="L87" s="94"/>
      <c r="M87" s="94"/>
      <c r="N87" s="94"/>
      <c r="O87" s="94" t="e">
        <f>#REF!-O86</f>
        <v>#REF!</v>
      </c>
      <c r="P87" s="94" t="e">
        <f>#REF!-P86</f>
        <v>#REF!</v>
      </c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>
        <f>+AL85-AL86</f>
        <v>8551.2000000000007</v>
      </c>
      <c r="AM87" s="94">
        <f>AM85-AM86</f>
        <v>8611.2999999999993</v>
      </c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>
        <f t="shared" ref="CC87:CJ87" si="154">+CC85-CC86</f>
        <v>8357</v>
      </c>
      <c r="CD87" s="94">
        <f t="shared" si="154"/>
        <v>9775</v>
      </c>
      <c r="CE87" s="94">
        <f t="shared" si="154"/>
        <v>8140</v>
      </c>
      <c r="CF87" s="94">
        <f t="shared" si="154"/>
        <v>8718</v>
      </c>
      <c r="CG87" s="94">
        <f t="shared" si="154"/>
        <v>10098</v>
      </c>
      <c r="CH87" s="94">
        <f t="shared" si="154"/>
        <v>10110</v>
      </c>
      <c r="CI87" s="94">
        <f t="shared" si="154"/>
        <v>11247</v>
      </c>
      <c r="CJ87" s="94">
        <f t="shared" si="154"/>
        <v>10895</v>
      </c>
      <c r="CK87" s="94">
        <f>+CK85-CK86</f>
        <v>11525</v>
      </c>
      <c r="CL87" s="94">
        <f>+CL85-CL86</f>
        <v>10469</v>
      </c>
      <c r="CM87" s="94">
        <f>CM85-CM86</f>
        <v>11135</v>
      </c>
      <c r="CN87" s="94">
        <f t="shared" ref="CN87:CP87" si="155">+CN85*0.75</f>
        <v>11111.4</v>
      </c>
      <c r="CO87" s="94">
        <f t="shared" si="155"/>
        <v>11771.083124999999</v>
      </c>
      <c r="CP87" s="94">
        <f t="shared" si="155"/>
        <v>10729.21453125</v>
      </c>
      <c r="CQ87" s="94"/>
      <c r="CR87" s="94"/>
      <c r="CS87" s="95"/>
      <c r="CT87" s="94">
        <f>+CT85-CT86</f>
        <v>17574.2</v>
      </c>
      <c r="CU87" s="94"/>
      <c r="CV87" s="94"/>
      <c r="CW87" s="94"/>
      <c r="CX87" s="94"/>
      <c r="CY87" s="94"/>
      <c r="CZ87" s="94"/>
      <c r="DA87" s="94"/>
      <c r="DB87" s="94"/>
      <c r="DC87" s="94"/>
      <c r="DD87" s="94">
        <f>DD85*DD105</f>
        <v>35941.514000000003</v>
      </c>
      <c r="DE87" s="94">
        <f>DE85*DE105</f>
        <v>0</v>
      </c>
      <c r="DF87" s="94">
        <f>DF85*DF105</f>
        <v>0</v>
      </c>
      <c r="DG87" s="94">
        <f>DG85*DG105</f>
        <v>0</v>
      </c>
      <c r="DH87" s="94">
        <f>DH85*DH105</f>
        <v>0</v>
      </c>
      <c r="DI87" s="94">
        <f>DI85*DI105</f>
        <v>0</v>
      </c>
      <c r="DJ87" s="94">
        <f>DJ85*DJ105</f>
        <v>0</v>
      </c>
      <c r="DK87" s="94">
        <f>DK85*DK105</f>
        <v>0</v>
      </c>
      <c r="DL87" s="94">
        <f>DL85*DL105</f>
        <v>0</v>
      </c>
      <c r="DM87" s="94">
        <f>DM85*DM105</f>
        <v>0</v>
      </c>
      <c r="DN87" s="94">
        <f>DN85-DN86</f>
        <v>37066</v>
      </c>
      <c r="DO87" s="94">
        <f>DO85-DO86</f>
        <v>44136</v>
      </c>
      <c r="DP87" s="94">
        <f>DP85-DP86</f>
        <v>44796.697656250013</v>
      </c>
      <c r="DQ87" s="92">
        <f t="shared" ref="DQ87:DS87" si="156">DQ85*0.8</f>
        <v>46253.676170000013</v>
      </c>
      <c r="DR87" s="92">
        <f t="shared" si="156"/>
        <v>45605.292838000001</v>
      </c>
      <c r="DS87" s="92">
        <f t="shared" si="156"/>
        <v>44051.2046386</v>
      </c>
      <c r="DT87" s="92">
        <f>DT85*0.8</f>
        <v>42812.275874606807</v>
      </c>
      <c r="DU87" s="92">
        <f t="shared" ref="DU87:EB87" si="157">DU85*0.8</f>
        <v>42364.867351526736</v>
      </c>
      <c r="DV87" s="92">
        <f t="shared" si="157"/>
        <v>39940.330577138775</v>
      </c>
      <c r="DW87" s="92">
        <f t="shared" si="157"/>
        <v>35981.396030853044</v>
      </c>
      <c r="DX87" s="92">
        <f t="shared" si="157"/>
        <v>31348.719235988912</v>
      </c>
      <c r="DY87" s="92">
        <f t="shared" si="157"/>
        <v>27077.311233762142</v>
      </c>
      <c r="DZ87" s="92">
        <f t="shared" si="157"/>
        <v>24552.553381886592</v>
      </c>
      <c r="EA87" s="92">
        <f t="shared" si="157"/>
        <v>22936.929523390078</v>
      </c>
      <c r="EB87" s="92">
        <f t="shared" si="157"/>
        <v>22032.673139266757</v>
      </c>
    </row>
    <row r="88" spans="2:132" s="92" customFormat="1" ht="12.75" customHeight="1">
      <c r="B88" s="100" t="s">
        <v>379</v>
      </c>
      <c r="C88" s="93">
        <v>1362.53</v>
      </c>
      <c r="D88" s="93">
        <v>1478.33</v>
      </c>
      <c r="E88" s="93">
        <v>1438.64</v>
      </c>
      <c r="F88" s="93">
        <v>1421.1</v>
      </c>
      <c r="G88" s="93">
        <v>1343.3</v>
      </c>
      <c r="H88" s="93">
        <v>1362.9</v>
      </c>
      <c r="I88" s="93">
        <f>1317.6+90</f>
        <v>1407.6</v>
      </c>
      <c r="J88" s="93">
        <v>1538.4</v>
      </c>
      <c r="K88" s="93">
        <v>1547.3</v>
      </c>
      <c r="L88" s="93">
        <v>1589.9</v>
      </c>
      <c r="M88" s="93">
        <v>1463.6</v>
      </c>
      <c r="N88" s="93">
        <v>1794.1</v>
      </c>
      <c r="O88" s="93">
        <f>1611.4-34</f>
        <v>1577.4</v>
      </c>
      <c r="P88" s="93">
        <f>1616.2-21</f>
        <v>1595.2</v>
      </c>
      <c r="Q88" s="93">
        <v>1752.9</v>
      </c>
      <c r="R88" s="93">
        <f>2365.8-604</f>
        <v>1761.8000000000002</v>
      </c>
      <c r="S88" s="93">
        <v>1613.3</v>
      </c>
      <c r="T88" s="93">
        <v>1755.3</v>
      </c>
      <c r="U88" s="93">
        <f>1741.2-80</f>
        <v>1661.2</v>
      </c>
      <c r="V88" s="93">
        <f>2139-295</f>
        <v>1844</v>
      </c>
      <c r="W88" s="93">
        <v>1715</v>
      </c>
      <c r="X88" s="93">
        <v>1734</v>
      </c>
      <c r="Y88" s="93">
        <v>2370.6</v>
      </c>
      <c r="Z88" s="93">
        <f>2345.8-75-48</f>
        <v>2222.8000000000002</v>
      </c>
      <c r="AA88" s="94">
        <v>1802</v>
      </c>
      <c r="AB88" s="93">
        <v>2083.6999999999998</v>
      </c>
      <c r="AC88" s="93">
        <v>1951.4</v>
      </c>
      <c r="AD88" s="93"/>
      <c r="AE88" s="93">
        <f>1854.4-40</f>
        <v>1814.4</v>
      </c>
      <c r="AF88" s="93">
        <v>1930.2</v>
      </c>
      <c r="AG88" s="93">
        <v>1730.3</v>
      </c>
      <c r="AH88" s="93">
        <v>1862.1</v>
      </c>
      <c r="AI88" s="93">
        <f>1632.9-7</f>
        <v>1625.9</v>
      </c>
      <c r="AJ88" s="93">
        <f>1729.5-44-25</f>
        <v>1660.5</v>
      </c>
      <c r="AK88" s="93">
        <v>1725.5</v>
      </c>
      <c r="AL88" s="93">
        <v>3190.2</v>
      </c>
      <c r="AM88" s="93">
        <v>3166.7</v>
      </c>
      <c r="AN88" s="93">
        <v>3127.9</v>
      </c>
      <c r="AO88" s="93">
        <v>3023.7</v>
      </c>
      <c r="AP88" s="93">
        <v>3406</v>
      </c>
      <c r="AQ88" s="93">
        <v>3083</v>
      </c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>
        <v>2020</v>
      </c>
      <c r="CD88" s="93">
        <v>2567</v>
      </c>
      <c r="CE88" s="93">
        <v>2174</v>
      </c>
      <c r="CF88" s="93">
        <v>2254</v>
      </c>
      <c r="CG88" s="93">
        <v>2270</v>
      </c>
      <c r="CH88" s="93">
        <v>2594</v>
      </c>
      <c r="CI88" s="93">
        <v>2252</v>
      </c>
      <c r="CJ88" s="93">
        <v>2420</v>
      </c>
      <c r="CK88" s="93">
        <v>2472</v>
      </c>
      <c r="CL88" s="93">
        <v>2628</v>
      </c>
      <c r="CM88" s="93">
        <v>2458</v>
      </c>
      <c r="CN88" s="93">
        <f t="shared" ref="CN88:CN89" si="158">+CJ88*1.01</f>
        <v>2444.1999999999998</v>
      </c>
      <c r="CO88" s="93">
        <f t="shared" ref="CO88:CO89" si="159">+CK88*1.01</f>
        <v>2496.7199999999998</v>
      </c>
      <c r="CP88" s="93">
        <f t="shared" ref="CP88:CP89" si="160">+CL88*1.01</f>
        <v>2654.28</v>
      </c>
      <c r="CQ88" s="93"/>
      <c r="CR88" s="93"/>
      <c r="CS88" s="95"/>
      <c r="CT88" s="93">
        <f>SUM(C88:F88)</f>
        <v>5700.6</v>
      </c>
      <c r="CU88" s="93">
        <f>SUM(G88:J88)</f>
        <v>5652.1999999999989</v>
      </c>
      <c r="CV88" s="93">
        <f>SUM(K88:N88)</f>
        <v>6394.9</v>
      </c>
      <c r="CW88" s="93">
        <f>SUM(O88:R88)</f>
        <v>6687.3</v>
      </c>
      <c r="CX88" s="93">
        <f>SUM(S88:V88)</f>
        <v>6873.8</v>
      </c>
      <c r="CY88" s="93">
        <f>SUM(W88:Z88)</f>
        <v>8042.4000000000005</v>
      </c>
      <c r="CZ88" s="93">
        <f>SUM(AA88:AD88)</f>
        <v>5837.1</v>
      </c>
      <c r="DA88" s="93">
        <f>SUM(AE88:AH88)</f>
        <v>7337</v>
      </c>
      <c r="DB88" s="93">
        <f>SUM(AI88:AL88)</f>
        <v>8202.0999999999985</v>
      </c>
      <c r="DC88" s="94">
        <f>SUM(AM88:AP88)</f>
        <v>12724.3</v>
      </c>
      <c r="DD88" s="93">
        <f>DD85*DD106</f>
        <v>13292.122000000001</v>
      </c>
      <c r="DE88" s="93">
        <f>DE85*DE106</f>
        <v>12999.250000000002</v>
      </c>
      <c r="DF88" s="93">
        <f>DF85*DF106</f>
        <v>11976.704000000002</v>
      </c>
      <c r="DG88" s="93">
        <f>DG85*DG106</f>
        <v>11403.990000000002</v>
      </c>
      <c r="DH88" s="93">
        <f>DH85*DH106</f>
        <v>10664.460000000001</v>
      </c>
      <c r="DI88" s="93">
        <f>DI85*DI106</f>
        <v>10747.890000000001</v>
      </c>
      <c r="DJ88" s="93">
        <f>DJ85*DJ106</f>
        <v>10832.94</v>
      </c>
      <c r="DK88" s="93">
        <f>DK85*DK106</f>
        <v>11419.380000000001</v>
      </c>
      <c r="DL88" s="93">
        <f>DL85*DL106</f>
        <v>12647.070000000002</v>
      </c>
      <c r="DM88" s="93">
        <f t="shared" ref="DM88:DS88" si="161">+DL88</f>
        <v>12647.070000000002</v>
      </c>
      <c r="DN88" s="94">
        <f t="shared" ref="DN88:DN89" si="162">SUM(CE88:CH88)</f>
        <v>9292</v>
      </c>
      <c r="DO88" s="94">
        <f>SUM(CI88:CL88)</f>
        <v>9772</v>
      </c>
      <c r="DP88" s="94">
        <f>SUM(CM88:CP88)</f>
        <v>10053.200000000001</v>
      </c>
      <c r="DQ88" s="93">
        <f t="shared" si="161"/>
        <v>10053.200000000001</v>
      </c>
      <c r="DR88" s="93">
        <f t="shared" si="161"/>
        <v>10053.200000000001</v>
      </c>
      <c r="DS88" s="93">
        <f t="shared" si="161"/>
        <v>10053.200000000001</v>
      </c>
      <c r="DT88" s="92">
        <f>DT85*0.25</f>
        <v>13378.836210814627</v>
      </c>
      <c r="DU88" s="92">
        <f t="shared" ref="DU88:EB88" si="163">DU85*0.25</f>
        <v>13239.021047352104</v>
      </c>
      <c r="DV88" s="92">
        <f t="shared" si="163"/>
        <v>12481.353305355866</v>
      </c>
      <c r="DW88" s="92">
        <f t="shared" si="163"/>
        <v>11244.186259641576</v>
      </c>
      <c r="DX88" s="92">
        <f t="shared" si="163"/>
        <v>9796.4747612465344</v>
      </c>
      <c r="DY88" s="92">
        <f t="shared" si="163"/>
        <v>8461.6597605506686</v>
      </c>
      <c r="DZ88" s="92">
        <f t="shared" si="163"/>
        <v>7672.6729318395592</v>
      </c>
      <c r="EA88" s="92">
        <f t="shared" si="163"/>
        <v>7167.7904760593992</v>
      </c>
      <c r="EB88" s="92">
        <f t="shared" si="163"/>
        <v>6885.2103560208607</v>
      </c>
    </row>
    <row r="89" spans="2:132" s="83" customFormat="1" ht="12.75" customHeight="1">
      <c r="B89" s="100" t="s">
        <v>380</v>
      </c>
      <c r="C89" s="93">
        <v>547.4</v>
      </c>
      <c r="D89" s="93">
        <v>602.4</v>
      </c>
      <c r="E89" s="93">
        <v>590.29999999999995</v>
      </c>
      <c r="F89" s="93">
        <v>716.4</v>
      </c>
      <c r="G89" s="93">
        <v>530.29999999999995</v>
      </c>
      <c r="H89" s="93">
        <v>631.20000000000005</v>
      </c>
      <c r="I89" s="93">
        <v>676.9</v>
      </c>
      <c r="J89" s="93">
        <v>838.8</v>
      </c>
      <c r="K89" s="93">
        <v>720.3</v>
      </c>
      <c r="L89" s="93">
        <v>786.4</v>
      </c>
      <c r="M89" s="93">
        <v>776.5</v>
      </c>
      <c r="N89" s="93">
        <v>894.9</v>
      </c>
      <c r="O89" s="93">
        <f>996.3-125</f>
        <v>871.3</v>
      </c>
      <c r="P89" s="93">
        <f>986-120</f>
        <v>866</v>
      </c>
      <c r="Q89" s="93">
        <f>919.3-35</f>
        <v>884.3</v>
      </c>
      <c r="R89" s="93">
        <v>1108.5999999999999</v>
      </c>
      <c r="S89" s="93">
        <v>846.6</v>
      </c>
      <c r="T89" s="93">
        <v>946.8</v>
      </c>
      <c r="U89" s="93">
        <v>942.6</v>
      </c>
      <c r="V89" s="93">
        <f>1112-19</f>
        <v>1093</v>
      </c>
      <c r="W89" s="93">
        <f>942-55</f>
        <v>887</v>
      </c>
      <c r="X89" s="93">
        <f>1173-296.3</f>
        <v>876.7</v>
      </c>
      <c r="Y89" s="93">
        <v>945.4</v>
      </c>
      <c r="Z89" s="93">
        <f>1722.9-466.2</f>
        <v>1256.7</v>
      </c>
      <c r="AA89" s="94">
        <v>1030</v>
      </c>
      <c r="AB89" s="93">
        <v>1030.5</v>
      </c>
      <c r="AC89" s="93">
        <f>1440.5-325.1</f>
        <v>1115.4000000000001</v>
      </c>
      <c r="AD89" s="93"/>
      <c r="AE89" s="93">
        <v>1078.3</v>
      </c>
      <c r="AF89" s="93">
        <v>1169.3</v>
      </c>
      <c r="AG89" s="93">
        <v>1171.0999999999999</v>
      </c>
      <c r="AH89" s="93">
        <v>1386.6</v>
      </c>
      <c r="AI89" s="93">
        <f>1224.2-88</f>
        <v>1136.2</v>
      </c>
      <c r="AJ89" s="93">
        <f>1395.3-108</f>
        <v>1287.3</v>
      </c>
      <c r="AK89" s="93">
        <v>1254</v>
      </c>
      <c r="AL89" s="93">
        <v>1984</v>
      </c>
      <c r="AM89" s="93">
        <v>1993.8</v>
      </c>
      <c r="AN89" s="93">
        <v>2007.2</v>
      </c>
      <c r="AO89" s="93">
        <v>1944.1</v>
      </c>
      <c r="AP89" s="93">
        <v>2177</v>
      </c>
      <c r="AQ89" s="93">
        <v>1811</v>
      </c>
      <c r="AR89" s="93">
        <f>AN89</f>
        <v>2007.2</v>
      </c>
      <c r="AS89" s="93">
        <f>AO89</f>
        <v>1944.1</v>
      </c>
      <c r="AT89" s="93">
        <f>AP89</f>
        <v>2177</v>
      </c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>
        <v>2229</v>
      </c>
      <c r="CD89" s="93">
        <v>2595</v>
      </c>
      <c r="CE89" s="93">
        <v>2387</v>
      </c>
      <c r="CF89" s="93">
        <v>4299</v>
      </c>
      <c r="CG89" s="93">
        <v>2476</v>
      </c>
      <c r="CH89" s="93">
        <v>2681</v>
      </c>
      <c r="CI89" s="93">
        <v>2547</v>
      </c>
      <c r="CJ89" s="93">
        <v>2764</v>
      </c>
      <c r="CK89" s="93">
        <v>3496</v>
      </c>
      <c r="CL89" s="93">
        <v>3035</v>
      </c>
      <c r="CM89" s="93">
        <v>4266</v>
      </c>
      <c r="CN89" s="93">
        <f t="shared" si="158"/>
        <v>2791.64</v>
      </c>
      <c r="CO89" s="93">
        <f t="shared" si="159"/>
        <v>3530.96</v>
      </c>
      <c r="CP89" s="93">
        <f t="shared" si="160"/>
        <v>3065.35</v>
      </c>
      <c r="CQ89" s="93"/>
      <c r="CR89" s="93"/>
      <c r="CS89" s="75"/>
      <c r="CT89" s="93">
        <f>SUM(C89:F89)-0.1</f>
        <v>2456.4</v>
      </c>
      <c r="CU89" s="93">
        <f>SUM(G89:J89)</f>
        <v>2677.2</v>
      </c>
      <c r="CV89" s="93">
        <f>SUM(K89:N89)</f>
        <v>3178.1</v>
      </c>
      <c r="CW89" s="93">
        <f>SUM(O89:R89)</f>
        <v>3730.2</v>
      </c>
      <c r="CX89" s="93">
        <f>SUM(S89:V89)</f>
        <v>3829</v>
      </c>
      <c r="CY89" s="93">
        <f>SUM(W89:Z89)</f>
        <v>3965.8</v>
      </c>
      <c r="CZ89" s="93">
        <f>SUM(AA89:AD89)</f>
        <v>3175.9</v>
      </c>
      <c r="DA89" s="93">
        <f>SUM(AE89:AH89)</f>
        <v>4805.2999999999993</v>
      </c>
      <c r="DB89" s="93">
        <f>SUM(AI89:AL89)</f>
        <v>5661.5</v>
      </c>
      <c r="DC89" s="93">
        <f>SUM(AM89:AP89)</f>
        <v>8122.1</v>
      </c>
      <c r="DD89" s="93">
        <f>SUM(AQ89:AT89)</f>
        <v>7939.2999999999993</v>
      </c>
      <c r="DE89" s="93"/>
      <c r="DF89" s="93"/>
      <c r="DG89" s="93"/>
      <c r="DH89" s="93"/>
      <c r="DI89" s="93"/>
      <c r="DJ89" s="93"/>
      <c r="DK89" s="93"/>
      <c r="DL89" s="93"/>
      <c r="DM89" s="93"/>
      <c r="DN89" s="94">
        <f t="shared" si="162"/>
        <v>11843</v>
      </c>
      <c r="DO89" s="94">
        <f>SUM(CI89:CL89)</f>
        <v>11842</v>
      </c>
      <c r="DP89" s="94">
        <f>SUM(CM89:CP89)</f>
        <v>13653.949999999999</v>
      </c>
      <c r="DQ89" s="93"/>
      <c r="DR89" s="93"/>
      <c r="DS89" s="93"/>
      <c r="DU89" s="87"/>
    </row>
    <row r="90" spans="2:132" s="92" customFormat="1" ht="12.75" customHeight="1">
      <c r="B90" s="100" t="s">
        <v>62</v>
      </c>
      <c r="C90" s="93">
        <f t="shared" ref="C90:N90" si="164">SUM(C86:C89)</f>
        <v>2772.73</v>
      </c>
      <c r="D90" s="93">
        <f t="shared" si="164"/>
        <v>2966.73</v>
      </c>
      <c r="E90" s="93">
        <f t="shared" si="164"/>
        <v>2946.24</v>
      </c>
      <c r="F90" s="93">
        <f t="shared" si="164"/>
        <v>3096.2000000000003</v>
      </c>
      <c r="G90" s="93">
        <f t="shared" si="164"/>
        <v>2737.8</v>
      </c>
      <c r="H90" s="93">
        <f t="shared" si="164"/>
        <v>2936.2</v>
      </c>
      <c r="I90" s="93">
        <f t="shared" si="164"/>
        <v>3057.7000000000003</v>
      </c>
      <c r="J90" s="93">
        <f t="shared" si="164"/>
        <v>3502.9000000000005</v>
      </c>
      <c r="K90" s="94">
        <f t="shared" si="164"/>
        <v>3314.3999999999996</v>
      </c>
      <c r="L90" s="94">
        <f t="shared" si="164"/>
        <v>3364.8</v>
      </c>
      <c r="M90" s="94">
        <f t="shared" si="164"/>
        <v>3323.5</v>
      </c>
      <c r="N90" s="94">
        <f t="shared" si="164"/>
        <v>3917.2999999999997</v>
      </c>
      <c r="O90" s="94">
        <f t="shared" ref="O90:AH90" si="165">O89+O88</f>
        <v>2448.6999999999998</v>
      </c>
      <c r="P90" s="94">
        <f t="shared" si="165"/>
        <v>2461.1999999999998</v>
      </c>
      <c r="Q90" s="94">
        <f t="shared" si="165"/>
        <v>2637.2</v>
      </c>
      <c r="R90" s="94">
        <f t="shared" si="165"/>
        <v>2870.4</v>
      </c>
      <c r="S90" s="94">
        <f t="shared" si="165"/>
        <v>2459.9</v>
      </c>
      <c r="T90" s="94">
        <f t="shared" si="165"/>
        <v>2702.1</v>
      </c>
      <c r="U90" s="94">
        <f t="shared" si="165"/>
        <v>2603.8000000000002</v>
      </c>
      <c r="V90" s="94">
        <f t="shared" si="165"/>
        <v>2937</v>
      </c>
      <c r="W90" s="94">
        <f t="shared" si="165"/>
        <v>2602</v>
      </c>
      <c r="X90" s="94">
        <f t="shared" si="165"/>
        <v>2610.6999999999998</v>
      </c>
      <c r="Y90" s="94">
        <f t="shared" si="165"/>
        <v>3316</v>
      </c>
      <c r="Z90" s="94">
        <f t="shared" si="165"/>
        <v>3479.5</v>
      </c>
      <c r="AA90" s="94">
        <f t="shared" si="165"/>
        <v>2832</v>
      </c>
      <c r="AB90" s="94">
        <f t="shared" si="165"/>
        <v>3114.2</v>
      </c>
      <c r="AC90" s="94">
        <f t="shared" si="165"/>
        <v>3066.8</v>
      </c>
      <c r="AD90" s="94"/>
      <c r="AE90" s="94">
        <f>AE89+AE88</f>
        <v>2892.7</v>
      </c>
      <c r="AF90" s="94">
        <f t="shared" si="165"/>
        <v>3099.5</v>
      </c>
      <c r="AG90" s="94">
        <f>AG89+AG88</f>
        <v>2901.3999999999996</v>
      </c>
      <c r="AH90" s="94">
        <f t="shared" si="165"/>
        <v>3248.7</v>
      </c>
      <c r="AI90" s="94">
        <f t="shared" ref="AI90:AN90" si="166">AI89+AI88</f>
        <v>2762.1000000000004</v>
      </c>
      <c r="AJ90" s="94">
        <f t="shared" si="166"/>
        <v>2947.8</v>
      </c>
      <c r="AK90" s="94">
        <f t="shared" si="166"/>
        <v>2979.5</v>
      </c>
      <c r="AL90" s="94">
        <f>AL89+AL88</f>
        <v>5174.2</v>
      </c>
      <c r="AM90" s="94">
        <f t="shared" si="166"/>
        <v>5160.5</v>
      </c>
      <c r="AN90" s="94">
        <f t="shared" si="166"/>
        <v>5135.1000000000004</v>
      </c>
      <c r="AO90" s="94">
        <f>AO89+AO88</f>
        <v>4967.7999999999993</v>
      </c>
      <c r="AP90" s="94">
        <f>AP89+AP88</f>
        <v>5583</v>
      </c>
      <c r="AQ90" s="94">
        <f>AQ89+AQ88</f>
        <v>4894</v>
      </c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>
        <f>+CC88+CC89</f>
        <v>4249</v>
      </c>
      <c r="CD90" s="94">
        <f>+CD88+CD89</f>
        <v>5162</v>
      </c>
      <c r="CE90" s="94">
        <f>+CE88+CE89</f>
        <v>4561</v>
      </c>
      <c r="CF90" s="94">
        <f>+CF88+CF89</f>
        <v>6553</v>
      </c>
      <c r="CG90" s="94">
        <f t="shared" ref="CG90" si="167">+CG88+CG89</f>
        <v>4746</v>
      </c>
      <c r="CH90" s="94">
        <f>+CH88+CH89</f>
        <v>5275</v>
      </c>
      <c r="CI90" s="94">
        <f>+CI88+CI89</f>
        <v>4799</v>
      </c>
      <c r="CJ90" s="94">
        <f>+CJ88+CJ89</f>
        <v>5184</v>
      </c>
      <c r="CK90" s="94">
        <f t="shared" ref="CK90:CP90" si="168">+CK88+CK89</f>
        <v>5968</v>
      </c>
      <c r="CL90" s="94">
        <f t="shared" si="168"/>
        <v>5663</v>
      </c>
      <c r="CM90" s="94">
        <f>+CM88+CM89</f>
        <v>6724</v>
      </c>
      <c r="CN90" s="94">
        <f t="shared" si="168"/>
        <v>5235.84</v>
      </c>
      <c r="CO90" s="94">
        <f t="shared" si="168"/>
        <v>6027.68</v>
      </c>
      <c r="CP90" s="94">
        <f t="shared" si="168"/>
        <v>5719.63</v>
      </c>
      <c r="CQ90" s="94"/>
      <c r="CR90" s="94"/>
      <c r="CS90" s="95"/>
      <c r="CT90" s="94">
        <f t="shared" ref="CT90:DB90" si="169">CT89+CT88</f>
        <v>8157</v>
      </c>
      <c r="CU90" s="94">
        <f t="shared" si="169"/>
        <v>8329.3999999999978</v>
      </c>
      <c r="CV90" s="94">
        <f t="shared" si="169"/>
        <v>9573</v>
      </c>
      <c r="CW90" s="94">
        <f t="shared" si="169"/>
        <v>10417.5</v>
      </c>
      <c r="CX90" s="94">
        <f t="shared" si="169"/>
        <v>10702.8</v>
      </c>
      <c r="CY90" s="94">
        <f t="shared" si="169"/>
        <v>12008.2</v>
      </c>
      <c r="CZ90" s="94">
        <f t="shared" si="169"/>
        <v>9013</v>
      </c>
      <c r="DA90" s="94">
        <f t="shared" si="169"/>
        <v>12142.3</v>
      </c>
      <c r="DB90" s="94">
        <f t="shared" si="169"/>
        <v>13863.599999999999</v>
      </c>
      <c r="DC90" s="94">
        <f>DC89+DC88</f>
        <v>20846.400000000001</v>
      </c>
      <c r="DD90" s="94">
        <f>DD89+DD88</f>
        <v>21231.421999999999</v>
      </c>
      <c r="DE90" s="94">
        <f t="shared" ref="DE90:DL90" si="170">DE89+DE88</f>
        <v>12999.250000000002</v>
      </c>
      <c r="DF90" s="94">
        <f t="shared" si="170"/>
        <v>11976.704000000002</v>
      </c>
      <c r="DG90" s="94">
        <f t="shared" si="170"/>
        <v>11403.990000000002</v>
      </c>
      <c r="DH90" s="94">
        <f t="shared" si="170"/>
        <v>10664.460000000001</v>
      </c>
      <c r="DI90" s="94">
        <f t="shared" si="170"/>
        <v>10747.890000000001</v>
      </c>
      <c r="DJ90" s="94">
        <f t="shared" si="170"/>
        <v>10832.94</v>
      </c>
      <c r="DK90" s="94">
        <f t="shared" si="170"/>
        <v>11419.380000000001</v>
      </c>
      <c r="DL90" s="94">
        <f t="shared" si="170"/>
        <v>12647.070000000002</v>
      </c>
      <c r="DM90" s="94">
        <f t="shared" ref="DM90:DS90" si="171">DM89+DM88</f>
        <v>12647.070000000002</v>
      </c>
      <c r="DN90" s="94">
        <f t="shared" si="171"/>
        <v>21135</v>
      </c>
      <c r="DO90" s="94">
        <f>DO89+DO88</f>
        <v>21614</v>
      </c>
      <c r="DP90" s="94">
        <f>DP89+DP88</f>
        <v>23707.15</v>
      </c>
      <c r="DQ90" s="94">
        <f t="shared" si="171"/>
        <v>10053.200000000001</v>
      </c>
      <c r="DR90" s="94">
        <f t="shared" si="171"/>
        <v>10053.200000000001</v>
      </c>
      <c r="DS90" s="94">
        <f t="shared" si="171"/>
        <v>10053.200000000001</v>
      </c>
      <c r="DT90" s="94">
        <f t="shared" ref="DT90:EB90" si="172">DT89+DT88</f>
        <v>13378.836210814627</v>
      </c>
      <c r="DU90" s="94">
        <f t="shared" si="172"/>
        <v>13239.021047352104</v>
      </c>
      <c r="DV90" s="94">
        <f t="shared" si="172"/>
        <v>12481.353305355866</v>
      </c>
      <c r="DW90" s="94">
        <f t="shared" si="172"/>
        <v>11244.186259641576</v>
      </c>
      <c r="DX90" s="94">
        <f t="shared" si="172"/>
        <v>9796.4747612465344</v>
      </c>
      <c r="DY90" s="94">
        <f t="shared" si="172"/>
        <v>8461.6597605506686</v>
      </c>
      <c r="DZ90" s="94">
        <f t="shared" si="172"/>
        <v>7672.6729318395592</v>
      </c>
      <c r="EA90" s="94">
        <f t="shared" si="172"/>
        <v>7167.7904760593992</v>
      </c>
      <c r="EB90" s="94">
        <f t="shared" si="172"/>
        <v>6885.2103560208607</v>
      </c>
    </row>
    <row r="91" spans="2:132" s="92" customFormat="1" ht="12.75" customHeight="1">
      <c r="B91" s="100" t="s">
        <v>63</v>
      </c>
      <c r="C91" s="93">
        <f t="shared" ref="C91:N91" si="173">C85-C90</f>
        <v>2123.0700000000002</v>
      </c>
      <c r="D91" s="93">
        <f t="shared" si="173"/>
        <v>2321.0700000000002</v>
      </c>
      <c r="E91" s="93">
        <f t="shared" si="173"/>
        <v>2497.46</v>
      </c>
      <c r="F91" s="93">
        <f t="shared" si="173"/>
        <v>2475.4</v>
      </c>
      <c r="G91" s="93">
        <f t="shared" si="173"/>
        <v>-2737.8</v>
      </c>
      <c r="H91" s="93">
        <f t="shared" si="173"/>
        <v>-2936.2</v>
      </c>
      <c r="I91" s="93">
        <f t="shared" si="173"/>
        <v>-3057.7000000000003</v>
      </c>
      <c r="J91" s="93">
        <f t="shared" si="173"/>
        <v>-3502.9000000000005</v>
      </c>
      <c r="K91" s="93">
        <f t="shared" si="173"/>
        <v>-3314.3999999999996</v>
      </c>
      <c r="L91" s="93">
        <f t="shared" si="173"/>
        <v>-3364.8</v>
      </c>
      <c r="M91" s="93">
        <f t="shared" si="173"/>
        <v>-3323.5</v>
      </c>
      <c r="N91" s="93">
        <f t="shared" si="173"/>
        <v>-3917.2999999999997</v>
      </c>
      <c r="O91" s="93" t="e">
        <f t="shared" ref="O91:AH91" si="174">O87-O90</f>
        <v>#REF!</v>
      </c>
      <c r="P91" s="93" t="e">
        <f t="shared" si="174"/>
        <v>#REF!</v>
      </c>
      <c r="Q91" s="93">
        <f t="shared" si="174"/>
        <v>-2637.2</v>
      </c>
      <c r="R91" s="93">
        <f t="shared" si="174"/>
        <v>-2870.4</v>
      </c>
      <c r="S91" s="93">
        <f t="shared" si="174"/>
        <v>-2459.9</v>
      </c>
      <c r="T91" s="93">
        <f t="shared" si="174"/>
        <v>-2702.1</v>
      </c>
      <c r="U91" s="93">
        <f t="shared" si="174"/>
        <v>-2603.8000000000002</v>
      </c>
      <c r="V91" s="93">
        <f t="shared" si="174"/>
        <v>-2937</v>
      </c>
      <c r="W91" s="93">
        <f t="shared" si="174"/>
        <v>-2602</v>
      </c>
      <c r="X91" s="93">
        <f t="shared" si="174"/>
        <v>-2610.6999999999998</v>
      </c>
      <c r="Y91" s="93">
        <f t="shared" si="174"/>
        <v>-3316</v>
      </c>
      <c r="Z91" s="93">
        <f t="shared" si="174"/>
        <v>-3479.5</v>
      </c>
      <c r="AA91" s="93">
        <f t="shared" si="174"/>
        <v>-2832</v>
      </c>
      <c r="AB91" s="93">
        <f t="shared" si="174"/>
        <v>-3114.2</v>
      </c>
      <c r="AC91" s="94">
        <f t="shared" si="174"/>
        <v>-3066.8</v>
      </c>
      <c r="AD91" s="94"/>
      <c r="AE91" s="94">
        <f>AE87-AE90</f>
        <v>-2892.7</v>
      </c>
      <c r="AF91" s="94">
        <f t="shared" si="174"/>
        <v>-3099.5</v>
      </c>
      <c r="AG91" s="94">
        <f>AG87-AG90</f>
        <v>-2901.3999999999996</v>
      </c>
      <c r="AH91" s="94">
        <f t="shared" si="174"/>
        <v>-3248.7</v>
      </c>
      <c r="AI91" s="94">
        <f t="shared" ref="AI91:AN91" si="175">AI87-AI90</f>
        <v>-2762.1000000000004</v>
      </c>
      <c r="AJ91" s="94">
        <f t="shared" si="175"/>
        <v>-2947.8</v>
      </c>
      <c r="AK91" s="94">
        <f t="shared" si="175"/>
        <v>-2979.5</v>
      </c>
      <c r="AL91" s="94">
        <f t="shared" si="175"/>
        <v>3377.0000000000009</v>
      </c>
      <c r="AM91" s="94">
        <f t="shared" si="175"/>
        <v>3450.7999999999993</v>
      </c>
      <c r="AN91" s="94">
        <f t="shared" si="175"/>
        <v>-5135.1000000000004</v>
      </c>
      <c r="AO91" s="94">
        <f>AO87-AO90</f>
        <v>-4967.7999999999993</v>
      </c>
      <c r="AP91" s="94">
        <f>AP87-AP90</f>
        <v>-5583</v>
      </c>
      <c r="AQ91" s="94">
        <f>AQ87-AQ90</f>
        <v>-4894</v>
      </c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>
        <f>+CC87-CC90</f>
        <v>4108</v>
      </c>
      <c r="CD91" s="94">
        <f>+CD87-CD90</f>
        <v>4613</v>
      </c>
      <c r="CE91" s="94">
        <f>+CE87-CE90</f>
        <v>3579</v>
      </c>
      <c r="CF91" s="94">
        <f>+CF87-CF90</f>
        <v>2165</v>
      </c>
      <c r="CG91" s="94">
        <f t="shared" ref="CG91" si="176">+CG87-CG90</f>
        <v>5352</v>
      </c>
      <c r="CH91" s="94">
        <f>+CH87-CH90</f>
        <v>4835</v>
      </c>
      <c r="CI91" s="94">
        <f>+CI87-CI90</f>
        <v>6448</v>
      </c>
      <c r="CJ91" s="94">
        <f>+CJ87-CJ90</f>
        <v>5711</v>
      </c>
      <c r="CK91" s="94">
        <f t="shared" ref="CK91:CP91" si="177">+CK87-CK90</f>
        <v>5557</v>
      </c>
      <c r="CL91" s="94">
        <f t="shared" si="177"/>
        <v>4806</v>
      </c>
      <c r="CM91" s="94">
        <f>+CM87-CM90</f>
        <v>4411</v>
      </c>
      <c r="CN91" s="94">
        <f t="shared" si="177"/>
        <v>5875.5599999999995</v>
      </c>
      <c r="CO91" s="94">
        <f t="shared" si="177"/>
        <v>5743.4031249999989</v>
      </c>
      <c r="CP91" s="94">
        <f t="shared" si="177"/>
        <v>5009.5845312499996</v>
      </c>
      <c r="CQ91" s="94"/>
      <c r="CR91" s="94"/>
      <c r="CS91" s="95"/>
      <c r="CT91" s="94">
        <f t="shared" ref="CT91:DB91" si="178">CT87-CT90</f>
        <v>9417.2000000000007</v>
      </c>
      <c r="CU91" s="94">
        <f t="shared" si="178"/>
        <v>-8329.3999999999978</v>
      </c>
      <c r="CV91" s="94">
        <f t="shared" si="178"/>
        <v>-9573</v>
      </c>
      <c r="CW91" s="94">
        <f t="shared" si="178"/>
        <v>-10417.5</v>
      </c>
      <c r="CX91" s="94">
        <f t="shared" si="178"/>
        <v>-10702.8</v>
      </c>
      <c r="CY91" s="94">
        <f t="shared" si="178"/>
        <v>-12008.2</v>
      </c>
      <c r="CZ91" s="94">
        <f t="shared" si="178"/>
        <v>-9013</v>
      </c>
      <c r="DA91" s="94">
        <f t="shared" si="178"/>
        <v>-12142.3</v>
      </c>
      <c r="DB91" s="94">
        <f t="shared" si="178"/>
        <v>-13863.599999999999</v>
      </c>
      <c r="DC91" s="94">
        <f>DC87-DC90</f>
        <v>-20846.400000000001</v>
      </c>
      <c r="DD91" s="94">
        <f>DD87-DD90</f>
        <v>14710.092000000004</v>
      </c>
      <c r="DE91" s="94">
        <f t="shared" ref="DE91:DL91" si="179">DE87-DE90</f>
        <v>-12999.250000000002</v>
      </c>
      <c r="DF91" s="94">
        <f t="shared" si="179"/>
        <v>-11976.704000000002</v>
      </c>
      <c r="DG91" s="94">
        <f t="shared" si="179"/>
        <v>-11403.990000000002</v>
      </c>
      <c r="DH91" s="94">
        <f t="shared" si="179"/>
        <v>-10664.460000000001</v>
      </c>
      <c r="DI91" s="94">
        <f t="shared" si="179"/>
        <v>-10747.890000000001</v>
      </c>
      <c r="DJ91" s="94">
        <f t="shared" si="179"/>
        <v>-10832.94</v>
      </c>
      <c r="DK91" s="94">
        <f t="shared" si="179"/>
        <v>-11419.380000000001</v>
      </c>
      <c r="DL91" s="94">
        <f t="shared" si="179"/>
        <v>-12647.070000000002</v>
      </c>
      <c r="DM91" s="94">
        <f t="shared" ref="DM91:DS91" si="180">DM87-DM90</f>
        <v>-12647.070000000002</v>
      </c>
      <c r="DN91" s="94">
        <f t="shared" si="180"/>
        <v>15931</v>
      </c>
      <c r="DO91" s="94">
        <f>DO87-DO90</f>
        <v>22522</v>
      </c>
      <c r="DP91" s="94">
        <f>DP87-DP90</f>
        <v>21089.547656250012</v>
      </c>
      <c r="DQ91" s="94">
        <f t="shared" si="180"/>
        <v>36200.476170000009</v>
      </c>
      <c r="DR91" s="94">
        <f t="shared" si="180"/>
        <v>35552.092837999997</v>
      </c>
      <c r="DS91" s="94">
        <f t="shared" si="180"/>
        <v>33998.004638600003</v>
      </c>
      <c r="DT91" s="94">
        <f t="shared" ref="DT91:EB91" si="181">DT87-DT90</f>
        <v>29433.439663792182</v>
      </c>
      <c r="DU91" s="94">
        <f t="shared" si="181"/>
        <v>29125.846304174633</v>
      </c>
      <c r="DV91" s="94">
        <f t="shared" si="181"/>
        <v>27458.977271782911</v>
      </c>
      <c r="DW91" s="94">
        <f t="shared" si="181"/>
        <v>24737.20977121147</v>
      </c>
      <c r="DX91" s="94">
        <f t="shared" si="181"/>
        <v>21552.24447474238</v>
      </c>
      <c r="DY91" s="94">
        <f t="shared" si="181"/>
        <v>18615.651473211474</v>
      </c>
      <c r="DZ91" s="94">
        <f t="shared" si="181"/>
        <v>16879.880450047032</v>
      </c>
      <c r="EA91" s="94">
        <f t="shared" si="181"/>
        <v>15769.139047330678</v>
      </c>
      <c r="EB91" s="94">
        <f t="shared" si="181"/>
        <v>15147.462783245897</v>
      </c>
    </row>
    <row r="92" spans="2:132" s="83" customFormat="1" ht="12.75" customHeight="1">
      <c r="B92" s="100" t="s">
        <v>64</v>
      </c>
      <c r="C92" s="93"/>
      <c r="D92" s="93"/>
      <c r="E92" s="93"/>
      <c r="F92" s="93"/>
      <c r="G92" s="93">
        <f>-203.9-H92+2</f>
        <v>-96.4</v>
      </c>
      <c r="H92" s="93">
        <v>-105.5</v>
      </c>
      <c r="I92" s="93">
        <v>-106.5</v>
      </c>
      <c r="J92" s="93">
        <v>-107.3</v>
      </c>
      <c r="K92" s="94">
        <v>-87.5</v>
      </c>
      <c r="L92" s="94">
        <v>-82.1</v>
      </c>
      <c r="M92" s="94">
        <v>-66.900000000000006</v>
      </c>
      <c r="N92" s="94">
        <v>-72.2</v>
      </c>
      <c r="O92" s="94">
        <v>65.7</v>
      </c>
      <c r="P92" s="94">
        <v>68.5</v>
      </c>
      <c r="Q92" s="94">
        <v>75.7</v>
      </c>
      <c r="R92" s="94">
        <v>90.2</v>
      </c>
      <c r="S92" s="94">
        <v>93.8</v>
      </c>
      <c r="T92" s="94">
        <v>98.7</v>
      </c>
      <c r="U92" s="94">
        <v>122.3</v>
      </c>
      <c r="V92" s="94">
        <v>166</v>
      </c>
      <c r="W92" s="94">
        <v>181.7</v>
      </c>
      <c r="X92" s="94">
        <v>187.9</v>
      </c>
      <c r="Y92" s="94">
        <v>195</v>
      </c>
      <c r="Z92" s="94">
        <v>199.7</v>
      </c>
      <c r="AA92" s="94">
        <v>181.7</v>
      </c>
      <c r="AB92" s="93">
        <v>172.3</v>
      </c>
      <c r="AC92" s="94">
        <v>186.9</v>
      </c>
      <c r="AD92" s="94"/>
      <c r="AE92" s="94"/>
      <c r="AF92" s="94">
        <v>81.900000000000006</v>
      </c>
      <c r="AG92" s="94">
        <v>61.8</v>
      </c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75"/>
      <c r="CT92" s="94"/>
      <c r="CU92" s="94">
        <f t="shared" ref="CU92:CU97" si="182">SUM(G92:J92)</f>
        <v>-415.7</v>
      </c>
      <c r="CV92" s="94">
        <f t="shared" ref="CV92:CV97" si="183">SUM(K92:N92)</f>
        <v>-308.7</v>
      </c>
      <c r="CW92" s="94">
        <f t="shared" ref="CW92:CW97" si="184">SUM(O92:R92)</f>
        <v>300.09999999999997</v>
      </c>
      <c r="CX92" s="94">
        <f t="shared" ref="CX92:CX97" si="185">SUM(S92:V92)</f>
        <v>480.8</v>
      </c>
      <c r="CY92" s="93">
        <f t="shared" ref="CY92:CY97" si="186">SUM(W92:Z92)</f>
        <v>764.3</v>
      </c>
      <c r="CZ92" s="93">
        <f t="shared" ref="CZ92:CZ97" si="187">SUM(AA92:AD92)</f>
        <v>540.9</v>
      </c>
      <c r="DA92" s="93">
        <f>SUM(AE92:AH92)</f>
        <v>143.69999999999999</v>
      </c>
      <c r="DB92" s="94"/>
      <c r="DC92" s="94"/>
      <c r="DD92" s="94">
        <f>+DC120*$EE$105</f>
        <v>-70</v>
      </c>
      <c r="DE92" s="94">
        <f>+DD120*$EE$105</f>
        <v>39.800690000000031</v>
      </c>
      <c r="DF92" s="94">
        <f>+DE120*$EE$105</f>
        <v>-57.395179824999978</v>
      </c>
      <c r="DG92" s="94">
        <f>+DF120*$EE$105</f>
        <v>0</v>
      </c>
      <c r="DH92" s="94">
        <f>+DG120*$EE$105</f>
        <v>0</v>
      </c>
      <c r="DI92" s="94">
        <f>+DH120*$EE$105</f>
        <v>0</v>
      </c>
      <c r="DJ92" s="94">
        <f>+DI120*$EE$105</f>
        <v>0</v>
      </c>
      <c r="DK92" s="94">
        <f>+DJ120*$EE$105</f>
        <v>0</v>
      </c>
      <c r="DL92" s="94">
        <f>+DK120*$EE$105</f>
        <v>0</v>
      </c>
      <c r="DM92" s="94">
        <f>+DL120*$EE$105</f>
        <v>0</v>
      </c>
      <c r="DN92" s="94"/>
      <c r="DO92" s="94"/>
      <c r="DP92" s="94"/>
      <c r="DQ92" s="94"/>
      <c r="DR92" s="94"/>
      <c r="DS92" s="94"/>
      <c r="DU92" s="87"/>
    </row>
    <row r="93" spans="2:132" s="83" customFormat="1" ht="12.75" customHeight="1">
      <c r="B93" s="100" t="s">
        <v>65</v>
      </c>
      <c r="C93" s="93"/>
      <c r="D93" s="93"/>
      <c r="E93" s="93"/>
      <c r="F93" s="93"/>
      <c r="G93" s="93">
        <f>192.8-H93</f>
        <v>95.300000000000011</v>
      </c>
      <c r="H93" s="93">
        <v>97.5</v>
      </c>
      <c r="I93" s="93">
        <v>99.9</v>
      </c>
      <c r="J93" s="93">
        <v>98.1</v>
      </c>
      <c r="K93" s="94">
        <v>94.9</v>
      </c>
      <c r="L93" s="94">
        <v>94.9</v>
      </c>
      <c r="M93" s="94">
        <v>81.099999999999994</v>
      </c>
      <c r="N93" s="94">
        <v>80</v>
      </c>
      <c r="O93" s="94">
        <v>72.8</v>
      </c>
      <c r="P93" s="94">
        <v>71.599999999999994</v>
      </c>
      <c r="Q93" s="94">
        <v>72.400000000000006</v>
      </c>
      <c r="R93" s="94">
        <v>77</v>
      </c>
      <c r="S93" s="94">
        <v>84.5</v>
      </c>
      <c r="T93" s="94">
        <v>93.1</v>
      </c>
      <c r="U93" s="94">
        <v>99.6</v>
      </c>
      <c r="V93" s="94">
        <v>108.2</v>
      </c>
      <c r="W93" s="94">
        <v>98.2</v>
      </c>
      <c r="X93" s="94">
        <v>91.9</v>
      </c>
      <c r="Y93" s="94">
        <v>87.7</v>
      </c>
      <c r="Z93" s="94">
        <v>97.2</v>
      </c>
      <c r="AA93" s="94">
        <v>102.4</v>
      </c>
      <c r="AB93" s="93">
        <v>103.3</v>
      </c>
      <c r="AC93" s="93">
        <v>91.5</v>
      </c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v>-35</v>
      </c>
      <c r="CD93" s="94">
        <v>-100</v>
      </c>
      <c r="CE93" s="94">
        <v>-134</v>
      </c>
      <c r="CF93" s="94">
        <v>-38</v>
      </c>
      <c r="CG93" s="94">
        <v>-244</v>
      </c>
      <c r="CH93" s="94">
        <v>-51</v>
      </c>
      <c r="CI93" s="94">
        <v>-139</v>
      </c>
      <c r="CJ93" s="94">
        <v>-202</v>
      </c>
      <c r="CK93" s="94">
        <v>-105</v>
      </c>
      <c r="CL93" s="94">
        <v>86</v>
      </c>
      <c r="CM93" s="94">
        <v>70</v>
      </c>
      <c r="CN93" s="94">
        <f t="shared" ref="CN93:CP93" si="188">AVERAGE(CJ93:CM93)</f>
        <v>-37.75</v>
      </c>
      <c r="CO93" s="94">
        <f t="shared" si="188"/>
        <v>3.3125</v>
      </c>
      <c r="CP93" s="94">
        <f t="shared" si="188"/>
        <v>30.390625</v>
      </c>
      <c r="CQ93" s="94"/>
      <c r="CR93" s="94"/>
      <c r="CS93" s="75"/>
      <c r="CT93" s="94"/>
      <c r="CU93" s="94">
        <f t="shared" si="182"/>
        <v>390.80000000000007</v>
      </c>
      <c r="CV93" s="94">
        <f t="shared" si="183"/>
        <v>350.9</v>
      </c>
      <c r="CW93" s="94">
        <f t="shared" si="184"/>
        <v>293.79999999999995</v>
      </c>
      <c r="CX93" s="94">
        <f t="shared" si="185"/>
        <v>385.4</v>
      </c>
      <c r="CY93" s="93">
        <f t="shared" si="186"/>
        <v>375</v>
      </c>
      <c r="CZ93" s="93">
        <f t="shared" si="187"/>
        <v>297.2</v>
      </c>
      <c r="DA93" s="94"/>
      <c r="DB93" s="98"/>
      <c r="DC93" s="98"/>
      <c r="DD93" s="98"/>
      <c r="DE93" s="98"/>
      <c r="DF93" s="98"/>
      <c r="DG93" s="98"/>
      <c r="DH93" s="84"/>
      <c r="DI93" s="84"/>
      <c r="DJ93" s="84"/>
      <c r="DK93" s="84"/>
      <c r="DL93" s="84"/>
      <c r="DM93" s="84"/>
      <c r="DN93" s="94">
        <f t="shared" ref="DN92:DN93" si="189">SUM(CE93:CH93)</f>
        <v>-467</v>
      </c>
      <c r="DO93" s="94">
        <f>SUM(CI93:CL93)</f>
        <v>-360</v>
      </c>
      <c r="DP93" s="94">
        <f t="shared" ref="DP93" si="190">SUM(CM93:CP93)</f>
        <v>65.953125</v>
      </c>
      <c r="DQ93" s="87">
        <f>-DP121*$EE$105</f>
        <v>49.381743359375015</v>
      </c>
      <c r="DR93" s="87">
        <f>-DQ121*$EE$105</f>
        <v>-221.75146484042978</v>
      </c>
      <c r="DS93" s="87">
        <f>-DR121*$EE$105</f>
        <v>-490.05529711173295</v>
      </c>
      <c r="DT93" s="87">
        <f>-DS121*$EE$105</f>
        <v>-748.71574662957107</v>
      </c>
      <c r="DU93" s="87">
        <f>-DT121*$EE$105</f>
        <v>-975.08191220773426</v>
      </c>
      <c r="DV93" s="87">
        <f>-DU121*$EE$105</f>
        <v>-1200.8388738306021</v>
      </c>
      <c r="DW93" s="87">
        <f>-DV121*$EE$105</f>
        <v>-1415.7874949227034</v>
      </c>
      <c r="DX93" s="87">
        <f>-DW121*$EE$105</f>
        <v>-1611.9349744187098</v>
      </c>
      <c r="DY93" s="87">
        <f>-DX121*$EE$105</f>
        <v>-1785.6663202874179</v>
      </c>
      <c r="DZ93" s="87">
        <f>-DY121*$EE$105</f>
        <v>-1938.6762037386598</v>
      </c>
      <c r="EA93" s="87">
        <f>-DZ121*$EE$105</f>
        <v>-2079.8153786420526</v>
      </c>
      <c r="EB93" s="87">
        <f>-EA121*$EE$105</f>
        <v>-2213.6825368368482</v>
      </c>
    </row>
    <row r="94" spans="2:132" s="83" customFormat="1" ht="12.75" customHeight="1">
      <c r="B94" s="100" t="s">
        <v>66</v>
      </c>
      <c r="C94" s="93"/>
      <c r="D94" s="93"/>
      <c r="E94" s="93"/>
      <c r="F94" s="93"/>
      <c r="G94" s="93">
        <f>2.6-H94</f>
        <v>-2.6999999999999997</v>
      </c>
      <c r="H94" s="93">
        <v>5.3</v>
      </c>
      <c r="I94" s="93">
        <v>8.3000000000000007</v>
      </c>
      <c r="J94" s="93">
        <v>-18.7</v>
      </c>
      <c r="K94" s="94">
        <v>-7.2</v>
      </c>
      <c r="L94" s="94">
        <v>-16.2</v>
      </c>
      <c r="M94" s="94">
        <v>-1.7</v>
      </c>
      <c r="N94" s="94">
        <v>-3.3</v>
      </c>
      <c r="O94" s="94">
        <v>-7.8</v>
      </c>
      <c r="P94" s="94">
        <v>-14.9</v>
      </c>
      <c r="Q94" s="94">
        <v>-2.8</v>
      </c>
      <c r="R94" s="94">
        <v>28.3</v>
      </c>
      <c r="S94" s="94">
        <v>0.7</v>
      </c>
      <c r="T94" s="94">
        <v>8.4</v>
      </c>
      <c r="U94" s="94">
        <v>7.4</v>
      </c>
      <c r="V94" s="94">
        <v>-0.4</v>
      </c>
      <c r="W94" s="94">
        <v>0.4</v>
      </c>
      <c r="X94" s="94">
        <v>-7.4</v>
      </c>
      <c r="Y94" s="94">
        <v>11.5</v>
      </c>
      <c r="Z94" s="94">
        <v>20.5</v>
      </c>
      <c r="AA94" s="94">
        <v>19.600000000000001</v>
      </c>
      <c r="AB94" s="93">
        <v>12</v>
      </c>
      <c r="AC94" s="93">
        <v>8.3000000000000007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75"/>
      <c r="CT94" s="94"/>
      <c r="CU94" s="94">
        <f t="shared" si="182"/>
        <v>-7.7999999999999989</v>
      </c>
      <c r="CV94" s="94">
        <f t="shared" si="183"/>
        <v>-28.4</v>
      </c>
      <c r="CW94" s="94">
        <f t="shared" si="184"/>
        <v>2.8000000000000007</v>
      </c>
      <c r="CX94" s="94">
        <f t="shared" si="185"/>
        <v>16.100000000000001</v>
      </c>
      <c r="CY94" s="93">
        <f t="shared" si="186"/>
        <v>25</v>
      </c>
      <c r="CZ94" s="93">
        <f t="shared" si="187"/>
        <v>39.900000000000006</v>
      </c>
      <c r="DA94" s="94"/>
      <c r="DB94" s="98"/>
      <c r="DC94" s="98"/>
      <c r="DD94" s="98"/>
      <c r="DE94" s="98"/>
      <c r="DF94" s="98"/>
      <c r="DG94" s="98"/>
      <c r="DH94" s="84"/>
      <c r="DI94" s="84"/>
      <c r="DJ94" s="84"/>
      <c r="DK94" s="84"/>
      <c r="DL94" s="84"/>
      <c r="DM94" s="84"/>
      <c r="DN94" s="84"/>
      <c r="DO94" s="94"/>
      <c r="DP94" s="94"/>
      <c r="DQ94" s="84"/>
      <c r="DR94" s="84"/>
      <c r="DS94" s="84"/>
      <c r="DU94" s="87"/>
    </row>
    <row r="95" spans="2:132" s="83" customFormat="1" ht="12.75" customHeight="1">
      <c r="B95" s="100" t="s">
        <v>67</v>
      </c>
      <c r="C95" s="93"/>
      <c r="D95" s="93"/>
      <c r="E95" s="93"/>
      <c r="F95" s="93"/>
      <c r="G95" s="93">
        <f>110.6-H95</f>
        <v>50.699999999999996</v>
      </c>
      <c r="H95" s="93">
        <v>59.9</v>
      </c>
      <c r="I95" s="93">
        <v>59.1</v>
      </c>
      <c r="J95" s="93">
        <v>44.5</v>
      </c>
      <c r="K95" s="94">
        <v>51.7</v>
      </c>
      <c r="L95" s="94">
        <v>40.700000000000003</v>
      </c>
      <c r="M95" s="94">
        <v>39.1</v>
      </c>
      <c r="N95" s="94">
        <v>37.200000000000003</v>
      </c>
      <c r="O95" s="94">
        <v>-39.6</v>
      </c>
      <c r="P95" s="94">
        <v>-36.799999999999997</v>
      </c>
      <c r="Q95" s="94">
        <v>-37.6</v>
      </c>
      <c r="R95" s="94">
        <v>-40.299999999999997</v>
      </c>
      <c r="S95" s="94">
        <v>-30.4</v>
      </c>
      <c r="T95" s="94">
        <v>-30.3</v>
      </c>
      <c r="U95" s="94">
        <v>-30.9</v>
      </c>
      <c r="V95" s="94">
        <v>-30.2</v>
      </c>
      <c r="W95" s="94">
        <v>-29.9</v>
      </c>
      <c r="X95" s="94">
        <v>-30</v>
      </c>
      <c r="Y95" s="94">
        <v>-30.7</v>
      </c>
      <c r="Z95" s="94">
        <v>-29.9</v>
      </c>
      <c r="AA95" s="94">
        <v>-30.6</v>
      </c>
      <c r="AB95" s="93">
        <v>-30.8</v>
      </c>
      <c r="AC95" s="93">
        <v>-30.6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75"/>
      <c r="CT95" s="94"/>
      <c r="CU95" s="94">
        <f t="shared" si="182"/>
        <v>214.2</v>
      </c>
      <c r="CV95" s="94">
        <f t="shared" si="183"/>
        <v>168.7</v>
      </c>
      <c r="CW95" s="94">
        <f t="shared" si="184"/>
        <v>-154.30000000000001</v>
      </c>
      <c r="CX95" s="94">
        <f t="shared" si="185"/>
        <v>-121.8</v>
      </c>
      <c r="CY95" s="93">
        <f t="shared" si="186"/>
        <v>-120.5</v>
      </c>
      <c r="CZ95" s="93">
        <f t="shared" si="187"/>
        <v>-92</v>
      </c>
      <c r="DA95" s="94"/>
      <c r="DB95" s="98"/>
      <c r="DC95" s="98"/>
      <c r="DD95" s="98"/>
      <c r="DE95" s="98"/>
      <c r="DF95" s="98"/>
      <c r="DG95" s="98"/>
      <c r="DH95" s="84"/>
      <c r="DI95" s="84"/>
      <c r="DJ95" s="84"/>
      <c r="DK95" s="84"/>
      <c r="DL95" s="84"/>
      <c r="DM95" s="84"/>
      <c r="DN95" s="84"/>
      <c r="DO95" s="94"/>
      <c r="DP95" s="94"/>
      <c r="DQ95" s="84"/>
      <c r="DR95" s="84"/>
      <c r="DS95" s="84"/>
      <c r="DU95" s="87"/>
    </row>
    <row r="96" spans="2:132" s="83" customFormat="1" ht="12.75" customHeight="1">
      <c r="B96" s="100" t="s">
        <v>68</v>
      </c>
      <c r="C96" s="93">
        <v>-185.9</v>
      </c>
      <c r="D96" s="93">
        <v>-185.9</v>
      </c>
      <c r="E96" s="93">
        <v>-185.9</v>
      </c>
      <c r="F96" s="93">
        <v>-128.19999999999999</v>
      </c>
      <c r="G96" s="93">
        <v>-171.8</v>
      </c>
      <c r="H96" s="93">
        <v>-190.2</v>
      </c>
      <c r="I96" s="93">
        <v>-188.7</v>
      </c>
      <c r="J96" s="93">
        <v>-94</v>
      </c>
      <c r="K96" s="94">
        <v>-97.3</v>
      </c>
      <c r="L96" s="94">
        <v>-187.4</v>
      </c>
      <c r="M96" s="94">
        <v>-183.4</v>
      </c>
      <c r="N96" s="94">
        <v>-6</v>
      </c>
      <c r="O96" s="94">
        <v>194.7</v>
      </c>
      <c r="P96" s="94">
        <v>220.5</v>
      </c>
      <c r="Q96" s="94">
        <v>307.10000000000002</v>
      </c>
      <c r="R96" s="94">
        <v>285.89999999999998</v>
      </c>
      <c r="S96" s="94">
        <v>316.3</v>
      </c>
      <c r="T96" s="94">
        <v>334.1</v>
      </c>
      <c r="U96" s="94">
        <v>480.1</v>
      </c>
      <c r="V96" s="94">
        <v>586.6</v>
      </c>
      <c r="W96" s="94">
        <v>503.4</v>
      </c>
      <c r="X96" s="94">
        <v>611.29999999999995</v>
      </c>
      <c r="Y96" s="94">
        <v>595</v>
      </c>
      <c r="Z96" s="94">
        <v>584.20000000000005</v>
      </c>
      <c r="AA96" s="94">
        <v>652.6</v>
      </c>
      <c r="AB96" s="93">
        <v>759.1</v>
      </c>
      <c r="AC96" s="93">
        <v>768.5</v>
      </c>
      <c r="AD96" s="94"/>
      <c r="AE96" s="94">
        <v>652.1</v>
      </c>
      <c r="AF96" s="94">
        <v>523</v>
      </c>
      <c r="AG96" s="94">
        <v>665.6</v>
      </c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75"/>
      <c r="CT96" s="94">
        <f>SUM(C96:F96)</f>
        <v>-685.90000000000009</v>
      </c>
      <c r="CU96" s="94">
        <f t="shared" si="182"/>
        <v>-644.70000000000005</v>
      </c>
      <c r="CV96" s="94">
        <f t="shared" si="183"/>
        <v>-474.1</v>
      </c>
      <c r="CW96" s="94">
        <f t="shared" si="184"/>
        <v>1008.1999999999999</v>
      </c>
      <c r="CX96" s="94">
        <f t="shared" si="185"/>
        <v>1717.1</v>
      </c>
      <c r="CY96" s="93">
        <f t="shared" si="186"/>
        <v>2293.8999999999996</v>
      </c>
      <c r="CZ96" s="93">
        <f>SUM(AA96:AD96)</f>
        <v>2180.1999999999998</v>
      </c>
      <c r="DA96" s="93">
        <f>SUM(AE96:AH96)</f>
        <v>1840.6999999999998</v>
      </c>
      <c r="DB96" s="94">
        <f>SUM(AI96:AL96)</f>
        <v>0</v>
      </c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S96" s="94"/>
      <c r="DU96" s="87"/>
    </row>
    <row r="97" spans="2:242" s="83" customFormat="1" ht="12.75" customHeight="1">
      <c r="B97" s="100" t="s">
        <v>70</v>
      </c>
      <c r="C97" s="93">
        <v>29.47</v>
      </c>
      <c r="D97" s="93">
        <v>29.47</v>
      </c>
      <c r="E97" s="93">
        <v>29.47</v>
      </c>
      <c r="F97" s="93">
        <v>66.599999999999994</v>
      </c>
      <c r="G97" s="93">
        <f>23.4-SUM(G92:G95)</f>
        <v>-23.5</v>
      </c>
      <c r="H97" s="93">
        <f>61.8-SUM(H92:H95)</f>
        <v>4.6000000000000014</v>
      </c>
      <c r="I97" s="93">
        <f>46.8-SUM(I92:I95)</f>
        <v>-14.000000000000014</v>
      </c>
      <c r="J97" s="93">
        <f>70.3-SUM(J92:J95)</f>
        <v>53.7</v>
      </c>
      <c r="K97" s="94">
        <f>47.8+90.4-SUM(K92:K95)</f>
        <v>86.299999999999983</v>
      </c>
      <c r="L97" s="94">
        <f>-121.8-SUM(L92:L95)</f>
        <v>-159.10000000000002</v>
      </c>
      <c r="M97" s="94">
        <v>-38.9</v>
      </c>
      <c r="N97" s="94">
        <f>-56.5-SUM(N92:N95)+11.4</f>
        <v>-86.8</v>
      </c>
      <c r="O97" s="94">
        <v>0</v>
      </c>
      <c r="P97" s="94">
        <v>22.1</v>
      </c>
      <c r="Q97" s="94">
        <v>45.9</v>
      </c>
      <c r="R97" s="94">
        <v>107.1</v>
      </c>
      <c r="S97" s="94">
        <v>-6.1</v>
      </c>
      <c r="T97" s="94">
        <v>2.2999999999999998</v>
      </c>
      <c r="U97" s="94">
        <v>25.5</v>
      </c>
      <c r="V97" s="94">
        <v>99.1</v>
      </c>
      <c r="W97" s="94">
        <v>46.6</v>
      </c>
      <c r="X97" s="94">
        <v>11.5</v>
      </c>
      <c r="Y97" s="94">
        <v>46.6</v>
      </c>
      <c r="Z97" s="94">
        <v>-16</v>
      </c>
      <c r="AA97" s="94">
        <v>187.7</v>
      </c>
      <c r="AB97" s="93">
        <v>33.799999999999997</v>
      </c>
      <c r="AC97" s="93">
        <v>107.8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75"/>
      <c r="CT97" s="94">
        <f>SUM(C97:F97)</f>
        <v>155.01</v>
      </c>
      <c r="CU97" s="94">
        <f t="shared" si="182"/>
        <v>20.79999999999999</v>
      </c>
      <c r="CV97" s="94">
        <f t="shared" si="183"/>
        <v>-198.50000000000006</v>
      </c>
      <c r="CW97" s="94">
        <f t="shared" si="184"/>
        <v>175.1</v>
      </c>
      <c r="CX97" s="94">
        <f t="shared" si="185"/>
        <v>120.8</v>
      </c>
      <c r="CY97" s="93">
        <f t="shared" si="186"/>
        <v>88.7</v>
      </c>
      <c r="CZ97" s="93">
        <f t="shared" si="187"/>
        <v>329.3</v>
      </c>
      <c r="DA97" s="98"/>
      <c r="DB97" s="98"/>
      <c r="DC97" s="98"/>
      <c r="DD97" s="98"/>
      <c r="DE97" s="98"/>
      <c r="DF97" s="98"/>
      <c r="DG97" s="98"/>
      <c r="DH97" s="84"/>
      <c r="DI97" s="84"/>
      <c r="DJ97" s="84"/>
      <c r="DK97" s="84"/>
      <c r="DL97" s="84"/>
      <c r="DM97" s="84"/>
      <c r="DN97" s="84"/>
      <c r="DO97" s="94"/>
      <c r="DP97" s="94"/>
      <c r="DQ97" s="84"/>
      <c r="DR97" s="84"/>
      <c r="DS97" s="84"/>
      <c r="DU97" s="87"/>
    </row>
    <row r="98" spans="2:242" s="83" customFormat="1" ht="12.75" customHeight="1">
      <c r="B98" s="100" t="s">
        <v>71</v>
      </c>
      <c r="C98" s="93">
        <f>SUM(C96:C97)</f>
        <v>-156.43</v>
      </c>
      <c r="D98" s="93">
        <f>SUM(D96:D97)</f>
        <v>-156.43</v>
      </c>
      <c r="E98" s="93">
        <f>SUM(E96:E97)</f>
        <v>-156.43</v>
      </c>
      <c r="F98" s="93">
        <f>SUM(F96:F97)</f>
        <v>-61.599999999999994</v>
      </c>
      <c r="G98" s="93">
        <f t="shared" ref="G98:N98" si="191">SUM(G92:G97)</f>
        <v>-148.4</v>
      </c>
      <c r="H98" s="93">
        <f t="shared" si="191"/>
        <v>-128.4</v>
      </c>
      <c r="I98" s="93">
        <f t="shared" si="191"/>
        <v>-141.89999999999998</v>
      </c>
      <c r="J98" s="93">
        <f t="shared" si="191"/>
        <v>-23.700000000000003</v>
      </c>
      <c r="K98" s="93">
        <f t="shared" si="191"/>
        <v>40.899999999999991</v>
      </c>
      <c r="L98" s="93">
        <f t="shared" si="191"/>
        <v>-309.20000000000005</v>
      </c>
      <c r="M98" s="93">
        <f t="shared" si="191"/>
        <v>-170.70000000000002</v>
      </c>
      <c r="N98" s="93">
        <f t="shared" si="191"/>
        <v>-51.099999999999994</v>
      </c>
      <c r="O98" s="93">
        <f t="shared" ref="O98:Y98" si="192">O92-O93+O94+O95+O96+O97</f>
        <v>140.19999999999999</v>
      </c>
      <c r="P98" s="93">
        <f t="shared" si="192"/>
        <v>187.8</v>
      </c>
      <c r="Q98" s="93">
        <f t="shared" si="192"/>
        <v>315.89999999999998</v>
      </c>
      <c r="R98" s="93">
        <f t="shared" si="192"/>
        <v>394.19999999999993</v>
      </c>
      <c r="S98" s="93">
        <f t="shared" si="192"/>
        <v>289.8</v>
      </c>
      <c r="T98" s="93">
        <f t="shared" si="192"/>
        <v>320.10000000000002</v>
      </c>
      <c r="U98" s="93">
        <f t="shared" si="192"/>
        <v>504.8</v>
      </c>
      <c r="V98" s="93">
        <f t="shared" si="192"/>
        <v>712.90000000000009</v>
      </c>
      <c r="W98" s="93">
        <f t="shared" si="192"/>
        <v>604</v>
      </c>
      <c r="X98" s="93">
        <f t="shared" si="192"/>
        <v>681.4</v>
      </c>
      <c r="Y98" s="93">
        <f t="shared" si="192"/>
        <v>729.7</v>
      </c>
      <c r="Z98" s="93">
        <f>Z92-Z93+Z94+Z95+Z96+Z97</f>
        <v>661.30000000000007</v>
      </c>
      <c r="AA98" s="93">
        <f>AA92-AA93+AA94+AA95+AA96+AA97</f>
        <v>908.59999999999991</v>
      </c>
      <c r="AB98" s="93">
        <f>AB92-AB93+AB94+AB95+AB96+AB97</f>
        <v>843.1</v>
      </c>
      <c r="AC98" s="93">
        <f>AC92-AC93+AC94+AC95+AC96+AC97</f>
        <v>949.4</v>
      </c>
      <c r="AD98" s="93"/>
      <c r="AE98" s="93">
        <f>AE92-AE93+AE94+AE95+AE96+AE97</f>
        <v>652.1</v>
      </c>
      <c r="AF98" s="93">
        <f>AF92-AF93+AF94+AF95+AF96+AF97</f>
        <v>604.9</v>
      </c>
      <c r="AG98" s="93">
        <f>AG92-AG93+AG94+AG95+AG96+AG97</f>
        <v>727.4</v>
      </c>
      <c r="AH98" s="93">
        <f>720+26.8</f>
        <v>746.8</v>
      </c>
      <c r="AI98" s="93">
        <v>665</v>
      </c>
      <c r="AJ98" s="93">
        <v>633.5</v>
      </c>
      <c r="AK98" s="93">
        <v>688.2</v>
      </c>
      <c r="AL98" s="93">
        <f>373.8-92</f>
        <v>281.8</v>
      </c>
      <c r="AM98" s="93">
        <v>-22.9</v>
      </c>
      <c r="AN98" s="93">
        <f>42.9-152.8</f>
        <v>-109.9</v>
      </c>
      <c r="AO98" s="93">
        <f>236.4-158.3</f>
        <v>78.099999999999994</v>
      </c>
      <c r="AP98" s="93">
        <f>171-309</f>
        <v>-138</v>
      </c>
      <c r="AQ98" s="93">
        <f>138-256</f>
        <v>-118</v>
      </c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75"/>
      <c r="CT98" s="93">
        <f t="shared" ref="CT98:DB98" si="193">CT92-CT93+CT94+CT95+CT96+CT97</f>
        <v>-530.8900000000001</v>
      </c>
      <c r="CU98" s="93">
        <f t="shared" si="193"/>
        <v>-1224</v>
      </c>
      <c r="CV98" s="93">
        <f t="shared" si="193"/>
        <v>-1191.9000000000001</v>
      </c>
      <c r="CW98" s="93">
        <f t="shared" si="193"/>
        <v>1038.0999999999999</v>
      </c>
      <c r="CX98" s="93">
        <f t="shared" si="193"/>
        <v>1827.6</v>
      </c>
      <c r="CY98" s="93">
        <f t="shared" si="193"/>
        <v>2676.3999999999996</v>
      </c>
      <c r="CZ98" s="93">
        <f t="shared" si="193"/>
        <v>2701.1</v>
      </c>
      <c r="DA98" s="93">
        <f t="shared" si="193"/>
        <v>1984.3999999999999</v>
      </c>
      <c r="DB98" s="93">
        <f t="shared" si="193"/>
        <v>0</v>
      </c>
      <c r="DC98" s="93">
        <f>SUM(AM98:AP98)</f>
        <v>-192.70000000000002</v>
      </c>
      <c r="DD98" s="93">
        <f>DD92-DD93+DD94+DD95+DD96+DD97</f>
        <v>-70</v>
      </c>
      <c r="DE98" s="93">
        <f>DE92-DE93+DE94+DE95+DE96+DE97</f>
        <v>39.800690000000031</v>
      </c>
      <c r="DF98" s="93">
        <f t="shared" ref="DF98:DL98" si="194">DF92-DF93+DF94+DF95+DF96+DF97</f>
        <v>-57.395179824999978</v>
      </c>
      <c r="DG98" s="93">
        <f t="shared" si="194"/>
        <v>0</v>
      </c>
      <c r="DH98" s="93">
        <f t="shared" si="194"/>
        <v>0</v>
      </c>
      <c r="DI98" s="93">
        <f t="shared" si="194"/>
        <v>0</v>
      </c>
      <c r="DJ98" s="93">
        <f t="shared" si="194"/>
        <v>0</v>
      </c>
      <c r="DK98" s="93">
        <f t="shared" si="194"/>
        <v>0</v>
      </c>
      <c r="DL98" s="93">
        <f t="shared" si="194"/>
        <v>0</v>
      </c>
      <c r="DM98" s="93">
        <f t="shared" ref="DM98:DP100" si="195">DM92-DM93+DM94+DM95+DM96+DM97</f>
        <v>0</v>
      </c>
      <c r="DN98" s="93">
        <f t="shared" si="195"/>
        <v>467</v>
      </c>
      <c r="DO98" s="93">
        <f t="shared" si="195"/>
        <v>360</v>
      </c>
      <c r="DP98" s="93">
        <f t="shared" si="195"/>
        <v>-65.953125</v>
      </c>
      <c r="DQ98" s="93">
        <f>DQ92-DQ93+DQ94+DQ95+DQ96+DQ97</f>
        <v>-49.381743359375015</v>
      </c>
      <c r="DR98" s="93">
        <f t="shared" ref="DR98:EB98" si="196">DR92-DR93+DR94+DR95+DR96+DR97</f>
        <v>221.75146484042978</v>
      </c>
      <c r="DS98" s="93">
        <f t="shared" si="196"/>
        <v>490.05529711173295</v>
      </c>
      <c r="DT98" s="93">
        <f t="shared" si="196"/>
        <v>748.71574662957107</v>
      </c>
      <c r="DU98" s="93">
        <f t="shared" si="196"/>
        <v>975.08191220773426</v>
      </c>
      <c r="DV98" s="93">
        <f t="shared" si="196"/>
        <v>1200.8388738306021</v>
      </c>
      <c r="DW98" s="93">
        <f t="shared" si="196"/>
        <v>1415.7874949227034</v>
      </c>
      <c r="DX98" s="93">
        <f t="shared" si="196"/>
        <v>1611.9349744187098</v>
      </c>
      <c r="DY98" s="93">
        <f t="shared" si="196"/>
        <v>1785.6663202874179</v>
      </c>
      <c r="DZ98" s="93">
        <f t="shared" si="196"/>
        <v>1938.6762037386598</v>
      </c>
      <c r="EA98" s="93">
        <f t="shared" si="196"/>
        <v>2079.8153786420526</v>
      </c>
      <c r="EB98" s="93">
        <f t="shared" si="196"/>
        <v>2213.6825368368482</v>
      </c>
      <c r="EC98" s="92"/>
      <c r="ED98" s="92"/>
      <c r="EE98" s="92"/>
      <c r="EF98" s="92"/>
      <c r="EG98" s="92"/>
      <c r="EH98" s="92"/>
      <c r="EI98" s="92"/>
      <c r="EJ98" s="92"/>
      <c r="EK98" s="92"/>
      <c r="EL98" s="92"/>
      <c r="EM98" s="92"/>
      <c r="EN98" s="92"/>
      <c r="EO98" s="92"/>
      <c r="EP98" s="92"/>
      <c r="EQ98" s="92"/>
      <c r="ER98" s="92"/>
      <c r="ES98" s="92"/>
      <c r="ET98" s="92"/>
      <c r="EU98" s="92"/>
      <c r="EV98" s="92"/>
      <c r="EW98" s="92"/>
      <c r="EX98" s="92"/>
      <c r="EY98" s="92"/>
      <c r="EZ98" s="92"/>
      <c r="FA98" s="92"/>
      <c r="FB98" s="92"/>
      <c r="FC98" s="92"/>
      <c r="FD98" s="92"/>
      <c r="FE98" s="92"/>
      <c r="FF98" s="92"/>
      <c r="FG98" s="92"/>
      <c r="FH98" s="92"/>
      <c r="FI98" s="92"/>
      <c r="FJ98" s="92"/>
      <c r="FK98" s="92"/>
      <c r="FL98" s="92"/>
      <c r="FM98" s="92"/>
      <c r="FN98" s="92"/>
      <c r="FO98" s="92"/>
      <c r="FP98" s="92"/>
      <c r="FQ98" s="92"/>
      <c r="FR98" s="92"/>
      <c r="FS98" s="92"/>
      <c r="FT98" s="92"/>
      <c r="FU98" s="92"/>
      <c r="FV98" s="92"/>
      <c r="FW98" s="92"/>
      <c r="FX98" s="92"/>
      <c r="FY98" s="92"/>
      <c r="FZ98" s="92"/>
      <c r="GA98" s="92"/>
      <c r="GB98" s="92"/>
      <c r="GC98" s="92"/>
      <c r="GD98" s="92"/>
    </row>
    <row r="99" spans="2:242" s="83" customFormat="1" ht="12.75" customHeight="1">
      <c r="B99" s="100" t="s">
        <v>72</v>
      </c>
      <c r="C99" s="93">
        <f t="shared" ref="C99:N99" si="197">C91-C98</f>
        <v>2279.5</v>
      </c>
      <c r="D99" s="93">
        <f t="shared" si="197"/>
        <v>2477.5</v>
      </c>
      <c r="E99" s="93">
        <f t="shared" si="197"/>
        <v>2653.89</v>
      </c>
      <c r="F99" s="93">
        <f t="shared" si="197"/>
        <v>2537</v>
      </c>
      <c r="G99" s="93">
        <f t="shared" si="197"/>
        <v>-2589.4</v>
      </c>
      <c r="H99" s="93">
        <f t="shared" si="197"/>
        <v>-2807.7999999999997</v>
      </c>
      <c r="I99" s="93">
        <f t="shared" si="197"/>
        <v>-2915.8</v>
      </c>
      <c r="J99" s="93">
        <f t="shared" si="197"/>
        <v>-3479.2000000000007</v>
      </c>
      <c r="K99" s="93">
        <f t="shared" si="197"/>
        <v>-3355.2999999999997</v>
      </c>
      <c r="L99" s="93">
        <f t="shared" si="197"/>
        <v>-3055.6000000000004</v>
      </c>
      <c r="M99" s="93">
        <f t="shared" si="197"/>
        <v>-3152.8</v>
      </c>
      <c r="N99" s="93">
        <f t="shared" si="197"/>
        <v>-3866.2</v>
      </c>
      <c r="O99" s="93" t="e">
        <f t="shared" ref="O99:X99" si="198">O91+O98</f>
        <v>#REF!</v>
      </c>
      <c r="P99" s="93" t="e">
        <f t="shared" si="198"/>
        <v>#REF!</v>
      </c>
      <c r="Q99" s="93">
        <f t="shared" si="198"/>
        <v>-2321.2999999999997</v>
      </c>
      <c r="R99" s="93">
        <f t="shared" si="198"/>
        <v>-2476.2000000000003</v>
      </c>
      <c r="S99" s="93">
        <f t="shared" si="198"/>
        <v>-2170.1</v>
      </c>
      <c r="T99" s="93">
        <f t="shared" si="198"/>
        <v>-2382</v>
      </c>
      <c r="U99" s="93">
        <f t="shared" si="198"/>
        <v>-2099</v>
      </c>
      <c r="V99" s="93">
        <f t="shared" si="198"/>
        <v>-2224.1</v>
      </c>
      <c r="W99" s="93">
        <f t="shared" si="198"/>
        <v>-1998</v>
      </c>
      <c r="X99" s="93">
        <f t="shared" si="198"/>
        <v>-1929.2999999999997</v>
      </c>
      <c r="Y99" s="93">
        <f t="shared" ref="Y99:AJ99" si="199">Y98+Y91</f>
        <v>-2586.3000000000002</v>
      </c>
      <c r="Z99" s="93">
        <f t="shared" si="199"/>
        <v>-2818.2</v>
      </c>
      <c r="AA99" s="93">
        <f t="shared" si="199"/>
        <v>-1923.4</v>
      </c>
      <c r="AB99" s="93">
        <f t="shared" si="199"/>
        <v>-2271.1</v>
      </c>
      <c r="AC99" s="93">
        <f t="shared" si="199"/>
        <v>-2117.4</v>
      </c>
      <c r="AD99" s="93"/>
      <c r="AE99" s="93">
        <f>AE98+AE91</f>
        <v>-2240.6</v>
      </c>
      <c r="AF99" s="93">
        <f>AF98+AF91</f>
        <v>-2494.6</v>
      </c>
      <c r="AG99" s="93">
        <f>AG98+AG91</f>
        <v>-2173.9999999999995</v>
      </c>
      <c r="AH99" s="93">
        <f t="shared" si="199"/>
        <v>-2501.8999999999996</v>
      </c>
      <c r="AI99" s="93">
        <f t="shared" si="199"/>
        <v>-2097.1000000000004</v>
      </c>
      <c r="AJ99" s="93">
        <f t="shared" si="199"/>
        <v>-2314.3000000000002</v>
      </c>
      <c r="AK99" s="93">
        <f t="shared" ref="AK99:AQ99" si="200">AK98+AK91</f>
        <v>-2291.3000000000002</v>
      </c>
      <c r="AL99" s="93">
        <f t="shared" si="200"/>
        <v>3658.8000000000011</v>
      </c>
      <c r="AM99" s="93">
        <f t="shared" si="200"/>
        <v>3427.8999999999992</v>
      </c>
      <c r="AN99" s="93">
        <f t="shared" si="200"/>
        <v>-5245</v>
      </c>
      <c r="AO99" s="93">
        <f t="shared" si="200"/>
        <v>-4889.6999999999989</v>
      </c>
      <c r="AP99" s="93">
        <f t="shared" si="200"/>
        <v>-5721</v>
      </c>
      <c r="AQ99" s="93">
        <f t="shared" si="200"/>
        <v>-5012</v>
      </c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>
        <f t="shared" ref="CC99:CJ99" si="201">+CC91+CC93</f>
        <v>4073</v>
      </c>
      <c r="CD99" s="93">
        <f t="shared" si="201"/>
        <v>4513</v>
      </c>
      <c r="CE99" s="93">
        <f t="shared" si="201"/>
        <v>3445</v>
      </c>
      <c r="CF99" s="93">
        <f t="shared" si="201"/>
        <v>2127</v>
      </c>
      <c r="CG99" s="93">
        <f t="shared" si="201"/>
        <v>5108</v>
      </c>
      <c r="CH99" s="93">
        <f t="shared" si="201"/>
        <v>4784</v>
      </c>
      <c r="CI99" s="93">
        <f t="shared" si="201"/>
        <v>6309</v>
      </c>
      <c r="CJ99" s="93">
        <f t="shared" si="201"/>
        <v>5509</v>
      </c>
      <c r="CK99" s="93">
        <f t="shared" ref="CK99:CP99" si="202">+CK91+CK93</f>
        <v>5452</v>
      </c>
      <c r="CL99" s="93">
        <f t="shared" si="202"/>
        <v>4892</v>
      </c>
      <c r="CM99" s="93">
        <f t="shared" si="202"/>
        <v>4481</v>
      </c>
      <c r="CN99" s="93">
        <f t="shared" si="202"/>
        <v>5837.8099999999995</v>
      </c>
      <c r="CO99" s="93">
        <f t="shared" si="202"/>
        <v>5746.7156249999989</v>
      </c>
      <c r="CP99" s="93">
        <f t="shared" si="202"/>
        <v>5039.9751562499996</v>
      </c>
      <c r="CQ99" s="93"/>
      <c r="CR99" s="93"/>
      <c r="CS99" s="75"/>
      <c r="CT99" s="93">
        <f t="shared" ref="CT99:DB99" si="203">CT98+CT91</f>
        <v>8886.3100000000013</v>
      </c>
      <c r="CU99" s="93">
        <f t="shared" si="203"/>
        <v>-9553.3999999999978</v>
      </c>
      <c r="CV99" s="93">
        <f t="shared" si="203"/>
        <v>-10764.9</v>
      </c>
      <c r="CW99" s="93">
        <f t="shared" si="203"/>
        <v>-9379.4</v>
      </c>
      <c r="CX99" s="93">
        <f t="shared" si="203"/>
        <v>-8875.1999999999989</v>
      </c>
      <c r="CY99" s="93">
        <f t="shared" si="203"/>
        <v>-9331.8000000000011</v>
      </c>
      <c r="CZ99" s="93">
        <f t="shared" si="203"/>
        <v>-6311.9</v>
      </c>
      <c r="DA99" s="93">
        <f t="shared" si="203"/>
        <v>-10157.9</v>
      </c>
      <c r="DB99" s="93">
        <f t="shared" si="203"/>
        <v>-13863.599999999999</v>
      </c>
      <c r="DC99" s="93">
        <f>DC98+DC91</f>
        <v>-21039.100000000002</v>
      </c>
      <c r="DD99" s="93">
        <f>DD98+DD91</f>
        <v>14640.092000000004</v>
      </c>
      <c r="DE99" s="93">
        <f>DE98+DE91</f>
        <v>-12959.449310000002</v>
      </c>
      <c r="DF99" s="93">
        <f t="shared" ref="DF99:DL99" si="204">DF98+DF91</f>
        <v>-12034.099179825002</v>
      </c>
      <c r="DG99" s="93">
        <f t="shared" si="204"/>
        <v>-11403.990000000002</v>
      </c>
      <c r="DH99" s="93">
        <f t="shared" si="204"/>
        <v>-10664.460000000001</v>
      </c>
      <c r="DI99" s="93">
        <f t="shared" si="204"/>
        <v>-10747.890000000001</v>
      </c>
      <c r="DJ99" s="93">
        <f t="shared" si="204"/>
        <v>-10832.94</v>
      </c>
      <c r="DK99" s="93">
        <f t="shared" si="204"/>
        <v>-11419.380000000001</v>
      </c>
      <c r="DL99" s="93">
        <f t="shared" si="204"/>
        <v>-12647.070000000002</v>
      </c>
      <c r="DM99" s="93">
        <f t="shared" ref="DM99:DP99" si="205">DM98+DM91</f>
        <v>-12647.070000000002</v>
      </c>
      <c r="DN99" s="93">
        <f>DN98+DN91</f>
        <v>16398</v>
      </c>
      <c r="DO99" s="93">
        <f>DO98+DO91</f>
        <v>22882</v>
      </c>
      <c r="DP99" s="93">
        <f t="shared" si="205"/>
        <v>21023.594531250012</v>
      </c>
      <c r="DQ99" s="93">
        <f>DQ98+DQ91</f>
        <v>36151.094426640637</v>
      </c>
      <c r="DR99" s="93">
        <f t="shared" ref="DR99:EB99" si="206">DR98+DR91</f>
        <v>35773.844302840429</v>
      </c>
      <c r="DS99" s="93">
        <f t="shared" si="206"/>
        <v>34488.059935711739</v>
      </c>
      <c r="DT99" s="93">
        <f t="shared" si="206"/>
        <v>30182.155410421754</v>
      </c>
      <c r="DU99" s="93">
        <f t="shared" si="206"/>
        <v>30100.928216382366</v>
      </c>
      <c r="DV99" s="93">
        <f t="shared" si="206"/>
        <v>28659.816145613513</v>
      </c>
      <c r="DW99" s="93">
        <f t="shared" si="206"/>
        <v>26152.997266134174</v>
      </c>
      <c r="DX99" s="93">
        <f t="shared" si="206"/>
        <v>23164.179449161089</v>
      </c>
      <c r="DY99" s="93">
        <f t="shared" si="206"/>
        <v>20401.317793498893</v>
      </c>
      <c r="DZ99" s="93">
        <f t="shared" si="206"/>
        <v>18818.556653785694</v>
      </c>
      <c r="EA99" s="93">
        <f t="shared" si="206"/>
        <v>17848.95442597273</v>
      </c>
      <c r="EB99" s="93">
        <f t="shared" si="206"/>
        <v>17361.145320082745</v>
      </c>
      <c r="EC99" s="92"/>
      <c r="ED99" s="92"/>
      <c r="EE99" s="92"/>
      <c r="EF99" s="92"/>
      <c r="EG99" s="92"/>
      <c r="EH99" s="92"/>
      <c r="EI99" s="92"/>
      <c r="EJ99" s="92"/>
      <c r="EK99" s="92"/>
      <c r="EL99" s="92"/>
      <c r="EM99" s="92"/>
      <c r="EN99" s="92"/>
      <c r="EO99" s="92"/>
      <c r="EP99" s="92"/>
      <c r="EQ99" s="92"/>
      <c r="ER99" s="92"/>
      <c r="ES99" s="92"/>
      <c r="ET99" s="92"/>
      <c r="EU99" s="92"/>
      <c r="EV99" s="92"/>
      <c r="EW99" s="92"/>
      <c r="EX99" s="92"/>
      <c r="EY99" s="92"/>
      <c r="EZ99" s="92"/>
      <c r="FA99" s="92"/>
      <c r="FB99" s="92"/>
      <c r="FC99" s="92"/>
      <c r="FD99" s="92"/>
      <c r="FE99" s="92"/>
      <c r="FF99" s="92"/>
      <c r="FG99" s="92"/>
      <c r="FH99" s="92"/>
      <c r="FI99" s="92"/>
      <c r="FJ99" s="92"/>
      <c r="FK99" s="92"/>
      <c r="FL99" s="92"/>
      <c r="FM99" s="92"/>
      <c r="FN99" s="92"/>
      <c r="FO99" s="92"/>
      <c r="FP99" s="92"/>
      <c r="FQ99" s="92"/>
      <c r="FR99" s="92"/>
      <c r="FS99" s="92"/>
      <c r="FT99" s="92"/>
      <c r="FU99" s="92"/>
      <c r="FV99" s="92"/>
      <c r="FW99" s="92"/>
      <c r="FX99" s="92"/>
      <c r="FY99" s="92"/>
      <c r="FZ99" s="92"/>
      <c r="GA99" s="92"/>
      <c r="GB99" s="92"/>
      <c r="GC99" s="92"/>
      <c r="GD99" s="92"/>
    </row>
    <row r="100" spans="2:242" s="83" customFormat="1" ht="12.75" customHeight="1">
      <c r="B100" s="100" t="s">
        <v>473</v>
      </c>
      <c r="C100" s="93">
        <v>663.3</v>
      </c>
      <c r="D100" s="93">
        <v>721</v>
      </c>
      <c r="E100" s="93">
        <v>772.3</v>
      </c>
      <c r="F100" s="93">
        <f>783.3-45</f>
        <v>738.3</v>
      </c>
      <c r="G100" s="93">
        <v>655.1</v>
      </c>
      <c r="H100" s="93">
        <v>696.1</v>
      </c>
      <c r="I100" s="93">
        <v>743</v>
      </c>
      <c r="J100" s="93">
        <v>763.3</v>
      </c>
      <c r="K100" s="94">
        <v>671.2</v>
      </c>
      <c r="L100" s="94">
        <v>685.3</v>
      </c>
      <c r="M100" s="94">
        <v>739.8</v>
      </c>
      <c r="N100" s="94">
        <v>365.7</v>
      </c>
      <c r="O100" s="94">
        <v>724.3</v>
      </c>
      <c r="P100" s="94">
        <v>670.7</v>
      </c>
      <c r="Q100" s="94">
        <v>487.4</v>
      </c>
      <c r="R100" s="94">
        <v>278.7</v>
      </c>
      <c r="S100" s="94">
        <v>550.6</v>
      </c>
      <c r="T100" s="94">
        <f>1204-640</f>
        <v>564</v>
      </c>
      <c r="U100" s="94">
        <v>577.5</v>
      </c>
      <c r="V100" s="94">
        <v>400.3</v>
      </c>
      <c r="W100" s="94">
        <v>450.4</v>
      </c>
      <c r="X100" s="94">
        <v>609</v>
      </c>
      <c r="Y100" s="94">
        <v>290.2</v>
      </c>
      <c r="Z100" s="94">
        <v>438</v>
      </c>
      <c r="AA100" s="94">
        <v>550.1</v>
      </c>
      <c r="AB100" s="93">
        <v>555.79999999999995</v>
      </c>
      <c r="AC100" s="93">
        <v>539.1</v>
      </c>
      <c r="AD100" s="93"/>
      <c r="AE100" s="93">
        <f>AE99*0.25</f>
        <v>-560.15</v>
      </c>
      <c r="AF100" s="93">
        <v>290.2</v>
      </c>
      <c r="AG100" s="93">
        <v>318.2</v>
      </c>
      <c r="AH100" s="93">
        <f>282.6+30</f>
        <v>312.60000000000002</v>
      </c>
      <c r="AI100" s="93">
        <f>327.2+30.8</f>
        <v>358</v>
      </c>
      <c r="AJ100" s="93">
        <f>379+32+80</f>
        <v>491</v>
      </c>
      <c r="AK100" s="93">
        <f>+AK99*0.319</f>
        <v>-730.92470000000003</v>
      </c>
      <c r="AL100" s="93">
        <f>398.4+29.1+2.1</f>
        <v>429.6</v>
      </c>
      <c r="AM100" s="93">
        <f>788.3+31.4</f>
        <v>819.69999999999993</v>
      </c>
      <c r="AN100" s="93">
        <f>703.3+27.8</f>
        <v>731.09999999999991</v>
      </c>
      <c r="AO100" s="93">
        <f>764.3+30.1</f>
        <v>794.4</v>
      </c>
      <c r="AP100" s="93">
        <f>457+31</f>
        <v>488</v>
      </c>
      <c r="AQ100" s="93">
        <v>989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>
        <v>585</v>
      </c>
      <c r="CD100" s="93">
        <v>452</v>
      </c>
      <c r="CE100" s="93">
        <v>494</v>
      </c>
      <c r="CF100" s="93">
        <v>567</v>
      </c>
      <c r="CG100" s="93">
        <v>665</v>
      </c>
      <c r="CH100" s="93">
        <v>205</v>
      </c>
      <c r="CI100" s="93">
        <v>883</v>
      </c>
      <c r="CJ100" s="93">
        <v>761</v>
      </c>
      <c r="CK100" s="93">
        <f>744+5</f>
        <v>749</v>
      </c>
      <c r="CL100" s="93">
        <v>762</v>
      </c>
      <c r="CM100" s="93">
        <v>913</v>
      </c>
      <c r="CN100" s="93">
        <f t="shared" ref="CN100:CP100" si="207">+CN99*0.15</f>
        <v>875.67149999999992</v>
      </c>
      <c r="CO100" s="93">
        <f t="shared" si="207"/>
        <v>862.00734374999979</v>
      </c>
      <c r="CP100" s="93">
        <f t="shared" si="207"/>
        <v>755.99627343749989</v>
      </c>
      <c r="CQ100" s="93"/>
      <c r="CR100" s="93"/>
      <c r="CS100" s="75"/>
      <c r="CT100" s="93">
        <f>SUM(C100:F100)</f>
        <v>2894.8999999999996</v>
      </c>
      <c r="CU100" s="93">
        <f>SUM(G100:J100)-0.6</f>
        <v>2856.9</v>
      </c>
      <c r="CV100" s="93">
        <f>SUM(K100:N100)</f>
        <v>2462</v>
      </c>
      <c r="CW100" s="93">
        <f>SUM(O100:R100)</f>
        <v>2161.1</v>
      </c>
      <c r="CX100" s="93">
        <f>SUM(S100:V100)</f>
        <v>2092.4</v>
      </c>
      <c r="CY100" s="93">
        <f>SUM(W100:Z100)</f>
        <v>1787.6000000000001</v>
      </c>
      <c r="CZ100" s="93">
        <f>SUM(AA100:AD100)</f>
        <v>1645</v>
      </c>
      <c r="DA100" s="93">
        <f t="shared" ref="DA100:DL100" si="208">DA99*0.25</f>
        <v>-2539.4749999999999</v>
      </c>
      <c r="DB100" s="93">
        <f t="shared" si="208"/>
        <v>-3465.8999999999996</v>
      </c>
      <c r="DC100" s="93">
        <f>SUM(AM100:AP100)</f>
        <v>2833.2</v>
      </c>
      <c r="DD100" s="93">
        <f>DD99*0.25</f>
        <v>3660.023000000001</v>
      </c>
      <c r="DE100" s="93">
        <f t="shared" si="208"/>
        <v>-3239.8623275000004</v>
      </c>
      <c r="DF100" s="93">
        <f t="shared" si="208"/>
        <v>-3008.5247949562504</v>
      </c>
      <c r="DG100" s="93">
        <f t="shared" si="208"/>
        <v>-2850.9975000000004</v>
      </c>
      <c r="DH100" s="93">
        <f t="shared" si="208"/>
        <v>-2666.1150000000002</v>
      </c>
      <c r="DI100" s="93">
        <f t="shared" si="208"/>
        <v>-2686.9725000000003</v>
      </c>
      <c r="DJ100" s="93">
        <f t="shared" si="208"/>
        <v>-2708.2350000000001</v>
      </c>
      <c r="DK100" s="93">
        <f t="shared" si="208"/>
        <v>-2854.8450000000003</v>
      </c>
      <c r="DL100" s="93">
        <f t="shared" si="208"/>
        <v>-3161.7675000000004</v>
      </c>
      <c r="DM100" s="93">
        <f t="shared" ref="DM100:DS100" si="209">DM99*0.25</f>
        <v>-3161.7675000000004</v>
      </c>
      <c r="DN100" s="94">
        <f t="shared" ref="DN100" si="210">SUM(CE100:CH100)</f>
        <v>1931</v>
      </c>
      <c r="DO100" s="94">
        <f>SUM(CI100:CL100)</f>
        <v>3155</v>
      </c>
      <c r="DP100" s="94">
        <f t="shared" ref="DP100" si="211">SUM(CM100:CP100)</f>
        <v>3406.6751171874998</v>
      </c>
      <c r="DQ100" s="93">
        <f t="shared" si="209"/>
        <v>9037.7736066601592</v>
      </c>
      <c r="DR100" s="93">
        <f t="shared" si="209"/>
        <v>8943.4610757101073</v>
      </c>
      <c r="DS100" s="93">
        <f t="shared" si="209"/>
        <v>8622.0149839279347</v>
      </c>
      <c r="DT100" s="93">
        <f t="shared" ref="DT100:EA100" si="212">DT99*0.25</f>
        <v>7545.5388526054385</v>
      </c>
      <c r="DU100" s="93">
        <f t="shared" si="212"/>
        <v>7525.2320540955916</v>
      </c>
      <c r="DV100" s="93">
        <f t="shared" si="212"/>
        <v>7164.9540364033783</v>
      </c>
      <c r="DW100" s="93">
        <f t="shared" si="212"/>
        <v>6538.2493165335436</v>
      </c>
      <c r="DX100" s="93">
        <f t="shared" si="212"/>
        <v>5791.0448622902722</v>
      </c>
      <c r="DY100" s="93">
        <f t="shared" si="212"/>
        <v>5100.3294483747231</v>
      </c>
      <c r="DZ100" s="93">
        <f t="shared" si="212"/>
        <v>4704.6391634464235</v>
      </c>
      <c r="EA100" s="93">
        <f t="shared" si="212"/>
        <v>4462.2386064931825</v>
      </c>
      <c r="EB100" s="93">
        <f>EB99*0.25</f>
        <v>4340.2863300206864</v>
      </c>
      <c r="EC100" s="92"/>
      <c r="ED100" s="92"/>
      <c r="EE100" s="92"/>
      <c r="EF100" s="92"/>
      <c r="EG100" s="92"/>
      <c r="EH100" s="92"/>
      <c r="EI100" s="92"/>
      <c r="EJ100" s="92"/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</row>
    <row r="101" spans="2:242" s="83" customFormat="1" ht="12.75" customHeight="1">
      <c r="B101" s="100" t="s">
        <v>73</v>
      </c>
      <c r="C101" s="93">
        <f t="shared" ref="C101:W101" si="213">C99-C100</f>
        <v>1616.2</v>
      </c>
      <c r="D101" s="93">
        <f t="shared" si="213"/>
        <v>1756.5</v>
      </c>
      <c r="E101" s="93">
        <f t="shared" si="213"/>
        <v>1881.59</v>
      </c>
      <c r="F101" s="93">
        <f t="shared" si="213"/>
        <v>1798.7</v>
      </c>
      <c r="G101" s="93">
        <f t="shared" si="213"/>
        <v>-3244.5</v>
      </c>
      <c r="H101" s="93">
        <f t="shared" si="213"/>
        <v>-3503.8999999999996</v>
      </c>
      <c r="I101" s="93">
        <f t="shared" si="213"/>
        <v>-3658.8</v>
      </c>
      <c r="J101" s="93">
        <f t="shared" si="213"/>
        <v>-4242.5000000000009</v>
      </c>
      <c r="K101" s="93">
        <f t="shared" si="213"/>
        <v>-4026.5</v>
      </c>
      <c r="L101" s="93">
        <f t="shared" si="213"/>
        <v>-3740.9000000000005</v>
      </c>
      <c r="M101" s="93">
        <f t="shared" si="213"/>
        <v>-3892.6000000000004</v>
      </c>
      <c r="N101" s="93">
        <f t="shared" si="213"/>
        <v>-4231.8999999999996</v>
      </c>
      <c r="O101" s="93" t="e">
        <f t="shared" si="213"/>
        <v>#REF!</v>
      </c>
      <c r="P101" s="93" t="e">
        <f>P99-P100</f>
        <v>#REF!</v>
      </c>
      <c r="Q101" s="93">
        <f t="shared" si="213"/>
        <v>-2808.7</v>
      </c>
      <c r="R101" s="93">
        <f t="shared" si="213"/>
        <v>-2754.9</v>
      </c>
      <c r="S101" s="93">
        <f t="shared" si="213"/>
        <v>-2720.7</v>
      </c>
      <c r="T101" s="93">
        <f t="shared" si="213"/>
        <v>-2946</v>
      </c>
      <c r="U101" s="93">
        <f t="shared" si="213"/>
        <v>-2676.5</v>
      </c>
      <c r="V101" s="93">
        <f>V99-V100</f>
        <v>-2624.4</v>
      </c>
      <c r="W101" s="93">
        <f t="shared" si="213"/>
        <v>-2448.4</v>
      </c>
      <c r="X101" s="93">
        <f>X99-X100</f>
        <v>-2538.2999999999997</v>
      </c>
      <c r="Y101" s="93">
        <f t="shared" ref="Y101:AH101" si="214">Y99-Y100</f>
        <v>-2876.5</v>
      </c>
      <c r="Z101" s="93">
        <f t="shared" si="214"/>
        <v>-3256.2</v>
      </c>
      <c r="AA101" s="93">
        <f t="shared" si="214"/>
        <v>-2473.5</v>
      </c>
      <c r="AB101" s="93">
        <f t="shared" si="214"/>
        <v>-2826.8999999999996</v>
      </c>
      <c r="AC101" s="93">
        <f t="shared" si="214"/>
        <v>-2656.5</v>
      </c>
      <c r="AD101" s="93"/>
      <c r="AE101" s="93">
        <f t="shared" si="214"/>
        <v>-1680.4499999999998</v>
      </c>
      <c r="AF101" s="93">
        <f t="shared" si="214"/>
        <v>-2784.7999999999997</v>
      </c>
      <c r="AG101" s="93">
        <f>AG99-AG100</f>
        <v>-2492.1999999999994</v>
      </c>
      <c r="AH101" s="93">
        <f t="shared" si="214"/>
        <v>-2814.4999999999995</v>
      </c>
      <c r="AI101" s="93">
        <f t="shared" ref="AI101:AP101" si="215">AI99-AI100</f>
        <v>-2455.1000000000004</v>
      </c>
      <c r="AJ101" s="93">
        <f t="shared" si="215"/>
        <v>-2805.3</v>
      </c>
      <c r="AK101" s="93">
        <f t="shared" si="215"/>
        <v>-1560.3753000000002</v>
      </c>
      <c r="AL101" s="93">
        <f t="shared" si="215"/>
        <v>3229.2000000000012</v>
      </c>
      <c r="AM101" s="93">
        <f t="shared" si="215"/>
        <v>2608.1999999999994</v>
      </c>
      <c r="AN101" s="93">
        <f t="shared" si="215"/>
        <v>-5976.1</v>
      </c>
      <c r="AO101" s="93">
        <f t="shared" si="215"/>
        <v>-5684.0999999999985</v>
      </c>
      <c r="AP101" s="93">
        <f t="shared" si="215"/>
        <v>-6209</v>
      </c>
      <c r="AQ101" s="93">
        <f>AQ99-AQ100</f>
        <v>-6001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216">+CC99-CC100</f>
        <v>3488</v>
      </c>
      <c r="CD101" s="93">
        <f t="shared" si="216"/>
        <v>4061</v>
      </c>
      <c r="CE101" s="93">
        <f t="shared" si="216"/>
        <v>2951</v>
      </c>
      <c r="CF101" s="93">
        <f t="shared" si="216"/>
        <v>1560</v>
      </c>
      <c r="CG101" s="93">
        <f t="shared" si="216"/>
        <v>4443</v>
      </c>
      <c r="CH101" s="93">
        <f t="shared" si="216"/>
        <v>4579</v>
      </c>
      <c r="CI101" s="93">
        <f t="shared" si="216"/>
        <v>5426</v>
      </c>
      <c r="CJ101" s="93">
        <f t="shared" si="216"/>
        <v>4748</v>
      </c>
      <c r="CK101" s="93">
        <f t="shared" ref="CK101:CP101" si="217">+CK99-CK100</f>
        <v>4703</v>
      </c>
      <c r="CL101" s="93">
        <f t="shared" si="217"/>
        <v>4130</v>
      </c>
      <c r="CM101" s="93">
        <f t="shared" si="217"/>
        <v>3568</v>
      </c>
      <c r="CN101" s="93">
        <f t="shared" si="217"/>
        <v>4962.1384999999991</v>
      </c>
      <c r="CO101" s="93">
        <f t="shared" si="217"/>
        <v>4884.7082812499993</v>
      </c>
      <c r="CP101" s="93">
        <f t="shared" si="217"/>
        <v>4283.9788828125002</v>
      </c>
      <c r="CQ101" s="93"/>
      <c r="CR101" s="93"/>
      <c r="CS101" s="75"/>
      <c r="CT101" s="94">
        <f t="shared" ref="CT101:DB101" si="218">CT99-CT100</f>
        <v>5991.4100000000017</v>
      </c>
      <c r="CU101" s="94">
        <f t="shared" si="218"/>
        <v>-12410.299999999997</v>
      </c>
      <c r="CV101" s="94">
        <f t="shared" si="218"/>
        <v>-13226.9</v>
      </c>
      <c r="CW101" s="94">
        <f t="shared" si="218"/>
        <v>-11540.5</v>
      </c>
      <c r="CX101" s="94">
        <f t="shared" si="218"/>
        <v>-10967.599999999999</v>
      </c>
      <c r="CY101" s="94">
        <f t="shared" si="218"/>
        <v>-11119.400000000001</v>
      </c>
      <c r="CZ101" s="94">
        <f t="shared" si="218"/>
        <v>-7956.9</v>
      </c>
      <c r="DA101" s="94">
        <f t="shared" si="218"/>
        <v>-7618.4249999999993</v>
      </c>
      <c r="DB101" s="94">
        <f t="shared" si="218"/>
        <v>-10397.699999999999</v>
      </c>
      <c r="DC101" s="94">
        <f>DC99-DC100</f>
        <v>-23872.300000000003</v>
      </c>
      <c r="DD101" s="94">
        <f>DD99-DD100</f>
        <v>10980.069000000003</v>
      </c>
      <c r="DE101" s="94">
        <f t="shared" ref="DE101:DL101" si="219">DE99-DE100</f>
        <v>-9719.5869825000009</v>
      </c>
      <c r="DF101" s="94">
        <f t="shared" si="219"/>
        <v>-9025.5743848687507</v>
      </c>
      <c r="DG101" s="94">
        <f t="shared" si="219"/>
        <v>-8552.9925000000003</v>
      </c>
      <c r="DH101" s="94">
        <f t="shared" si="219"/>
        <v>-7998.3450000000012</v>
      </c>
      <c r="DI101" s="94">
        <f t="shared" si="219"/>
        <v>-8060.9175000000014</v>
      </c>
      <c r="DJ101" s="94">
        <f t="shared" si="219"/>
        <v>-8124.7049999999999</v>
      </c>
      <c r="DK101" s="94">
        <f t="shared" si="219"/>
        <v>-8564.5349999999999</v>
      </c>
      <c r="DL101" s="94">
        <f t="shared" si="219"/>
        <v>-9485.3025000000016</v>
      </c>
      <c r="DM101" s="94">
        <f t="shared" ref="DM101:DS101" si="220">DM99-DM100</f>
        <v>-9485.3025000000016</v>
      </c>
      <c r="DN101" s="94">
        <f>DN99-DN100</f>
        <v>14467</v>
      </c>
      <c r="DO101" s="94">
        <f>DO99-DO100</f>
        <v>19727</v>
      </c>
      <c r="DP101" s="94">
        <f>DP99-DP100</f>
        <v>17616.919414062511</v>
      </c>
      <c r="DQ101" s="94">
        <f t="shared" si="220"/>
        <v>27113.320819980479</v>
      </c>
      <c r="DR101" s="94">
        <f t="shared" si="220"/>
        <v>26830.383227130322</v>
      </c>
      <c r="DS101" s="94">
        <f t="shared" si="220"/>
        <v>25866.044951783806</v>
      </c>
      <c r="DT101" s="94">
        <f t="shared" ref="DT101:EB101" si="221">DT99-DT100</f>
        <v>22636.616557816316</v>
      </c>
      <c r="DU101" s="94">
        <f t="shared" si="221"/>
        <v>22575.696162286775</v>
      </c>
      <c r="DV101" s="94">
        <f t="shared" si="221"/>
        <v>21494.862109210135</v>
      </c>
      <c r="DW101" s="94">
        <f t="shared" si="221"/>
        <v>19614.747949600631</v>
      </c>
      <c r="DX101" s="94">
        <f t="shared" si="221"/>
        <v>17373.134586870816</v>
      </c>
      <c r="DY101" s="94">
        <f t="shared" si="221"/>
        <v>15300.988345124169</v>
      </c>
      <c r="DZ101" s="94">
        <f t="shared" si="221"/>
        <v>14113.91749033927</v>
      </c>
      <c r="EA101" s="94">
        <f t="shared" si="221"/>
        <v>13386.715819479548</v>
      </c>
      <c r="EB101" s="94">
        <f t="shared" si="221"/>
        <v>13020.858990062059</v>
      </c>
      <c r="EC101" s="97">
        <f>EB101*(1+$EE$106)</f>
        <v>12890.650400161438</v>
      </c>
      <c r="ED101" s="97">
        <f>EC101*(1+$EE$106)</f>
        <v>12761.743896159824</v>
      </c>
      <c r="EE101" s="97">
        <f>ED101*(1+$EE$106)</f>
        <v>12634.126457198225</v>
      </c>
      <c r="EF101" s="97">
        <f>EE101*(1+$EE$106)</f>
        <v>12507.785192626243</v>
      </c>
      <c r="EG101" s="97">
        <f>EF101*(1+$EE$106)</f>
        <v>12382.707340699981</v>
      </c>
      <c r="EH101" s="97">
        <f>EG101*(1+$EE$106)</f>
        <v>12258.880267292981</v>
      </c>
      <c r="EI101" s="97">
        <f>EH101*(1+$EE$106)</f>
        <v>12136.291464620052</v>
      </c>
      <c r="EJ101" s="97">
        <f>EI101*(1+$EE$106)</f>
        <v>12014.928549973851</v>
      </c>
      <c r="EK101" s="97">
        <f>EJ101*(1+$EE$106)</f>
        <v>11894.779264474113</v>
      </c>
      <c r="EL101" s="97">
        <f>EK101*(1+$EE$106)</f>
        <v>11775.831471829371</v>
      </c>
      <c r="EM101" s="97">
        <f>EL101*(1+$EE$106)</f>
        <v>11658.073157111077</v>
      </c>
      <c r="EN101" s="97">
        <f>EM101*(1+$EE$106)</f>
        <v>11541.492425539966</v>
      </c>
      <c r="EO101" s="97">
        <f>EN101*(1+$EE$106)</f>
        <v>11426.077501284566</v>
      </c>
      <c r="EP101" s="97">
        <f>EO101*(1+$EE$106)</f>
        <v>11311.81672627172</v>
      </c>
      <c r="EQ101" s="97">
        <f>EP101*(1+$EE$106)</f>
        <v>11198.698559009003</v>
      </c>
      <c r="ER101" s="97">
        <f>EQ101*(1+$EE$106)</f>
        <v>11086.711573418912</v>
      </c>
      <c r="ES101" s="97">
        <f>ER101*(1+$EE$106)</f>
        <v>10975.844457684723</v>
      </c>
      <c r="ET101" s="97">
        <f>ES101*(1+$EE$106)</f>
        <v>10866.086013107875</v>
      </c>
      <c r="EU101" s="97">
        <f>ET101*(1+$EE$106)</f>
        <v>10757.425152976797</v>
      </c>
      <c r="EV101" s="97">
        <f>EU101*(1+$EE$106)</f>
        <v>10649.850901447029</v>
      </c>
      <c r="EW101" s="97">
        <f>EV101*(1+$EE$106)</f>
        <v>10543.352392432558</v>
      </c>
      <c r="EX101" s="97">
        <f>EW101*(1+$EE$106)</f>
        <v>10437.918868508232</v>
      </c>
      <c r="EY101" s="97">
        <f>EX101*(1+$EE$106)</f>
        <v>10333.539679823149</v>
      </c>
      <c r="EZ101" s="97">
        <f>EY101*(1+$EE$106)</f>
        <v>10230.204283024917</v>
      </c>
      <c r="FA101" s="97">
        <f>EZ101*(1+$EE$106)</f>
        <v>10127.902240194668</v>
      </c>
      <c r="FB101" s="97">
        <f>FA101*(1+$EE$106)</f>
        <v>10026.623217792721</v>
      </c>
      <c r="FC101" s="97">
        <f>FB101*(1+$EE$106)</f>
        <v>9926.3569856147933</v>
      </c>
      <c r="FD101" s="97">
        <f>FC101*(1+$EE$106)</f>
        <v>9827.0934157586453</v>
      </c>
      <c r="FE101" s="97">
        <f>FD101*(1+$EE$106)</f>
        <v>9728.8224816010588</v>
      </c>
      <c r="FF101" s="97">
        <f>FE101*(1+$EE$106)</f>
        <v>9631.5342567850475</v>
      </c>
      <c r="FG101" s="97">
        <f>FF101*(1+$EE$106)</f>
        <v>9535.2189142171974</v>
      </c>
      <c r="FH101" s="97">
        <f>FG101*(1+$EE$106)</f>
        <v>9439.8667250750259</v>
      </c>
      <c r="FI101" s="97">
        <f>FH101*(1+$EE$106)</f>
        <v>9345.4680578242751</v>
      </c>
      <c r="FJ101" s="97">
        <f>FI101*(1+$EE$106)</f>
        <v>9252.0133772460322</v>
      </c>
      <c r="FK101" s="97">
        <f>FJ101*(1+$EE$106)</f>
        <v>9159.4932434735711</v>
      </c>
      <c r="FL101" s="97">
        <f>FK101*(1+$EE$106)</f>
        <v>9067.8983110388344</v>
      </c>
      <c r="FM101" s="97">
        <f>FL101*(1+$EE$106)</f>
        <v>8977.2193279284456</v>
      </c>
      <c r="FN101" s="97">
        <f>FM101*(1+$EE$106)</f>
        <v>8887.4471346491609</v>
      </c>
      <c r="FO101" s="97">
        <f>FN101*(1+$EE$106)</f>
        <v>8798.5726633026698</v>
      </c>
      <c r="FP101" s="97">
        <f>FO101*(1+$EE$106)</f>
        <v>8710.5869366696425</v>
      </c>
      <c r="FQ101" s="97">
        <f>FP101*(1+$EE$106)</f>
        <v>8623.481067302946</v>
      </c>
      <c r="FR101" s="97">
        <f>FQ101*(1+$EE$106)</f>
        <v>8537.2462566299164</v>
      </c>
      <c r="FS101" s="97">
        <f>FR101*(1+$EE$106)</f>
        <v>8451.8737940636165</v>
      </c>
      <c r="FT101" s="97">
        <f>FS101*(1+$EE$106)</f>
        <v>8367.3550561229804</v>
      </c>
      <c r="FU101" s="97">
        <f>FT101*(1+$EE$106)</f>
        <v>8283.6815055617499</v>
      </c>
      <c r="FV101" s="97">
        <f>FU101*(1+$EE$106)</f>
        <v>8200.8446905061319</v>
      </c>
      <c r="FW101" s="97">
        <f>FV101*(1+$EE$106)</f>
        <v>8118.8362436010702</v>
      </c>
      <c r="FX101" s="97">
        <f>FW101*(1+$EE$106)</f>
        <v>8037.6478811650595</v>
      </c>
      <c r="FY101" s="97">
        <f>FX101*(1+$EE$106)</f>
        <v>7957.271402353409</v>
      </c>
      <c r="FZ101" s="97">
        <f>FY101*(1+$EE$106)</f>
        <v>7877.698688329875</v>
      </c>
      <c r="GA101" s="97">
        <f>FZ101*(1+$EE$106)</f>
        <v>7798.9217014465767</v>
      </c>
      <c r="GB101" s="97">
        <f>GA101*(1+$EE$106)</f>
        <v>7720.9324844321109</v>
      </c>
      <c r="GC101" s="97">
        <f>GB101*(1+$EE$106)</f>
        <v>7643.7231595877893</v>
      </c>
      <c r="GD101" s="97">
        <f>GC101*(1+$EE$106)</f>
        <v>7567.2859279919112</v>
      </c>
      <c r="GE101" s="97">
        <f>GD101*(1+$EE$106)</f>
        <v>7491.6130687119921</v>
      </c>
      <c r="GF101" s="97">
        <f>GE101*(1+$EE$106)</f>
        <v>7416.696938024872</v>
      </c>
      <c r="GG101" s="97">
        <f>GF101*(1+$EE$106)</f>
        <v>7342.5299686446233</v>
      </c>
      <c r="GH101" s="97">
        <f>GG101*(1+$EE$106)</f>
        <v>7269.1046689581772</v>
      </c>
      <c r="GI101" s="97">
        <f>GH101*(1+$EE$106)</f>
        <v>7196.4136222685956</v>
      </c>
      <c r="GJ101" s="97">
        <f>GI101*(1+$EE$106)</f>
        <v>7124.4494860459099</v>
      </c>
      <c r="GK101" s="97">
        <f>GJ101*(1+$EE$106)</f>
        <v>7053.204991185451</v>
      </c>
      <c r="GL101" s="97">
        <f>GK101*(1+$EE$106)</f>
        <v>6982.6729412735967</v>
      </c>
      <c r="GM101" s="97">
        <f>GL101*(1+$EE$106)</f>
        <v>6912.8462118608604</v>
      </c>
      <c r="GN101" s="97">
        <f>GM101*(1+$EE$106)</f>
        <v>6843.7177497422517</v>
      </c>
      <c r="GO101" s="97">
        <f>GN101*(1+$EE$106)</f>
        <v>6775.2805722448293</v>
      </c>
      <c r="GP101" s="97">
        <f>GO101*(1+$EE$106)</f>
        <v>6707.5277665223812</v>
      </c>
      <c r="GQ101" s="97">
        <f>GP101*(1+$EE$106)</f>
        <v>6640.4524888571577</v>
      </c>
      <c r="GR101" s="97">
        <f>GQ101*(1+$EE$106)</f>
        <v>6574.0479639685864</v>
      </c>
      <c r="GS101" s="97">
        <f>GR101*(1+$EE$106)</f>
        <v>6508.3074843289005</v>
      </c>
      <c r="GT101" s="97">
        <f>GS101*(1+$EE$106)</f>
        <v>6443.2244094856114</v>
      </c>
      <c r="GU101" s="97">
        <f>GT101*(1+$EE$106)</f>
        <v>6378.7921653907551</v>
      </c>
      <c r="GV101" s="97">
        <f>GU101*(1+$EE$106)</f>
        <v>6315.0042437368475</v>
      </c>
      <c r="GW101" s="97">
        <f>GV101*(1+$EE$106)</f>
        <v>6251.8542012994785</v>
      </c>
      <c r="GX101" s="97">
        <f>GW101*(1+$EE$106)</f>
        <v>6189.3356592864839</v>
      </c>
      <c r="GY101" s="97">
        <f>GX101*(1+$EE$106)</f>
        <v>6127.4423026936192</v>
      </c>
      <c r="GZ101" s="97">
        <f>GY101*(1+$EE$106)</f>
        <v>6066.1678796666829</v>
      </c>
      <c r="HA101" s="97">
        <f>GZ101*(1+$EE$106)</f>
        <v>6005.5062008700161</v>
      </c>
      <c r="HB101" s="97">
        <f>HA101*(1+$EE$106)</f>
        <v>5945.4511388613155</v>
      </c>
      <c r="HC101" s="97">
        <f>HB101*(1+$EE$106)</f>
        <v>5885.9966274727021</v>
      </c>
      <c r="HD101" s="97">
        <f>HC101*(1+$EE$106)</f>
        <v>5827.1366611979747</v>
      </c>
      <c r="HE101" s="97">
        <f>HD101*(1+$EE$106)</f>
        <v>5768.8652945859949</v>
      </c>
      <c r="HF101" s="97">
        <f>HE101*(1+$EE$106)</f>
        <v>5711.1766416401351</v>
      </c>
      <c r="HG101" s="97">
        <f>HF101*(1+$EE$106)</f>
        <v>5654.0648752237339</v>
      </c>
      <c r="HH101" s="97">
        <f>HG101*(1+$EE$106)</f>
        <v>5597.5242264714961</v>
      </c>
      <c r="HI101" s="97">
        <f>HH101*(1+$EE$106)</f>
        <v>5541.5489842067809</v>
      </c>
      <c r="HJ101" s="97">
        <f>HI101*(1+$EE$106)</f>
        <v>5486.1334943647134</v>
      </c>
      <c r="HK101" s="97">
        <f>HJ101*(1+$EE$106)</f>
        <v>5431.2721594210661</v>
      </c>
      <c r="HL101" s="97">
        <f>HK101*(1+$EE$106)</f>
        <v>5376.9594378268557</v>
      </c>
      <c r="HM101" s="97">
        <f>HL101*(1+$EE$106)</f>
        <v>5323.1898434485875</v>
      </c>
      <c r="HN101" s="97">
        <f>HM101*(1+$EE$106)</f>
        <v>5269.9579450141018</v>
      </c>
      <c r="HO101" s="97">
        <f>HN101*(1+$EE$106)</f>
        <v>5217.258365563961</v>
      </c>
      <c r="HP101" s="97">
        <f>HO101*(1+$EE$106)</f>
        <v>5165.0857819083212</v>
      </c>
      <c r="HQ101" s="97">
        <f>HP101*(1+$EE$106)</f>
        <v>5113.4349240892379</v>
      </c>
      <c r="HR101" s="97">
        <f>HQ101*(1+$EE$106)</f>
        <v>5062.3005748483456</v>
      </c>
      <c r="HS101" s="97">
        <f>HR101*(1+$EE$106)</f>
        <v>5011.677569099862</v>
      </c>
      <c r="HT101" s="97">
        <f>HS101*(1+$EE$106)</f>
        <v>4961.560793408863</v>
      </c>
      <c r="HU101" s="97">
        <f>HT101*(1+$EE$106)</f>
        <v>4911.945185474774</v>
      </c>
      <c r="HV101" s="97">
        <f>HU101*(1+$EE$106)</f>
        <v>4862.8257336200259</v>
      </c>
      <c r="HW101" s="97">
        <f>HV101*(1+$EE$106)</f>
        <v>4814.1974762838254</v>
      </c>
      <c r="HX101" s="97">
        <f>HW101*(1+$EE$106)</f>
        <v>4766.0555015209875</v>
      </c>
      <c r="HY101" s="97">
        <f>HX101*(1+$EE$106)</f>
        <v>4718.3949465057776</v>
      </c>
      <c r="HZ101" s="97">
        <f>HY101*(1+$EE$106)</f>
        <v>4671.21099704072</v>
      </c>
      <c r="IA101" s="97">
        <f>HZ101*(1+$EE$106)</f>
        <v>4624.4988870703128</v>
      </c>
      <c r="IB101" s="97">
        <f>IA101*(1+$EE$106)</f>
        <v>4578.2538981996095</v>
      </c>
      <c r="IC101" s="97">
        <f>IB101*(1+$EE$106)</f>
        <v>4532.4713592176131</v>
      </c>
      <c r="ID101" s="97">
        <f>IC101*(1+$EE$106)</f>
        <v>4487.1466456254366</v>
      </c>
      <c r="IE101" s="97">
        <f>ID101*(1+$EE$106)</f>
        <v>4442.2751791691826</v>
      </c>
      <c r="IF101" s="97">
        <f>IE101*(1+$EE$106)</f>
        <v>4397.852427377491</v>
      </c>
      <c r="IG101" s="97">
        <f>IF101*(1+$EE$106)</f>
        <v>4353.8739031037157</v>
      </c>
      <c r="IH101" s="97">
        <f>IG101*(1+$EE$106)</f>
        <v>4310.3351640726787</v>
      </c>
    </row>
    <row r="102" spans="2:242" s="8" customFormat="1" ht="12.75" customHeight="1">
      <c r="B102" s="36" t="s">
        <v>382</v>
      </c>
      <c r="C102" s="34">
        <f>C101/C103</f>
        <v>0.68894667291870926</v>
      </c>
      <c r="D102" s="34">
        <f>D101/D103</f>
        <v>0.75444549437333563</v>
      </c>
      <c r="E102" s="34">
        <f>E101/E103</f>
        <v>0.81369572738280571</v>
      </c>
      <c r="F102" s="34">
        <f>F101/F103</f>
        <v>0.781703607127336</v>
      </c>
      <c r="G102" s="34">
        <f t="shared" ref="G102:W102" si="222">ROUND(G101/G103,2)</f>
        <v>-1.41</v>
      </c>
      <c r="H102" s="34">
        <f t="shared" si="222"/>
        <v>-1.53</v>
      </c>
      <c r="I102" s="34">
        <f t="shared" si="222"/>
        <v>-1.61</v>
      </c>
      <c r="J102" s="34">
        <f t="shared" si="222"/>
        <v>-1.87</v>
      </c>
      <c r="K102" s="34">
        <f t="shared" si="222"/>
        <v>-1.78</v>
      </c>
      <c r="L102" s="34">
        <f t="shared" si="222"/>
        <v>-1.65</v>
      </c>
      <c r="M102" s="34">
        <f t="shared" si="222"/>
        <v>-1.73</v>
      </c>
      <c r="N102" s="34">
        <f t="shared" si="222"/>
        <v>-1.89</v>
      </c>
      <c r="O102" s="34" t="e">
        <f t="shared" si="222"/>
        <v>#REF!</v>
      </c>
      <c r="P102" s="34" t="e">
        <f t="shared" si="222"/>
        <v>#REF!</v>
      </c>
      <c r="Q102" s="34">
        <f t="shared" si="222"/>
        <v>-1.26</v>
      </c>
      <c r="R102" s="34">
        <f t="shared" si="222"/>
        <v>-1.24</v>
      </c>
      <c r="S102" s="34">
        <f t="shared" si="222"/>
        <v>-1.23</v>
      </c>
      <c r="T102" s="34">
        <f t="shared" si="222"/>
        <v>-1.34</v>
      </c>
      <c r="U102" s="34">
        <f t="shared" si="222"/>
        <v>-1.22</v>
      </c>
      <c r="V102" s="34">
        <f t="shared" si="222"/>
        <v>-1.2</v>
      </c>
      <c r="W102" s="34">
        <f t="shared" si="222"/>
        <v>-1.1200000000000001</v>
      </c>
      <c r="X102" s="34">
        <f>ROUND(X101/X103,2)</f>
        <v>-1.1599999999999999</v>
      </c>
      <c r="Y102" s="34">
        <f t="shared" ref="Y102:AH102" si="223">Y101/Y103</f>
        <v>-1.3160543532964268</v>
      </c>
      <c r="Z102" s="34">
        <f t="shared" si="223"/>
        <v>-1.4905245811590222</v>
      </c>
      <c r="AA102" s="34">
        <f t="shared" si="223"/>
        <v>-1.1346330275229357</v>
      </c>
      <c r="AB102" s="34">
        <f t="shared" si="223"/>
        <v>-1.2912936232413665</v>
      </c>
      <c r="AC102" s="34">
        <f t="shared" si="223"/>
        <v>-1.21146479387085</v>
      </c>
      <c r="AD102" s="29"/>
      <c r="AE102" s="29">
        <f t="shared" si="223"/>
        <v>-0.77272727272727271</v>
      </c>
      <c r="AF102" s="29">
        <f t="shared" si="223"/>
        <v>-1.2926704730074732</v>
      </c>
      <c r="AG102" s="29">
        <f>AG101/AG103</f>
        <v>-1.1669788349878252</v>
      </c>
      <c r="AH102" s="29">
        <f t="shared" si="223"/>
        <v>-1.3333175422805437</v>
      </c>
      <c r="AI102" s="29">
        <f t="shared" ref="AI102:AP102" si="224">AI101/AI103</f>
        <v>-1.1639958278020106</v>
      </c>
      <c r="AJ102" s="29">
        <f t="shared" si="224"/>
        <v>-1.3295260663507109</v>
      </c>
      <c r="AK102" s="29">
        <f t="shared" si="224"/>
        <v>-0.73821985144533298</v>
      </c>
      <c r="AL102" s="29">
        <f t="shared" si="224"/>
        <v>1.173060156931125</v>
      </c>
      <c r="AM102" s="29">
        <f t="shared" si="224"/>
        <v>0.83037249283667602</v>
      </c>
      <c r="AN102" s="29">
        <f t="shared" si="224"/>
        <v>-1.9120460726283797</v>
      </c>
      <c r="AO102" s="29">
        <f t="shared" si="224"/>
        <v>-1.8326347691514053</v>
      </c>
      <c r="AP102" s="29">
        <f t="shared" si="224"/>
        <v>-1.9990341274951706</v>
      </c>
      <c r="AQ102" s="29">
        <f>AQ101/AQ103</f>
        <v>-1.933311855670103</v>
      </c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>
        <f t="shared" ref="CC102:CJ102" si="225">+CC101/CC103</f>
        <v>1.3743104806934594</v>
      </c>
      <c r="CD102" s="29">
        <f t="shared" si="225"/>
        <v>1.5981896890987799</v>
      </c>
      <c r="CE102" s="29">
        <f t="shared" si="225"/>
        <v>1.1613537977174342</v>
      </c>
      <c r="CF102" s="29">
        <f t="shared" si="225"/>
        <v>0.61417322834645671</v>
      </c>
      <c r="CG102" s="29">
        <f t="shared" si="225"/>
        <v>1.7519716088328077</v>
      </c>
      <c r="CH102" s="29">
        <f t="shared" si="225"/>
        <v>1.8063116370808678</v>
      </c>
      <c r="CI102" s="29">
        <f t="shared" si="225"/>
        <v>2.1387465510445409</v>
      </c>
      <c r="CJ102" s="29">
        <f t="shared" si="225"/>
        <v>1.8692913385826773</v>
      </c>
      <c r="CK102" s="29">
        <f t="shared" ref="CK102:CP102" si="226">+CK101/CK103</f>
        <v>1.8501180173092053</v>
      </c>
      <c r="CL102" s="29">
        <f t="shared" si="226"/>
        <v>1.6208791208791209</v>
      </c>
      <c r="CM102" s="29">
        <f t="shared" si="226"/>
        <v>1.3986671893375147</v>
      </c>
      <c r="CN102" s="29">
        <f t="shared" si="226"/>
        <v>1.9451738533908267</v>
      </c>
      <c r="CO102" s="29">
        <f t="shared" si="226"/>
        <v>1.9148209648177184</v>
      </c>
      <c r="CP102" s="29">
        <f t="shared" si="226"/>
        <v>1.6793331567277539</v>
      </c>
      <c r="CQ102" s="29"/>
      <c r="CR102" s="29"/>
      <c r="CS102" s="49"/>
      <c r="CT102" s="29">
        <f>SUM(C102:F102)</f>
        <v>3.0387915018021863</v>
      </c>
      <c r="CU102" s="29">
        <f t="shared" ref="CU102:DB102" si="227">ROUND(CU101/CU103,2)</f>
        <v>-5.45</v>
      </c>
      <c r="CV102" s="29">
        <f t="shared" si="227"/>
        <v>-5.87</v>
      </c>
      <c r="CW102" s="29">
        <f t="shared" si="227"/>
        <v>-5.18</v>
      </c>
      <c r="CX102" s="29">
        <f t="shared" si="227"/>
        <v>-4.9800000000000004</v>
      </c>
      <c r="CY102" s="29">
        <f t="shared" si="227"/>
        <v>-5.08</v>
      </c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>
        <f t="shared" ref="DE102:DS102" si="228">ROUND(DN101/DN103,2)</f>
        <v>5.7</v>
      </c>
      <c r="DO102" s="29">
        <f t="shared" si="228"/>
        <v>7.76</v>
      </c>
      <c r="DP102" s="29">
        <f t="shared" si="228"/>
        <v>6.91</v>
      </c>
      <c r="DQ102" s="29">
        <f t="shared" si="228"/>
        <v>10.63</v>
      </c>
      <c r="DR102" s="29">
        <f t="shared" si="228"/>
        <v>10.52</v>
      </c>
      <c r="DS102" s="29">
        <f t="shared" si="228"/>
        <v>10.14</v>
      </c>
      <c r="DT102" s="29">
        <f t="shared" ref="DT102:EB102" si="229">ROUND(DT101/DT103,2)</f>
        <v>8.8699999999999992</v>
      </c>
      <c r="DU102" s="29">
        <f t="shared" si="229"/>
        <v>8.85</v>
      </c>
      <c r="DV102" s="29">
        <f t="shared" si="229"/>
        <v>8.43</v>
      </c>
      <c r="DW102" s="29">
        <f t="shared" si="229"/>
        <v>7.69</v>
      </c>
      <c r="DX102" s="29">
        <f t="shared" si="229"/>
        <v>6.81</v>
      </c>
      <c r="DY102" s="29">
        <f t="shared" si="229"/>
        <v>6</v>
      </c>
      <c r="DZ102" s="29">
        <f t="shared" si="229"/>
        <v>5.53</v>
      </c>
      <c r="EA102" s="29">
        <f t="shared" si="229"/>
        <v>5.25</v>
      </c>
      <c r="EB102" s="29">
        <f t="shared" si="229"/>
        <v>5.0999999999999996</v>
      </c>
    </row>
    <row r="103" spans="2:242" s="83" customFormat="1" ht="12.75" customHeight="1">
      <c r="B103" s="100" t="s">
        <v>327</v>
      </c>
      <c r="C103" s="93">
        <v>2345.9</v>
      </c>
      <c r="D103" s="93">
        <v>2328.1999999999998</v>
      </c>
      <c r="E103" s="93">
        <v>2312.4</v>
      </c>
      <c r="F103" s="93">
        <v>2301</v>
      </c>
      <c r="G103" s="93">
        <v>2294.8000000000002</v>
      </c>
      <c r="H103" s="93">
        <v>2282.8000000000002</v>
      </c>
      <c r="I103" s="93">
        <v>2265.9</v>
      </c>
      <c r="J103" s="93">
        <v>2264.1</v>
      </c>
      <c r="K103" s="93">
        <v>2262.1</v>
      </c>
      <c r="L103" s="93">
        <v>2261.1</v>
      </c>
      <c r="M103" s="93">
        <v>2253.9</v>
      </c>
      <c r="N103" s="93">
        <v>2236.6</v>
      </c>
      <c r="O103" s="93">
        <v>2232.5</v>
      </c>
      <c r="P103" s="93">
        <v>2230.1</v>
      </c>
      <c r="Q103" s="93">
        <v>2226.1999999999998</v>
      </c>
      <c r="R103" s="93">
        <v>2217.5</v>
      </c>
      <c r="S103" s="93">
        <v>2210.4</v>
      </c>
      <c r="T103" s="93">
        <v>2206.1</v>
      </c>
      <c r="U103" s="93">
        <v>2197</v>
      </c>
      <c r="V103" s="93">
        <v>2188.6999999999998</v>
      </c>
      <c r="W103" s="93">
        <v>2190.5</v>
      </c>
      <c r="X103" s="93">
        <v>2187.6999999999998</v>
      </c>
      <c r="Y103" s="93">
        <v>2185.6999999999998</v>
      </c>
      <c r="Z103" s="93">
        <v>2184.6</v>
      </c>
      <c r="AA103" s="93">
        <v>2180</v>
      </c>
      <c r="AB103" s="93">
        <v>2189.1999999999998</v>
      </c>
      <c r="AC103" s="93">
        <v>2192.8000000000002</v>
      </c>
      <c r="AD103" s="93"/>
      <c r="AE103" s="93">
        <v>2174.6999999999998</v>
      </c>
      <c r="AF103" s="93">
        <v>2154.3000000000002</v>
      </c>
      <c r="AG103" s="93">
        <v>2135.6</v>
      </c>
      <c r="AH103" s="93">
        <v>2110.9</v>
      </c>
      <c r="AI103" s="93">
        <v>2109.1999999999998</v>
      </c>
      <c r="AJ103" s="93">
        <v>2110</v>
      </c>
      <c r="AK103" s="93">
        <v>2113.6999999999998</v>
      </c>
      <c r="AL103" s="93">
        <v>2752.8</v>
      </c>
      <c r="AM103" s="93">
        <v>3141</v>
      </c>
      <c r="AN103" s="93">
        <v>3125.5</v>
      </c>
      <c r="AO103" s="93">
        <v>3101.6</v>
      </c>
      <c r="AP103" s="93">
        <v>3106</v>
      </c>
      <c r="AQ103" s="93">
        <v>3104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v>2538</v>
      </c>
      <c r="CD103" s="93">
        <v>2541</v>
      </c>
      <c r="CE103" s="93">
        <v>2541</v>
      </c>
      <c r="CF103" s="93">
        <v>2540</v>
      </c>
      <c r="CG103" s="93">
        <v>2536</v>
      </c>
      <c r="CH103" s="93">
        <v>2535</v>
      </c>
      <c r="CI103" s="93">
        <v>2537</v>
      </c>
      <c r="CJ103" s="93">
        <v>2540</v>
      </c>
      <c r="CK103" s="93">
        <v>2542</v>
      </c>
      <c r="CL103" s="93">
        <v>2548</v>
      </c>
      <c r="CM103" s="93">
        <v>2551</v>
      </c>
      <c r="CN103" s="93">
        <f t="shared" ref="CN103:CP103" si="230">+CM103</f>
        <v>2551</v>
      </c>
      <c r="CO103" s="93">
        <f t="shared" si="230"/>
        <v>2551</v>
      </c>
      <c r="CP103" s="93">
        <f t="shared" si="230"/>
        <v>2551</v>
      </c>
      <c r="CQ103" s="93"/>
      <c r="CR103" s="93"/>
      <c r="CS103" s="75"/>
      <c r="CT103" s="94">
        <v>2321.875</v>
      </c>
      <c r="CU103" s="94">
        <v>2277</v>
      </c>
      <c r="CV103" s="94">
        <f>SUM(K103:N103)/4-0.3</f>
        <v>2253.125</v>
      </c>
      <c r="CW103" s="94">
        <f>SUM(O103:R103)/4</f>
        <v>2226.5749999999998</v>
      </c>
      <c r="CX103" s="94">
        <f>SUM(S103:V103)/4</f>
        <v>2200.5500000000002</v>
      </c>
      <c r="CY103" s="94">
        <f>AVERAGE(W103:Z103)</f>
        <v>2187.125</v>
      </c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>
        <f>AVERAGE(CE103:CH103)</f>
        <v>2538</v>
      </c>
      <c r="DO103" s="94">
        <f>AVERAGE(CI103:CL103)</f>
        <v>2541.75</v>
      </c>
      <c r="DP103" s="94">
        <f>AVERAGE(CM103:CP103)</f>
        <v>2551</v>
      </c>
      <c r="DQ103" s="94">
        <f t="shared" ref="DN103:DS103" si="231">+DP103</f>
        <v>2551</v>
      </c>
      <c r="DR103" s="94">
        <f t="shared" si="231"/>
        <v>2551</v>
      </c>
      <c r="DS103" s="94">
        <f t="shared" si="231"/>
        <v>2551</v>
      </c>
      <c r="DT103" s="94">
        <f t="shared" ref="DT103" si="232">+DS103</f>
        <v>2551</v>
      </c>
      <c r="DU103" s="94">
        <f t="shared" ref="DU103" si="233">+DT103</f>
        <v>2551</v>
      </c>
      <c r="DV103" s="94">
        <f t="shared" ref="DV103" si="234">+DU103</f>
        <v>2551</v>
      </c>
      <c r="DW103" s="94">
        <f t="shared" ref="DW103" si="235">+DV103</f>
        <v>2551</v>
      </c>
      <c r="DX103" s="94">
        <f t="shared" ref="DX103" si="236">+DW103</f>
        <v>2551</v>
      </c>
      <c r="DY103" s="94">
        <f t="shared" ref="DY103" si="237">+DX103</f>
        <v>2551</v>
      </c>
      <c r="DZ103" s="94">
        <f t="shared" ref="DZ103" si="238">+DY103</f>
        <v>2551</v>
      </c>
      <c r="EA103" s="94">
        <f t="shared" ref="EA103" si="239">+DZ103</f>
        <v>2551</v>
      </c>
      <c r="EB103" s="94">
        <f t="shared" ref="EB103" si="240">+EA103</f>
        <v>2551</v>
      </c>
    </row>
    <row r="104" spans="2:242" s="83" customFormat="1" ht="12.75" customHeight="1">
      <c r="B104" s="36"/>
      <c r="C104" s="9"/>
      <c r="D104" s="9"/>
      <c r="E104" s="9"/>
      <c r="F104" s="9"/>
      <c r="G104" s="35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94"/>
      <c r="Z104" s="26"/>
      <c r="AA104" s="94"/>
      <c r="AB104" s="26"/>
      <c r="AC104" s="30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75"/>
      <c r="CT104" s="9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84"/>
      <c r="DI104" s="84"/>
      <c r="DJ104" s="84"/>
      <c r="DK104" s="84"/>
      <c r="DL104" s="84"/>
      <c r="DM104" s="84"/>
      <c r="DN104" s="84"/>
      <c r="DO104" s="84"/>
      <c r="DP104" s="84"/>
      <c r="DQ104" s="84"/>
      <c r="DR104" s="84"/>
      <c r="DS104" s="84"/>
      <c r="DU104" s="87"/>
    </row>
    <row r="105" spans="2:242" s="103" customFormat="1" ht="12.75" customHeight="1">
      <c r="B105" s="104" t="s">
        <v>381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6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>
        <f>+CC87/CC85</f>
        <v>0.76466282368011707</v>
      </c>
      <c r="CD105" s="105">
        <f>+CD87/CD85</f>
        <v>0.78112513984337539</v>
      </c>
      <c r="CE105" s="105">
        <f>+CE87/CE85</f>
        <v>0.76597346381857534</v>
      </c>
      <c r="CF105" s="105">
        <f>+CF87/CF85</f>
        <v>0.76460270128047714</v>
      </c>
      <c r="CG105" s="105">
        <f>+CG87/CG85</f>
        <v>0.76767523186863307</v>
      </c>
      <c r="CH105" s="105">
        <f>+CH87/CH85</f>
        <v>0.74772575992899937</v>
      </c>
      <c r="CI105" s="105">
        <f>+CI87/CI85</f>
        <v>0.7073140054084649</v>
      </c>
      <c r="CJ105" s="105">
        <f>+CJ87/CJ85</f>
        <v>0.74659083122044811</v>
      </c>
      <c r="CK105" s="105">
        <f>+CK87/CK85</f>
        <v>0.77043920048131564</v>
      </c>
      <c r="CL105" s="105">
        <f>+CL87/CL85</f>
        <v>0.75697758496023138</v>
      </c>
      <c r="CM105" s="105">
        <f>+CM87/CM85</f>
        <v>0.76862014219645203</v>
      </c>
      <c r="CN105" s="105">
        <f>+CN87/CN85</f>
        <v>0.75</v>
      </c>
      <c r="CO105" s="105">
        <f>+CO87/CO85</f>
        <v>0.75</v>
      </c>
      <c r="CP105" s="105">
        <f>+CP87/CP85</f>
        <v>0.75</v>
      </c>
      <c r="CQ105" s="105"/>
      <c r="CR105" s="105"/>
      <c r="CS105" s="107"/>
      <c r="CT105" s="105"/>
      <c r="CU105" s="105"/>
      <c r="CV105" s="105"/>
      <c r="CW105" s="105"/>
      <c r="CX105" s="105" t="e">
        <f>CX87/#REF!</f>
        <v>#REF!</v>
      </c>
      <c r="CY105" s="105" t="e">
        <f>CY87/#REF!</f>
        <v>#REF!</v>
      </c>
      <c r="CZ105" s="105" t="e">
        <f>CZ87/#REF!</f>
        <v>#REF!</v>
      </c>
      <c r="DA105" s="105" t="e">
        <f>DA87/#REF!</f>
        <v>#REF!</v>
      </c>
      <c r="DB105" s="105"/>
      <c r="DC105" s="105">
        <f>DC87/DC85</f>
        <v>0</v>
      </c>
      <c r="DD105" s="105">
        <v>0.749</v>
      </c>
      <c r="DE105" s="105"/>
      <c r="DF105" s="105"/>
      <c r="DG105" s="105"/>
      <c r="DH105" s="105"/>
      <c r="DI105" s="105"/>
      <c r="DJ105" s="105"/>
      <c r="DK105" s="105"/>
      <c r="DL105" s="105"/>
      <c r="DM105" s="105"/>
      <c r="DN105" s="105"/>
      <c r="DO105" s="105">
        <f>DO87/DO85</f>
        <v>0.74449673599514199</v>
      </c>
      <c r="DP105" s="105">
        <f t="shared" ref="DP105:EB105" si="241">DP87/DP85</f>
        <v>0.75475547852766145</v>
      </c>
      <c r="DQ105" s="105">
        <f t="shared" si="241"/>
        <v>0.8</v>
      </c>
      <c r="DR105" s="105">
        <f t="shared" si="241"/>
        <v>0.8</v>
      </c>
      <c r="DS105" s="105">
        <f t="shared" si="241"/>
        <v>0.8</v>
      </c>
      <c r="DT105" s="105">
        <f t="shared" si="241"/>
        <v>0.8</v>
      </c>
      <c r="DU105" s="105">
        <f t="shared" si="241"/>
        <v>0.8</v>
      </c>
      <c r="DV105" s="105">
        <f t="shared" si="241"/>
        <v>0.8</v>
      </c>
      <c r="DW105" s="105">
        <f t="shared" si="241"/>
        <v>0.8</v>
      </c>
      <c r="DX105" s="105">
        <f t="shared" si="241"/>
        <v>0.8</v>
      </c>
      <c r="DY105" s="105">
        <f t="shared" si="241"/>
        <v>0.8</v>
      </c>
      <c r="DZ105" s="105">
        <f t="shared" si="241"/>
        <v>0.8</v>
      </c>
      <c r="EA105" s="105">
        <f t="shared" si="241"/>
        <v>0.8</v>
      </c>
      <c r="EB105" s="105">
        <f t="shared" si="241"/>
        <v>0.80000000000000016</v>
      </c>
      <c r="ED105" s="83" t="s">
        <v>647</v>
      </c>
      <c r="EE105" s="102">
        <v>0.01</v>
      </c>
    </row>
    <row r="106" spans="2:242" s="103" customFormat="1" ht="12.75" customHeight="1">
      <c r="B106" s="104" t="s">
        <v>379</v>
      </c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6"/>
      <c r="Z106" s="105" t="e">
        <f>Z88/#REF!</f>
        <v>#REF!</v>
      </c>
      <c r="AA106" s="105" t="e">
        <f>AA88/#REF!</f>
        <v>#REF!</v>
      </c>
      <c r="AB106" s="105" t="e">
        <f>AB88/#REF!</f>
        <v>#REF!</v>
      </c>
      <c r="AC106" s="105" t="e">
        <f>AC88/#REF!</f>
        <v>#REF!</v>
      </c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>
        <f>+CC88/CC85</f>
        <v>0.18482935309726417</v>
      </c>
      <c r="CD106" s="105">
        <f>+CD88/CD85</f>
        <v>0.20513025411539076</v>
      </c>
      <c r="CE106" s="105">
        <f>+CE88/CE85</f>
        <v>0.20457325679872024</v>
      </c>
      <c r="CF106" s="105">
        <f>+CF88/CF85</f>
        <v>0.19768461673390633</v>
      </c>
      <c r="CG106" s="105">
        <f>+CG88/CG85</f>
        <v>0.17257108103998783</v>
      </c>
      <c r="CH106" s="105">
        <f>+CH88/CH85</f>
        <v>0.19184971525774722</v>
      </c>
      <c r="CI106" s="105">
        <f>+CI88/CI85</f>
        <v>0.14162631281051505</v>
      </c>
      <c r="CJ106" s="105">
        <f>+CJ88/CJ85</f>
        <v>0.16583293359830056</v>
      </c>
      <c r="CK106" s="105">
        <f>+CK88/CK85</f>
        <v>0.16525168794705528</v>
      </c>
      <c r="CL106" s="105">
        <f>+CL88/CL85</f>
        <v>0.19002169197396962</v>
      </c>
      <c r="CM106" s="105">
        <f>+CM88/CM85</f>
        <v>0.16966935873541797</v>
      </c>
      <c r="CN106" s="105">
        <f>+CN88/CN85</f>
        <v>0.16497921054052594</v>
      </c>
      <c r="CO106" s="105">
        <f>+CO88/CO85</f>
        <v>0.15907966838013474</v>
      </c>
      <c r="CP106" s="105">
        <f>+CP88/CP85</f>
        <v>0.18554107518326168</v>
      </c>
      <c r="CQ106" s="105"/>
      <c r="CR106" s="105"/>
      <c r="CS106" s="107"/>
      <c r="CT106" s="105">
        <f>CT88/CT$85</f>
        <v>0.26890891079767915</v>
      </c>
      <c r="CU106" s="105"/>
      <c r="CV106" s="105"/>
      <c r="CW106" s="105">
        <f>CW88/CW$85</f>
        <v>0.54751105289012614</v>
      </c>
      <c r="CX106" s="105" t="e">
        <f>CX88/#REF!</f>
        <v>#REF!</v>
      </c>
      <c r="CY106" s="105" t="e">
        <f>CY88/#REF!</f>
        <v>#REF!</v>
      </c>
      <c r="CZ106" s="105" t="e">
        <f>CZ88/#REF!</f>
        <v>#REF!</v>
      </c>
      <c r="DA106" s="105" t="e">
        <f>DA88/#REF!</f>
        <v>#REF!</v>
      </c>
      <c r="DB106" s="105" t="e">
        <f>DB88/#REF!</f>
        <v>#REF!</v>
      </c>
      <c r="DC106" s="105">
        <f>DC88/DC85</f>
        <v>0.27632087558904644</v>
      </c>
      <c r="DD106" s="105">
        <v>0.27700000000000002</v>
      </c>
      <c r="DE106" s="105">
        <v>0.27500000000000002</v>
      </c>
      <c r="DF106" s="105">
        <v>0.27200000000000002</v>
      </c>
      <c r="DG106" s="105">
        <v>0.27</v>
      </c>
      <c r="DH106" s="105">
        <v>0.27</v>
      </c>
      <c r="DI106" s="105">
        <v>0.27</v>
      </c>
      <c r="DJ106" s="105">
        <v>0.27</v>
      </c>
      <c r="DK106" s="105">
        <v>0.27</v>
      </c>
      <c r="DL106" s="105">
        <v>0.27</v>
      </c>
      <c r="DM106" s="105"/>
      <c r="DN106" s="105"/>
      <c r="DO106" s="105"/>
      <c r="DP106" s="105"/>
      <c r="DQ106" s="105"/>
      <c r="DR106" s="105"/>
      <c r="DS106" s="105"/>
      <c r="DU106" s="108"/>
      <c r="ED106" s="103" t="s">
        <v>437</v>
      </c>
      <c r="EE106" s="108">
        <v>-0.01</v>
      </c>
    </row>
    <row r="107" spans="2:242" s="103" customFormat="1" ht="12.75" customHeight="1">
      <c r="B107" s="104" t="s">
        <v>380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 t="e">
        <f>Z89/#REF!</f>
        <v>#REF!</v>
      </c>
      <c r="AA107" s="105" t="e">
        <f>AA89/#REF!</f>
        <v>#REF!</v>
      </c>
      <c r="AB107" s="105" t="e">
        <f>AB89/#REF!</f>
        <v>#REF!</v>
      </c>
      <c r="AC107" s="105" t="e">
        <f>AC89/#REF!</f>
        <v>#REF!</v>
      </c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>+CC89/CC85</f>
        <v>0.20395278616524842</v>
      </c>
      <c r="CD107" s="105">
        <f>+CD89/CD85</f>
        <v>0.20736774812210323</v>
      </c>
      <c r="CE107" s="105">
        <f>+CE89/CE85</f>
        <v>0.22461654276842005</v>
      </c>
      <c r="CF107" s="105">
        <f>+CF89/CF85</f>
        <v>0.37703911594457112</v>
      </c>
      <c r="CG107" s="105">
        <f>+CG89/CG85</f>
        <v>0.18823171658811008</v>
      </c>
      <c r="CH107" s="105">
        <f>+CH89/CH85</f>
        <v>0.19828415058057836</v>
      </c>
      <c r="CI107" s="105">
        <f>+CI89/CI85</f>
        <v>0.16017860511917489</v>
      </c>
      <c r="CJ107" s="105">
        <f>+CJ89/CJ85</f>
        <v>0.18940587953128213</v>
      </c>
      <c r="CK107" s="105">
        <f>+CK89/CK85</f>
        <v>0.23370546159502639</v>
      </c>
      <c r="CL107" s="105">
        <f>+CL89/CL85</f>
        <v>0.21945046999276935</v>
      </c>
      <c r="CM107" s="105">
        <f>+CM89/CM85</f>
        <v>0.29447090494926487</v>
      </c>
      <c r="CN107" s="105">
        <f>+CN89/CN85</f>
        <v>0.18843080079917923</v>
      </c>
      <c r="CO107" s="105">
        <f>+CO89/CO85</f>
        <v>0.22497674783857244</v>
      </c>
      <c r="CP107" s="105">
        <f>+CP89/CP85</f>
        <v>0.21427593728356134</v>
      </c>
      <c r="CQ107" s="105"/>
      <c r="CR107" s="105"/>
      <c r="CS107" s="107"/>
      <c r="CT107" s="105">
        <f>CT89/CT$85</f>
        <v>0.11587339025425727</v>
      </c>
      <c r="CU107" s="105"/>
      <c r="CV107" s="105"/>
      <c r="CW107" s="105">
        <f>CW89/CW$85</f>
        <v>0.30540363517275254</v>
      </c>
      <c r="CX107" s="105" t="e">
        <f>CX89/#REF!</f>
        <v>#REF!</v>
      </c>
      <c r="CY107" s="105" t="e">
        <f>CY89/#REF!</f>
        <v>#REF!</v>
      </c>
      <c r="CZ107" s="105" t="e">
        <f>CZ89/#REF!</f>
        <v>#REF!</v>
      </c>
      <c r="DA107" s="105" t="e">
        <f>DA89/#REF!</f>
        <v>#REF!</v>
      </c>
      <c r="DB107" s="105" t="e">
        <f>DB89/#REF!</f>
        <v>#REF!</v>
      </c>
      <c r="DC107" s="105">
        <f>DC89/DC85</f>
        <v>0.17637950878412126</v>
      </c>
      <c r="DD107" s="105">
        <v>0.19</v>
      </c>
      <c r="DE107" s="105">
        <v>0.185</v>
      </c>
      <c r="DF107" s="105">
        <v>0.18</v>
      </c>
      <c r="DG107" s="105">
        <v>0.18</v>
      </c>
      <c r="DH107" s="105">
        <v>0.17499999999999999</v>
      </c>
      <c r="DI107" s="105">
        <v>0.17499999999999999</v>
      </c>
      <c r="DJ107" s="105">
        <v>0.17</v>
      </c>
      <c r="DK107" s="105">
        <v>0.17</v>
      </c>
      <c r="DL107" s="105">
        <v>0.17</v>
      </c>
      <c r="DM107" s="105"/>
      <c r="DN107" s="105"/>
      <c r="DO107" s="105"/>
      <c r="DP107" s="105"/>
      <c r="DQ107" s="105"/>
      <c r="DR107" s="105"/>
      <c r="DS107" s="105"/>
      <c r="DU107" s="108"/>
      <c r="ED107" s="103" t="s">
        <v>438</v>
      </c>
      <c r="EE107" s="108">
        <v>7.0000000000000007E-2</v>
      </c>
    </row>
    <row r="108" spans="2:242" s="103" customFormat="1" ht="12.75" customHeight="1">
      <c r="B108" s="104" t="s">
        <v>74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Z91/#REF!</f>
        <v>#REF!</v>
      </c>
      <c r="AA108" s="105" t="e">
        <f>AA91/#REF!</f>
        <v>#REF!</v>
      </c>
      <c r="AB108" s="105" t="e">
        <f>AB91/#REF!</f>
        <v>#REF!</v>
      </c>
      <c r="AC108" s="105" t="e">
        <f>AC91/#REF!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>+CC91/CC85</f>
        <v>0.37588068441760453</v>
      </c>
      <c r="CD108" s="105">
        <f>+CD91/CD85</f>
        <v>0.36862713760588139</v>
      </c>
      <c r="CE108" s="105">
        <f>+CE91/CE85</f>
        <v>0.33678366425143502</v>
      </c>
      <c r="CF108" s="105">
        <f>+CF91/CF85</f>
        <v>0.18987896860199965</v>
      </c>
      <c r="CG108" s="105">
        <f>+CG91/CG85</f>
        <v>0.40687243424053521</v>
      </c>
      <c r="CH108" s="105">
        <f>+CH91/CH85</f>
        <v>0.35759189409067377</v>
      </c>
      <c r="CI108" s="105">
        <f>+CI91/CI85</f>
        <v>0.4055090874787749</v>
      </c>
      <c r="CJ108" s="105">
        <f>+CJ91/CJ85</f>
        <v>0.39135201809086551</v>
      </c>
      <c r="CK108" s="105">
        <f>+CK91/CK85</f>
        <v>0.37148205093923392</v>
      </c>
      <c r="CL108" s="105">
        <f>+CL91/CL85</f>
        <v>0.34750542299349241</v>
      </c>
      <c r="CM108" s="105">
        <f>+CM91/CM85</f>
        <v>0.30447987851176916</v>
      </c>
      <c r="CN108" s="105">
        <f>+CN91/CN85</f>
        <v>0.39658998866029482</v>
      </c>
      <c r="CO108" s="105">
        <f>+CO91/CO85</f>
        <v>0.36594358378129282</v>
      </c>
      <c r="CP108" s="105">
        <f>+CP91/CP85</f>
        <v>0.35018298753317695</v>
      </c>
      <c r="CQ108" s="105"/>
      <c r="CR108" s="105"/>
      <c r="CS108" s="107"/>
      <c r="CT108" s="105">
        <f>CT91/CT$85</f>
        <v>0.44422850134440306</v>
      </c>
      <c r="CU108" s="105"/>
      <c r="CV108" s="105"/>
      <c r="CW108" s="105">
        <f>CW91/CW$85</f>
        <v>-0.85291468806287862</v>
      </c>
      <c r="CX108" s="105">
        <f>CX91/CX$85</f>
        <v>-0.91469105204683354</v>
      </c>
      <c r="CY108" s="105" t="e">
        <f>CY91/#REF!</f>
        <v>#REF!</v>
      </c>
      <c r="CZ108" s="105" t="e">
        <f>CZ91/#REF!</f>
        <v>#REF!</v>
      </c>
      <c r="DA108" s="105" t="e">
        <f>DA91/#REF!</f>
        <v>#REF!</v>
      </c>
      <c r="DB108" s="105" t="e">
        <f>DB91/#REF!</f>
        <v>#REF!</v>
      </c>
      <c r="DC108" s="105">
        <f>DC91/DC85</f>
        <v>-0.45270038437316773</v>
      </c>
      <c r="DD108" s="105">
        <f>DD91/DD85</f>
        <v>0.30654966031759273</v>
      </c>
      <c r="DE108" s="105">
        <f>DE91/DE85</f>
        <v>-0.27500000000000002</v>
      </c>
      <c r="DF108" s="105">
        <f>DF91/DF85</f>
        <v>-0.27200000000000002</v>
      </c>
      <c r="DG108" s="105">
        <f>DG91/DG85</f>
        <v>-0.27</v>
      </c>
      <c r="DH108" s="105">
        <f>DH91/DH85</f>
        <v>-0.27</v>
      </c>
      <c r="DI108" s="105">
        <f>DI91/DI85</f>
        <v>-0.27</v>
      </c>
      <c r="DJ108" s="105">
        <f>DJ91/DJ85</f>
        <v>-0.27</v>
      </c>
      <c r="DK108" s="105">
        <f>DK91/DK85</f>
        <v>-0.27</v>
      </c>
      <c r="DL108" s="105">
        <f>DL91/DL85</f>
        <v>-0.27</v>
      </c>
      <c r="DM108" s="105"/>
      <c r="DN108" s="105"/>
      <c r="DO108" s="105"/>
      <c r="DP108" s="105"/>
      <c r="DQ108" s="105"/>
      <c r="DR108" s="105"/>
      <c r="DS108" s="105"/>
      <c r="DU108" s="108"/>
      <c r="ED108" s="103" t="s">
        <v>439</v>
      </c>
      <c r="EE108" s="87">
        <f>NPV($EE$107,DQ101:GS101)+Main!J5-Main!J6+DP101</f>
        <v>237299.65519157378</v>
      </c>
    </row>
    <row r="109" spans="2:242" s="103" customFormat="1" ht="12.75" customHeight="1">
      <c r="B109" s="104" t="s">
        <v>75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Z99/#REF!</f>
        <v>#REF!</v>
      </c>
      <c r="AA109" s="105" t="e">
        <f>AA99/#REF!</f>
        <v>#REF!</v>
      </c>
      <c r="AB109" s="105" t="e">
        <f>AB99/#REF!</f>
        <v>#REF!</v>
      </c>
      <c r="AC109" s="105" t="e">
        <f>AC99/#REF!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5"/>
      <c r="CE109" s="105"/>
      <c r="CF109" s="105"/>
      <c r="CG109" s="105"/>
      <c r="CH109" s="105"/>
      <c r="CI109" s="105"/>
      <c r="CJ109" s="105"/>
      <c r="CK109" s="105"/>
      <c r="CL109" s="105"/>
      <c r="CM109" s="105"/>
      <c r="CN109" s="105"/>
      <c r="CO109" s="105"/>
      <c r="CP109" s="105"/>
      <c r="CQ109" s="105"/>
      <c r="CR109" s="105"/>
      <c r="CS109" s="107"/>
      <c r="CT109" s="105">
        <f>CT99/CT$85</f>
        <v>0.41918533893108173</v>
      </c>
      <c r="CU109" s="105"/>
      <c r="CV109" s="105"/>
      <c r="CW109" s="105">
        <f>CW99/CW$85</f>
        <v>-0.76792205665629598</v>
      </c>
      <c r="CX109" s="105" t="e">
        <f>CX99/#REF!</f>
        <v>#REF!</v>
      </c>
      <c r="CY109" s="105" t="e">
        <f>CY99/#REF!</f>
        <v>#REF!</v>
      </c>
      <c r="CZ109" s="105" t="e">
        <f>CZ99/#REF!</f>
        <v>#REF!</v>
      </c>
      <c r="DA109" s="105" t="e">
        <f>DA99/#REF!</f>
        <v>#REF!</v>
      </c>
      <c r="DB109" s="105" t="e">
        <f>DB99/#REF!</f>
        <v>#REF!</v>
      </c>
      <c r="DC109" s="105">
        <f>DC99/DC85</f>
        <v>-0.45688505722165523</v>
      </c>
      <c r="DD109" s="105">
        <f>DD99/DD$85</f>
        <v>0.30509090151294138</v>
      </c>
      <c r="DE109" s="105">
        <f>DE99/DE$85</f>
        <v>-0.27415801375079335</v>
      </c>
      <c r="DF109" s="105">
        <f>DF99/DF$85</f>
        <v>-0.27330348791390358</v>
      </c>
      <c r="DG109" s="105">
        <f>DG99/DG$85</f>
        <v>-0.27</v>
      </c>
      <c r="DH109" s="105">
        <f>DH99/DH$85</f>
        <v>-0.27</v>
      </c>
      <c r="DI109" s="105">
        <f>DI99/DI$85</f>
        <v>-0.27</v>
      </c>
      <c r="DJ109" s="105">
        <f>DJ99/DJ$85</f>
        <v>-0.27</v>
      </c>
      <c r="DK109" s="105">
        <f>DK99/DK$85</f>
        <v>-0.27</v>
      </c>
      <c r="DL109" s="105">
        <f>DL99/DL$85</f>
        <v>-0.27</v>
      </c>
      <c r="DM109" s="105"/>
      <c r="DN109" s="105"/>
      <c r="DO109" s="105"/>
      <c r="DP109" s="105"/>
      <c r="DQ109" s="105"/>
      <c r="DR109" s="105"/>
      <c r="DS109" s="105"/>
      <c r="DU109" s="108"/>
      <c r="ED109" s="103" t="s">
        <v>779</v>
      </c>
      <c r="EE109" s="109">
        <f>EE108/Main!J3</f>
        <v>93.535536141731882</v>
      </c>
    </row>
    <row r="110" spans="2:242" s="103" customFormat="1" ht="12.75" customHeight="1">
      <c r="B110" s="104" t="s">
        <v>76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Z101/#REF!</f>
        <v>#REF!</v>
      </c>
      <c r="AA110" s="105" t="e">
        <f>AA101/#REF!</f>
        <v>#REF!</v>
      </c>
      <c r="AB110" s="105" t="e">
        <f>AB101/#REF!</f>
        <v>#REF!</v>
      </c>
      <c r="AC110" s="105" t="e">
        <f>AC101/#REF!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>+CC101/CC85</f>
        <v>0.31915088297190958</v>
      </c>
      <c r="CD110" s="105">
        <f>+CD101/CD85</f>
        <v>0.32451654147354964</v>
      </c>
      <c r="CE110" s="105">
        <f>+CE101/CE85</f>
        <v>0.27768890561776605</v>
      </c>
      <c r="CF110" s="105">
        <f>+CF101/CF85</f>
        <v>0.13681810208735309</v>
      </c>
      <c r="CG110" s="105">
        <f>+CG101/CG85</f>
        <v>0.3377679793218793</v>
      </c>
      <c r="CH110" s="105">
        <f>+CH101/CH85</f>
        <v>0.33865838325567638</v>
      </c>
      <c r="CI110" s="105">
        <f>+CI101/CI85</f>
        <v>0.34123640022640084</v>
      </c>
      <c r="CJ110" s="105">
        <f>+CJ101/CJ85</f>
        <v>0.32536147467964094</v>
      </c>
      <c r="CK110" s="105">
        <f>+CK101/CK85</f>
        <v>0.31439267330703924</v>
      </c>
      <c r="CL110" s="105">
        <f>+CL101/CL85</f>
        <v>0.29862617498192334</v>
      </c>
      <c r="CM110" s="105">
        <f>+CM101/CM85</f>
        <v>0.24628977704148547</v>
      </c>
      <c r="CN110" s="105">
        <f>+CN101/CN85</f>
        <v>0.33493564042334895</v>
      </c>
      <c r="CO110" s="105">
        <f>+CO101/CO85</f>
        <v>0.31123144506190037</v>
      </c>
      <c r="CP110" s="105">
        <f>+CP101/CP85</f>
        <v>0.29946126557085895</v>
      </c>
      <c r="CQ110" s="105"/>
      <c r="CR110" s="105"/>
      <c r="CS110" s="107"/>
      <c r="CT110" s="105">
        <f>CT101/CT$85</f>
        <v>0.28262701070805235</v>
      </c>
      <c r="CU110" s="105"/>
      <c r="CV110" s="105"/>
      <c r="CW110" s="105">
        <f>CW101/CW$85</f>
        <v>-0.94485835925986572</v>
      </c>
      <c r="CX110" s="105" t="e">
        <f>CX101/#REF!</f>
        <v>#REF!</v>
      </c>
      <c r="CY110" s="105" t="e">
        <f>CY101/#REF!</f>
        <v>#REF!</v>
      </c>
      <c r="CZ110" s="105" t="e">
        <f>CZ101/#REF!</f>
        <v>#REF!</v>
      </c>
      <c r="DA110" s="105" t="e">
        <f>DA101/#REF!</f>
        <v>#REF!</v>
      </c>
      <c r="DB110" s="105" t="e">
        <f>DB101/#REF!</f>
        <v>#REF!</v>
      </c>
      <c r="DC110" s="105">
        <f>DC101/DC85</f>
        <v>-0.51841082325349086</v>
      </c>
      <c r="DD110" s="105">
        <f>DD101/DD$85</f>
        <v>0.22881817613470601</v>
      </c>
      <c r="DE110" s="105">
        <f>DE101/DE$85</f>
        <v>-0.205618510313095</v>
      </c>
      <c r="DF110" s="105">
        <f>DF101/DF$85</f>
        <v>-0.20497761593542765</v>
      </c>
      <c r="DG110" s="105">
        <f>DG101/DG$85</f>
        <v>-0.20250000000000001</v>
      </c>
      <c r="DH110" s="105">
        <f>DH101/DH$85</f>
        <v>-0.20250000000000004</v>
      </c>
      <c r="DI110" s="105">
        <f>DI101/DI$85</f>
        <v>-0.20250000000000004</v>
      </c>
      <c r="DJ110" s="105">
        <f>DJ101/DJ$85</f>
        <v>-0.20249999999999999</v>
      </c>
      <c r="DK110" s="105">
        <f>DK101/DK$85</f>
        <v>-0.20249999999999999</v>
      </c>
      <c r="DL110" s="105">
        <f>DL101/DL$85</f>
        <v>-0.20250000000000004</v>
      </c>
      <c r="DM110" s="105"/>
      <c r="DN110" s="105"/>
      <c r="DO110" s="105"/>
      <c r="DP110" s="105"/>
      <c r="DQ110" s="105"/>
      <c r="DR110" s="105"/>
      <c r="DS110" s="105"/>
      <c r="DU110" s="108"/>
    </row>
    <row r="111" spans="2:242" s="103" customFormat="1" ht="12.75" customHeight="1">
      <c r="B111" s="104" t="s">
        <v>77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>
        <f>Z100/Z99</f>
        <v>-0.15541835213966362</v>
      </c>
      <c r="AA111" s="105">
        <f>AA100/AA99</f>
        <v>-0.28600395133617551</v>
      </c>
      <c r="AB111" s="105">
        <f>AB100/AB99</f>
        <v>-0.24472722469288008</v>
      </c>
      <c r="AC111" s="105">
        <f>AC100/AC99</f>
        <v>-0.25460470388211959</v>
      </c>
      <c r="AD111" s="105"/>
      <c r="AE111" s="105">
        <f>AE100/AE99</f>
        <v>0.25</v>
      </c>
      <c r="AF111" s="105">
        <f>AF100/AF99</f>
        <v>-0.11633127555519923</v>
      </c>
      <c r="AG111" s="105">
        <f>AG100/AG99</f>
        <v>-0.14636614535418585</v>
      </c>
      <c r="AH111" s="105">
        <v>0.26</v>
      </c>
      <c r="AI111" s="105">
        <f>AI100/AI99</f>
        <v>-0.17071193553001762</v>
      </c>
      <c r="AJ111" s="105">
        <f>AJ100/AJ99</f>
        <v>-0.21215918420256663</v>
      </c>
      <c r="AK111" s="105">
        <f>AK100/AK99</f>
        <v>0.31900000000000001</v>
      </c>
      <c r="AL111" s="105">
        <f>AL100/AL99</f>
        <v>0.11741554608068216</v>
      </c>
      <c r="AM111" s="105">
        <f>AM100/AM99</f>
        <v>0.23912599550745359</v>
      </c>
      <c r="AN111" s="105">
        <f>AN100/AN99</f>
        <v>-0.13938989513822686</v>
      </c>
      <c r="AO111" s="105">
        <f>AO100/AO99</f>
        <v>-0.16246395484385548</v>
      </c>
      <c r="AP111" s="105">
        <f>AP100/AP99</f>
        <v>-8.529977276699878E-2</v>
      </c>
      <c r="AQ111" s="105">
        <f>AQ100/AQ99</f>
        <v>-0.19732641660015962</v>
      </c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>
        <f>+CC100/CC99</f>
        <v>0.14362877485882641</v>
      </c>
      <c r="CD111" s="105">
        <f>+CD100/CD99</f>
        <v>0.10015510746731664</v>
      </c>
      <c r="CE111" s="105">
        <f>+CE100/CE99</f>
        <v>0.14339622641509434</v>
      </c>
      <c r="CF111" s="105">
        <f>+CF100/CF99</f>
        <v>0.26657263751763044</v>
      </c>
      <c r="CG111" s="105">
        <f>+CG100/CG99</f>
        <v>0.13018794048551291</v>
      </c>
      <c r="CH111" s="105">
        <f>+CH100/CH99</f>
        <v>4.2851170568561872E-2</v>
      </c>
      <c r="CI111" s="105">
        <f>+CI100/CI99</f>
        <v>0.13995878903154224</v>
      </c>
      <c r="CJ111" s="105">
        <f>+CJ100/CJ99</f>
        <v>0.13813759302958795</v>
      </c>
      <c r="CK111" s="105">
        <f>+CK100/CK99</f>
        <v>0.13738077769625825</v>
      </c>
      <c r="CL111" s="105">
        <f>+CL100/CL99</f>
        <v>0.15576451349141454</v>
      </c>
      <c r="CM111" s="105">
        <f>+CM100/CM99</f>
        <v>0.20374916313322919</v>
      </c>
      <c r="CN111" s="105">
        <f>+CN100/CN99</f>
        <v>0.15</v>
      </c>
      <c r="CO111" s="105">
        <f>+CO100/CO99</f>
        <v>0.15</v>
      </c>
      <c r="CP111" s="105">
        <f>+CP100/CP99</f>
        <v>0.15</v>
      </c>
      <c r="CQ111" s="105"/>
      <c r="CR111" s="105"/>
      <c r="CS111" s="107"/>
      <c r="CT111" s="105">
        <f>CT100/CT99</f>
        <v>0.32577076424297591</v>
      </c>
      <c r="CU111" s="105">
        <f>CU100/CU99</f>
        <v>-0.29904536604768989</v>
      </c>
      <c r="CV111" s="105">
        <f>CV100/CV99</f>
        <v>-0.22870625830244593</v>
      </c>
      <c r="CW111" s="105">
        <f>CW100/CW99</f>
        <v>-0.23040919461799261</v>
      </c>
      <c r="CX111" s="105">
        <f>CX100/CX99</f>
        <v>-0.23575806742383273</v>
      </c>
      <c r="CY111" s="105">
        <f>CY100/CY99</f>
        <v>-0.19156004200690113</v>
      </c>
      <c r="CZ111" s="105">
        <f>CZ100/CZ99</f>
        <v>-0.26061883109681716</v>
      </c>
      <c r="DA111" s="105">
        <f>DA100/DA99</f>
        <v>0.25</v>
      </c>
      <c r="DB111" s="105">
        <f>DB100/DB99</f>
        <v>0.25</v>
      </c>
      <c r="DC111" s="105">
        <f>DC100/DC99</f>
        <v>-0.1346635549999762</v>
      </c>
      <c r="DD111" s="105">
        <f>DD100/DD99</f>
        <v>0.25</v>
      </c>
      <c r="DE111" s="105">
        <f>DE100/DE99</f>
        <v>0.25</v>
      </c>
      <c r="DF111" s="105">
        <f>DF100/DF99</f>
        <v>0.25</v>
      </c>
      <c r="DG111" s="105">
        <f>DG100/DG99</f>
        <v>0.25</v>
      </c>
      <c r="DH111" s="105">
        <f>DH100/DH99</f>
        <v>0.25</v>
      </c>
      <c r="DI111" s="105">
        <f>DI100/DI99</f>
        <v>0.25</v>
      </c>
      <c r="DJ111" s="105">
        <f>DJ100/DJ99</f>
        <v>0.25</v>
      </c>
      <c r="DK111" s="105">
        <f>DK100/DK99</f>
        <v>0.25</v>
      </c>
      <c r="DL111" s="105">
        <f>DL100/DL99</f>
        <v>0.25</v>
      </c>
      <c r="DM111" s="105"/>
      <c r="DN111" s="105"/>
      <c r="DO111" s="105"/>
      <c r="DP111" s="105"/>
      <c r="DQ111" s="105"/>
      <c r="DR111" s="105"/>
      <c r="DS111" s="105"/>
      <c r="DU111" s="108"/>
    </row>
    <row r="112" spans="2:242" s="83" customFormat="1" ht="12.75" customHeight="1">
      <c r="B112" s="100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94"/>
      <c r="Z112" s="84"/>
      <c r="AA112" s="94"/>
      <c r="AB112" s="84"/>
      <c r="AC112" s="8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75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  <c r="DS112" s="84"/>
      <c r="DU112" s="87"/>
    </row>
    <row r="113" spans="2:132" s="83" customFormat="1" ht="12.75" customHeight="1">
      <c r="B113" s="110"/>
      <c r="C113" s="101"/>
      <c r="D113" s="101"/>
      <c r="E113" s="101"/>
      <c r="F113" s="101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94"/>
      <c r="Z113" s="84"/>
      <c r="AA113" s="94"/>
      <c r="AB113" s="84"/>
      <c r="AC113" s="8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75"/>
      <c r="CT113" s="10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U113" s="87"/>
    </row>
    <row r="114" spans="2:132" s="8" customFormat="1" ht="12.75" customHeight="1">
      <c r="B114" s="36" t="s">
        <v>645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+AL85/AH85-1</f>
        <v>3.4799453420143083</v>
      </c>
      <c r="AM114" s="44">
        <f>+AM85/AI85-1</f>
        <v>0.59650593990216638</v>
      </c>
      <c r="AN114" s="44" t="e">
        <f>+#REF!/AJ85-1</f>
        <v>#REF!</v>
      </c>
      <c r="AO114" s="44" t="e">
        <f>+#REF!/AK85-1</f>
        <v>#REF!</v>
      </c>
      <c r="AP114" s="44" t="e">
        <f>+#REF!/AL85-1</f>
        <v>#REF!</v>
      </c>
      <c r="AQ114" s="44" t="e">
        <f>+#REF!/AM85-1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>+CA85/BW85-1</f>
        <v>0.11473742603550297</v>
      </c>
      <c r="CB114" s="44">
        <f>+CB85/BX85-1</f>
        <v>-7.551020408163267E-2</v>
      </c>
      <c r="CC114" s="44">
        <f>+CC85/BY85-1</f>
        <v>-0.11841574574493829</v>
      </c>
      <c r="CD114" s="44">
        <f>+CD85/BZ85-1</f>
        <v>5.4432086282440117E-2</v>
      </c>
      <c r="CE114" s="44">
        <f>+CE85/CA85-1</f>
        <v>-0.11860330098697847</v>
      </c>
      <c r="CF114" s="44">
        <f>+CF85/CB85-1</f>
        <v>4.8749080206033746E-2</v>
      </c>
      <c r="CG114" s="44">
        <f>+CG85/CC85-1</f>
        <v>0.20358678744624403</v>
      </c>
      <c r="CH114" s="44">
        <f>+CH85/CD85-1</f>
        <v>8.046987374140957E-2</v>
      </c>
      <c r="CI114" s="44">
        <f>+CI85/CE85-1</f>
        <v>0.49628305260186312</v>
      </c>
      <c r="CJ114" s="44">
        <f>+CJ85/CF85-1</f>
        <v>0.27986318189791271</v>
      </c>
      <c r="CK114" s="44">
        <f>+CK85/CG85-1</f>
        <v>0.1372206173027215</v>
      </c>
      <c r="CL114" s="44">
        <f>+CL85/CH85-1</f>
        <v>2.2853339250055393E-2</v>
      </c>
      <c r="CM114" s="44">
        <f>+CM85/CI85-1</f>
        <v>-8.8925224828627081E-2</v>
      </c>
      <c r="CN114" s="44">
        <f>+CN85/CJ85-1</f>
        <v>1.5226478448571168E-2</v>
      </c>
      <c r="CO114" s="44">
        <f>+CO85/CK85-1</f>
        <v>4.9186275820576109E-2</v>
      </c>
      <c r="CP114" s="44">
        <f>+CP85/CL85-1</f>
        <v>3.4390410339840916E-2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32" s="8" customFormat="1" ht="12.75" customHeight="1">
      <c r="B115" s="36" t="s">
        <v>933</v>
      </c>
      <c r="C115" s="9"/>
      <c r="D115" s="9"/>
      <c r="E115" s="9"/>
      <c r="F115" s="9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8"/>
      <c r="Z115" s="26"/>
      <c r="AA115" s="28"/>
      <c r="AB115" s="26"/>
      <c r="AC115" s="30"/>
      <c r="AD115" s="26"/>
      <c r="AE115" s="26"/>
      <c r="AF115" s="26"/>
      <c r="AG115" s="26"/>
      <c r="AH115" s="26"/>
      <c r="AI115" s="26"/>
      <c r="AJ115" s="26"/>
      <c r="AK115" s="26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>
        <v>0.08</v>
      </c>
      <c r="CM115" s="44"/>
      <c r="CN115" s="44"/>
      <c r="CO115" s="44"/>
      <c r="CP115" s="44"/>
      <c r="CQ115" s="44"/>
      <c r="CR115" s="44"/>
      <c r="CS115" s="49"/>
      <c r="CT115" s="9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U115" s="30"/>
    </row>
    <row r="116" spans="2:132" s="83" customFormat="1" ht="12.75" customHeight="1">
      <c r="B116" s="100" t="s">
        <v>753</v>
      </c>
      <c r="C116" s="101"/>
      <c r="D116" s="101"/>
      <c r="E116" s="101"/>
      <c r="F116" s="101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94"/>
      <c r="Z116" s="84"/>
      <c r="AA116" s="94"/>
      <c r="AB116" s="84"/>
      <c r="AC116" s="87"/>
      <c r="AD116" s="84"/>
      <c r="AE116" s="84"/>
      <c r="AF116" s="84"/>
      <c r="AG116" s="84"/>
      <c r="AH116" s="84"/>
      <c r="AI116" s="84"/>
      <c r="AJ116" s="84"/>
      <c r="AK116" s="84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>
        <f>+CA3/BW3-1</f>
        <v>0.44733362714852354</v>
      </c>
      <c r="CB116" s="112">
        <f>+CB3/BX3-1</f>
        <v>0.28625664388762329</v>
      </c>
      <c r="CC116" s="112">
        <f>+CC3/BY3-1</f>
        <v>0.21009771986970693</v>
      </c>
      <c r="CD116" s="112">
        <f>+CD3/BZ3-1</f>
        <v>0.28351012536162012</v>
      </c>
      <c r="CE116" s="112">
        <f>+CE3/CA3-1</f>
        <v>0.18727161997563946</v>
      </c>
      <c r="CF116" s="112">
        <f>+CF3/CB3-1</f>
        <v>0.23258559622195984</v>
      </c>
      <c r="CG116" s="112">
        <f>+CG3/CC3-1</f>
        <v>0.22045760430686401</v>
      </c>
      <c r="CH116" s="112">
        <f>+CH3/CD3-1</f>
        <v>0.14625594790884056</v>
      </c>
      <c r="CI116" s="112">
        <f>+CI3/CE3-1</f>
        <v>0.23339317773788149</v>
      </c>
      <c r="CJ116" s="112">
        <f>+CJ3/CF3-1</f>
        <v>0.25766283524904221</v>
      </c>
      <c r="CK116" s="112">
        <f>+CK3/CG3-1</f>
        <v>0.19673577415086019</v>
      </c>
      <c r="CL116" s="112">
        <f>+CL3/CH3-1</f>
        <v>0.19073629014638405</v>
      </c>
      <c r="CM116" s="112">
        <f>+CM3/CI3-1</f>
        <v>0.20503223123310454</v>
      </c>
      <c r="CN116" s="112">
        <f>+CN3/CJ3-1</f>
        <v>0.19999999999999996</v>
      </c>
      <c r="CO116" s="112">
        <f>+CO3/CK3-1</f>
        <v>0.19999999999999996</v>
      </c>
      <c r="CP116" s="112">
        <f>+CP3/CL3-1</f>
        <v>0.19999999999999996</v>
      </c>
      <c r="CQ116" s="112"/>
      <c r="CR116" s="112"/>
      <c r="CS116" s="75"/>
      <c r="CT116" s="10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U116" s="87"/>
    </row>
    <row r="117" spans="2:132" s="83" customFormat="1" ht="12.75" customHeight="1">
      <c r="B117" s="100" t="s">
        <v>665</v>
      </c>
      <c r="C117" s="101"/>
      <c r="D117" s="101"/>
      <c r="E117" s="101"/>
      <c r="F117" s="101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94"/>
      <c r="Z117" s="84"/>
      <c r="AA117" s="112"/>
      <c r="AB117" s="112"/>
      <c r="AC117" s="112"/>
      <c r="AD117" s="112">
        <f>+AD9/Z9-1</f>
        <v>1.903225806451613</v>
      </c>
      <c r="AE117" s="112">
        <f>+AE9/AA9-1</f>
        <v>6.8493150684931559E-2</v>
      </c>
      <c r="AF117" s="112">
        <f>+AF9/AB9-1</f>
        <v>-8.9385474860335212E-2</v>
      </c>
      <c r="AG117" s="112">
        <f>+AG9/AC9-1</f>
        <v>-4.0669856459330189E-2</v>
      </c>
      <c r="AH117" s="112">
        <f>+AH9/AD9-1</f>
        <v>-8.666666666666667E-2</v>
      </c>
      <c r="AI117" s="112">
        <f>+AI9/AE9-1</f>
        <v>-0.32820512820512826</v>
      </c>
      <c r="AJ117" s="112">
        <f>+AJ9/AF9-1</f>
        <v>-0.17791411042944782</v>
      </c>
      <c r="AK117" s="112">
        <f>+AK9/AG9-1</f>
        <v>-0.22443890274314215</v>
      </c>
      <c r="AL117" s="112">
        <f>+AL9/AH9-1</f>
        <v>-0.32603406326034068</v>
      </c>
      <c r="AM117" s="112">
        <f>+AM9/AI9-1</f>
        <v>-0.11068702290076338</v>
      </c>
      <c r="AN117" s="112">
        <f>+AN9/AJ9-1</f>
        <v>-0.18283582089552242</v>
      </c>
      <c r="AO117" s="112">
        <f>+AO9/AK9-1</f>
        <v>1.6077170418006492E-2</v>
      </c>
      <c r="AP117" s="112">
        <f>+AP9/AL9-1</f>
        <v>-0.20216606498194944</v>
      </c>
      <c r="AQ117" s="112">
        <f>+AQ9/AM9-1</f>
        <v>-8.1545064377682386E-2</v>
      </c>
      <c r="AR117" s="112">
        <f>+AR9/AN9-1</f>
        <v>0.26484018264840192</v>
      </c>
      <c r="AS117" s="112">
        <f>+AS9/AO9-1</f>
        <v>0.40822784810126578</v>
      </c>
      <c r="AT117" s="112">
        <f>+AT9/AP9-1</f>
        <v>0.23981900452488691</v>
      </c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>
        <f>+CA9/BW9-1</f>
        <v>0.30906921241050123</v>
      </c>
      <c r="CB117" s="112">
        <f>+CB9/BX9-1</f>
        <v>-0.2595936794582393</v>
      </c>
      <c r="CC117" s="112">
        <f>+CC9/BY9-1</f>
        <v>-0.10075757575757571</v>
      </c>
      <c r="CD117" s="112">
        <f>+CD9/BZ9-1</f>
        <v>0.44011544011544013</v>
      </c>
      <c r="CE117" s="112">
        <f>+CE9/CA9-1</f>
        <v>-0.16408386508659978</v>
      </c>
      <c r="CF117" s="112">
        <f>+CF9/CB9-1</f>
        <v>0.88109756097560976</v>
      </c>
      <c r="CG117" s="112">
        <f>+CG9/CC9-1</f>
        <v>0.67902274641954508</v>
      </c>
      <c r="CH117" s="112">
        <f>+CH9/CD9-1</f>
        <v>0.53106212424849697</v>
      </c>
      <c r="CI117" s="112">
        <f>+CI9/CE9-1</f>
        <v>0.59214830970556154</v>
      </c>
      <c r="CJ117" s="112">
        <f>+CJ9/CF9-1</f>
        <v>0.35656401944894656</v>
      </c>
      <c r="CK117" s="112">
        <f>+CK9/CG9-1</f>
        <v>0.15102860010035113</v>
      </c>
      <c r="CL117" s="112">
        <f>+CL9/CH9-1</f>
        <v>-3.7958115183246099E-2</v>
      </c>
      <c r="CM117" s="112">
        <f>+CM9/CI9-1</f>
        <v>0.35068493150684921</v>
      </c>
      <c r="CN117" s="112">
        <f>+CN9/CJ9-1</f>
        <v>0.10000000000000009</v>
      </c>
      <c r="CO117" s="112">
        <f>+CO9/CK9-1</f>
        <v>0.10000000000000009</v>
      </c>
      <c r="CP117" s="112">
        <f>+CP9/CL9-1</f>
        <v>0.10000000000000009</v>
      </c>
      <c r="CQ117" s="112"/>
      <c r="CR117" s="112"/>
      <c r="CS117" s="75"/>
      <c r="CT117" s="10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U117" s="87"/>
    </row>
    <row r="118" spans="2:132" s="83" customFormat="1" ht="12.75" customHeight="1">
      <c r="B118" s="100" t="s">
        <v>666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112"/>
      <c r="AB118" s="112"/>
      <c r="AC118" s="112"/>
      <c r="AD118" s="112">
        <f>+AD12/Z12-1</f>
        <v>0.85281385281385291</v>
      </c>
      <c r="AE118" s="112">
        <f>+AE12/AA12-1</f>
        <v>-8.1300813008130079E-2</v>
      </c>
      <c r="AF118" s="112">
        <f>+AF12/AB12-1</f>
        <v>-7.5581395348837233E-2</v>
      </c>
      <c r="AG118" s="112">
        <f>+AG12/AC12-1</f>
        <v>4.6728971962617383E-3</v>
      </c>
      <c r="AH118" s="112">
        <f>+AH12/AD12-1</f>
        <v>4.6728971962617383E-3</v>
      </c>
      <c r="AI118" s="112">
        <f>+AI12/AE12-1</f>
        <v>0.11504424778761058</v>
      </c>
      <c r="AJ118" s="112">
        <f>+AJ12/AF12-1</f>
        <v>1.2578616352201255E-2</v>
      </c>
      <c r="AK118" s="112">
        <f>+AK12/AG12-1</f>
        <v>7.441860465116279E-2</v>
      </c>
      <c r="AL118" s="112">
        <f>+AL12/AH12-1</f>
        <v>-0.22558139534883725</v>
      </c>
      <c r="AM118" s="112">
        <f>+AM12/AI12-1</f>
        <v>0.26587301587301582</v>
      </c>
      <c r="AN118" s="112">
        <f>+AN12/AJ12-1</f>
        <v>5.5900621118012417E-2</v>
      </c>
      <c r="AO118" s="112">
        <f>+AO12/AK12-1</f>
        <v>-6.0606060606060552E-2</v>
      </c>
      <c r="AP118" s="112">
        <f>+AP12/AL12-1</f>
        <v>-0.14414414414414412</v>
      </c>
      <c r="AQ118" s="112">
        <f>+AQ12/AM12-1</f>
        <v>-0.23510971786833856</v>
      </c>
      <c r="AR118" s="112">
        <f>+AR12/AN12-1</f>
        <v>-0.14411764705882357</v>
      </c>
      <c r="AS118" s="112">
        <f>+AS12/AO12-1</f>
        <v>-9.9078341013824844E-2</v>
      </c>
      <c r="AT118" s="112">
        <f>+AT12/AP12-1</f>
        <v>-3.157894736842104E-2</v>
      </c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75"/>
      <c r="CT118" s="10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U118" s="87"/>
    </row>
    <row r="119" spans="2:132" s="83" customFormat="1" ht="12.75" customHeight="1">
      <c r="B119" s="110"/>
      <c r="C119" s="101"/>
      <c r="D119" s="101"/>
      <c r="E119" s="101"/>
      <c r="F119" s="101"/>
      <c r="G119" s="84"/>
      <c r="H119" s="84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94"/>
      <c r="Z119" s="105"/>
      <c r="AA119" s="94"/>
      <c r="AB119" s="105"/>
      <c r="AC119" s="116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5"/>
      <c r="CG119" s="105"/>
      <c r="CH119" s="105"/>
      <c r="CI119" s="105"/>
      <c r="CJ119" s="105"/>
      <c r="CK119" s="105"/>
      <c r="CL119" s="105"/>
      <c r="CM119" s="105"/>
      <c r="CN119" s="105"/>
      <c r="CO119" s="105"/>
      <c r="CP119" s="105"/>
      <c r="CQ119" s="105"/>
      <c r="CR119" s="105"/>
      <c r="CS119" s="75"/>
      <c r="CT119" s="101"/>
      <c r="CU119" s="84"/>
      <c r="CV119" s="84"/>
      <c r="CW119" s="105"/>
      <c r="CX119" s="105"/>
      <c r="CY119" s="105"/>
      <c r="CZ119" s="105"/>
      <c r="DA119" s="105"/>
      <c r="DB119" s="105"/>
      <c r="DC119" s="105"/>
      <c r="DD119" s="105"/>
      <c r="DE119" s="105"/>
      <c r="DF119" s="105"/>
      <c r="DG119" s="105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U119" s="87"/>
    </row>
    <row r="120" spans="2:132" s="83" customFormat="1" ht="12.75" customHeight="1">
      <c r="B120" s="100" t="s">
        <v>329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94"/>
      <c r="AB120" s="84"/>
      <c r="AC120" s="87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75"/>
      <c r="CT120" s="101"/>
      <c r="CU120" s="84"/>
      <c r="CV120" s="84"/>
      <c r="CW120" s="84"/>
      <c r="CX120" s="84"/>
      <c r="CY120" s="84"/>
      <c r="CZ120" s="84"/>
      <c r="DA120" s="84"/>
      <c r="DB120" s="87">
        <v>-7000</v>
      </c>
      <c r="DC120" s="87">
        <v>-7000</v>
      </c>
      <c r="DD120" s="87">
        <f>+DC120+DD101</f>
        <v>3980.0690000000031</v>
      </c>
      <c r="DE120" s="87">
        <f>+DD120+DE101</f>
        <v>-5739.5179824999977</v>
      </c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U120" s="87"/>
    </row>
    <row r="121" spans="2:132" s="83" customFormat="1" ht="12.75" customHeight="1">
      <c r="B121" s="100" t="s">
        <v>955</v>
      </c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16">
        <f>CJ122-CJ131</f>
        <v>-21297</v>
      </c>
      <c r="CK121" s="116">
        <f t="shared" ref="CK121:CM121" si="242">CK122-CK131</f>
        <v>0</v>
      </c>
      <c r="CL121" s="116">
        <f t="shared" si="242"/>
        <v>0</v>
      </c>
      <c r="CM121" s="116">
        <f t="shared" si="242"/>
        <v>-19069</v>
      </c>
      <c r="CN121" s="116">
        <f>CM121+CN101</f>
        <v>-14106.861500000001</v>
      </c>
      <c r="CO121" s="116">
        <f>CN121+CO101</f>
        <v>-9222.1532187500015</v>
      </c>
      <c r="CP121" s="116">
        <f>CO121+CP101</f>
        <v>-4938.1743359375014</v>
      </c>
      <c r="CQ121" s="105"/>
      <c r="CR121" s="105"/>
      <c r="CS121" s="75"/>
      <c r="CT121" s="101"/>
      <c r="CU121" s="84"/>
      <c r="CV121" s="84"/>
      <c r="CW121" s="105"/>
      <c r="CX121" s="105"/>
      <c r="CY121" s="105"/>
      <c r="CZ121" s="105"/>
      <c r="DA121" s="105"/>
      <c r="DB121" s="105"/>
      <c r="DC121" s="105"/>
      <c r="DD121" s="105"/>
      <c r="DE121" s="105"/>
      <c r="DF121" s="105"/>
      <c r="DG121" s="105"/>
      <c r="DH121" s="84"/>
      <c r="DI121" s="84"/>
      <c r="DJ121" s="84"/>
      <c r="DK121" s="84"/>
      <c r="DL121" s="84"/>
      <c r="DM121" s="84"/>
      <c r="DN121" s="84"/>
      <c r="DO121" s="84"/>
      <c r="DP121" s="87">
        <f>CP121</f>
        <v>-4938.1743359375014</v>
      </c>
      <c r="DQ121" s="87">
        <f>DP121+DQ101</f>
        <v>22175.146484042976</v>
      </c>
      <c r="DR121" s="87">
        <f>DQ121+DR101</f>
        <v>49005.529711173294</v>
      </c>
      <c r="DS121" s="87">
        <f>DR121+DS101</f>
        <v>74871.574662957108</v>
      </c>
      <c r="DT121" s="87">
        <f>DS121+DT101</f>
        <v>97508.191220773428</v>
      </c>
      <c r="DU121" s="87">
        <f>DT121+DU101</f>
        <v>120083.88738306021</v>
      </c>
      <c r="DV121" s="87">
        <f>DU121+DV101</f>
        <v>141578.74949227035</v>
      </c>
      <c r="DW121" s="87">
        <f>DV121+DW101</f>
        <v>161193.49744187098</v>
      </c>
      <c r="DX121" s="87">
        <f>DW121+DX101</f>
        <v>178566.63202874179</v>
      </c>
      <c r="DY121" s="87">
        <f>DX121+DY101</f>
        <v>193867.62037386597</v>
      </c>
      <c r="DZ121" s="87">
        <f>DY121+DZ101</f>
        <v>207981.53786420525</v>
      </c>
      <c r="EA121" s="87">
        <f>DZ121+EA101</f>
        <v>221368.2536836848</v>
      </c>
      <c r="EB121" s="87">
        <f>EA121+EB101</f>
        <v>234389.11267374686</v>
      </c>
    </row>
    <row r="122" spans="2:132" s="83" customFormat="1" ht="12.75" customHeight="1">
      <c r="B122" s="100" t="s">
        <v>329</v>
      </c>
      <c r="C122" s="101"/>
      <c r="D122" s="101"/>
      <c r="E122" s="101"/>
      <c r="F122" s="101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94"/>
      <c r="Z122" s="84"/>
      <c r="AA122" s="94"/>
      <c r="AB122" s="84"/>
      <c r="AC122" s="87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7">
        <f>9675+453+238</f>
        <v>10366</v>
      </c>
      <c r="CK122" s="84"/>
      <c r="CL122" s="84"/>
      <c r="CM122" s="87">
        <f>9707+680+1290</f>
        <v>11677</v>
      </c>
      <c r="CN122" s="84"/>
      <c r="CO122" s="84"/>
      <c r="CP122" s="84"/>
      <c r="CQ122" s="84"/>
      <c r="CR122" s="84"/>
      <c r="CS122" s="75"/>
      <c r="CT122" s="101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4"/>
      <c r="DF122" s="84"/>
      <c r="DG122" s="84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U122" s="87"/>
    </row>
    <row r="123" spans="2:132" s="83" customFormat="1" ht="12.75" customHeight="1">
      <c r="B123" s="100" t="s">
        <v>809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v>9643</v>
      </c>
      <c r="CK123" s="84"/>
      <c r="CL123" s="84"/>
      <c r="CM123" s="87">
        <v>10415</v>
      </c>
      <c r="CN123" s="84"/>
      <c r="CO123" s="84"/>
      <c r="CP123" s="84"/>
      <c r="CQ123" s="84"/>
      <c r="CR123" s="84"/>
      <c r="CS123" s="75"/>
      <c r="CT123" s="101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U123" s="87"/>
    </row>
    <row r="124" spans="2:132" s="83" customFormat="1" ht="12.75" customHeight="1">
      <c r="B124" s="100" t="s">
        <v>810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5535</v>
      </c>
      <c r="CK124" s="84"/>
      <c r="CL124" s="84"/>
      <c r="CM124" s="87">
        <v>5863</v>
      </c>
      <c r="CN124" s="84"/>
      <c r="CO124" s="84"/>
      <c r="CP124" s="84"/>
      <c r="CQ124" s="84"/>
      <c r="CR124" s="84"/>
      <c r="CS124" s="75"/>
      <c r="CT124" s="101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U124" s="87"/>
    </row>
    <row r="125" spans="2:132" s="83" customFormat="1" ht="12.75" customHeight="1">
      <c r="B125" s="100" t="s">
        <v>811</v>
      </c>
      <c r="C125" s="101"/>
      <c r="D125" s="101"/>
      <c r="E125" s="101"/>
      <c r="F125" s="101"/>
      <c r="G125" s="84"/>
      <c r="H125" s="84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94"/>
      <c r="Z125" s="88"/>
      <c r="AA125" s="94"/>
      <c r="AB125" s="88"/>
      <c r="AC125" s="87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7">
        <v>6810</v>
      </c>
      <c r="CK125" s="88"/>
      <c r="CL125" s="88"/>
      <c r="CM125" s="87">
        <v>6737</v>
      </c>
      <c r="CN125" s="88"/>
      <c r="CO125" s="88"/>
      <c r="CP125" s="88"/>
      <c r="CQ125" s="88"/>
      <c r="CR125" s="88"/>
      <c r="CS125" s="75"/>
      <c r="CT125" s="101"/>
      <c r="CU125" s="84"/>
      <c r="CV125" s="84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U125" s="87"/>
    </row>
    <row r="126" spans="2:132" s="83" customFormat="1" ht="12.75" customHeight="1">
      <c r="B126" s="100" t="s">
        <v>812</v>
      </c>
      <c r="C126" s="101"/>
      <c r="D126" s="101"/>
      <c r="E126" s="101"/>
      <c r="F126" s="101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94"/>
      <c r="Z126" s="84"/>
      <c r="AA126" s="94"/>
      <c r="AB126" s="84"/>
      <c r="AC126" s="87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7">
        <v>20059</v>
      </c>
      <c r="CK126" s="84"/>
      <c r="CL126" s="84"/>
      <c r="CM126" s="87">
        <v>21758</v>
      </c>
      <c r="CN126" s="84"/>
      <c r="CO126" s="84"/>
      <c r="CP126" s="84"/>
      <c r="CQ126" s="84"/>
      <c r="CR126" s="84"/>
      <c r="CS126" s="75"/>
      <c r="CT126" s="101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4"/>
      <c r="DL126" s="84"/>
      <c r="DM126" s="84"/>
      <c r="DN126" s="84"/>
      <c r="DO126" s="84"/>
      <c r="DP126" s="84"/>
      <c r="DQ126" s="84"/>
      <c r="DR126" s="84"/>
      <c r="DS126" s="84"/>
      <c r="DU126" s="87"/>
    </row>
    <row r="127" spans="2:132" s="83" customFormat="1" ht="12.75" customHeight="1">
      <c r="B127" s="100" t="s">
        <v>813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f>21213+22497</f>
        <v>43710</v>
      </c>
      <c r="CK127" s="84"/>
      <c r="CL127" s="84"/>
      <c r="CM127" s="87">
        <f>21209+19857</f>
        <v>41066</v>
      </c>
      <c r="CN127" s="84"/>
      <c r="CO127" s="84"/>
      <c r="CP127" s="84"/>
      <c r="CQ127" s="84"/>
      <c r="CR127" s="84"/>
      <c r="CS127" s="75"/>
      <c r="CT127" s="101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U127" s="87"/>
    </row>
    <row r="128" spans="2:132" s="83" customFormat="1" ht="12.75" customHeight="1">
      <c r="B128" s="100" t="s">
        <v>814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v>10972</v>
      </c>
      <c r="CK128" s="84"/>
      <c r="CL128" s="84"/>
      <c r="CM128" s="87">
        <v>10280</v>
      </c>
      <c r="CN128" s="84"/>
      <c r="CO128" s="84"/>
      <c r="CP128" s="84"/>
      <c r="CQ128" s="84"/>
      <c r="CR128" s="84"/>
      <c r="CS128" s="75"/>
      <c r="CT128" s="101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U128" s="87"/>
    </row>
    <row r="129" spans="2:125" s="83" customFormat="1" ht="12.75" customHeight="1">
      <c r="B129" s="100" t="s">
        <v>808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f>SUM(CJ122:CJ128)</f>
        <v>107095</v>
      </c>
      <c r="CK129" s="84"/>
      <c r="CL129" s="84"/>
      <c r="CM129" s="87">
        <f>SUM(CM122:CM128)</f>
        <v>107796</v>
      </c>
      <c r="CN129" s="84"/>
      <c r="CO129" s="84"/>
      <c r="CP129" s="84"/>
      <c r="CQ129" s="84"/>
      <c r="CR129" s="84"/>
      <c r="CS129" s="75"/>
      <c r="CT129" s="101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U129" s="87"/>
    </row>
    <row r="130" spans="2:125" s="83" customFormat="1" ht="12.75" customHeight="1">
      <c r="B130" s="110"/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75"/>
      <c r="CT130" s="101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U130" s="87"/>
    </row>
    <row r="131" spans="2:125" s="92" customFormat="1" ht="12.75" customHeight="1">
      <c r="B131" s="113" t="s">
        <v>330</v>
      </c>
      <c r="C131" s="93"/>
      <c r="D131" s="93"/>
      <c r="E131" s="93"/>
      <c r="F131" s="93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94"/>
      <c r="Z131" s="87"/>
      <c r="AA131" s="94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>
        <f>2979+28684</f>
        <v>31663</v>
      </c>
      <c r="CK131" s="87"/>
      <c r="CL131" s="87"/>
      <c r="CM131" s="87">
        <f>2672+28074</f>
        <v>30746</v>
      </c>
      <c r="CN131" s="87"/>
      <c r="CO131" s="87"/>
      <c r="CP131" s="87"/>
      <c r="CQ131" s="87"/>
      <c r="CR131" s="87"/>
      <c r="CS131" s="95"/>
      <c r="CT131" s="93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U131" s="87"/>
    </row>
    <row r="132" spans="2:125" s="92" customFormat="1" ht="12.75" customHeight="1">
      <c r="B132" s="113" t="s">
        <v>815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v>3482</v>
      </c>
      <c r="CK132" s="87"/>
      <c r="CL132" s="87"/>
      <c r="CM132" s="87">
        <v>3680</v>
      </c>
      <c r="CN132" s="87"/>
      <c r="CO132" s="87"/>
      <c r="CP132" s="87"/>
      <c r="CQ132" s="87"/>
      <c r="CR132" s="87"/>
      <c r="CS132" s="95"/>
      <c r="CT132" s="93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U132" s="87"/>
    </row>
    <row r="133" spans="2:125" s="92" customFormat="1" ht="12.75" customHeight="1">
      <c r="B133" s="113" t="s">
        <v>816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13501</v>
      </c>
      <c r="CK133" s="87"/>
      <c r="CL133" s="87"/>
      <c r="CM133" s="87">
        <v>13000</v>
      </c>
      <c r="CN133" s="87"/>
      <c r="CO133" s="87"/>
      <c r="CP133" s="87"/>
      <c r="CQ133" s="87"/>
      <c r="CR133" s="87"/>
      <c r="CS133" s="95"/>
      <c r="CT133" s="93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U133" s="87"/>
    </row>
    <row r="134" spans="2:125" s="92" customFormat="1" ht="12.75" customHeight="1">
      <c r="B134" s="113" t="s">
        <v>473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f>1438+2974</f>
        <v>4412</v>
      </c>
      <c r="CK134" s="87"/>
      <c r="CL134" s="87"/>
      <c r="CM134" s="87">
        <f>1872+1442</f>
        <v>3314</v>
      </c>
      <c r="CN134" s="87"/>
      <c r="CO134" s="87"/>
      <c r="CP134" s="87"/>
      <c r="CQ134" s="87"/>
      <c r="CR134" s="87"/>
      <c r="CS134" s="95"/>
      <c r="CT134" s="93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U134" s="87"/>
    </row>
    <row r="135" spans="2:125" s="92" customFormat="1" ht="12.75" customHeight="1">
      <c r="B135" s="113" t="s">
        <v>817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v>1768</v>
      </c>
      <c r="CK135" s="87"/>
      <c r="CL135" s="87"/>
      <c r="CM135" s="87">
        <v>1907</v>
      </c>
      <c r="CN135" s="87"/>
      <c r="CO135" s="87"/>
      <c r="CP135" s="87"/>
      <c r="CQ135" s="87"/>
      <c r="CR135" s="87"/>
      <c r="CS135" s="95"/>
      <c r="CT135" s="93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U135" s="87"/>
    </row>
    <row r="136" spans="2:125" s="92" customFormat="1" ht="12.75" customHeight="1">
      <c r="B136" s="113" t="s">
        <v>818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8951</v>
      </c>
      <c r="CK136" s="87"/>
      <c r="CL136" s="87"/>
      <c r="CM136" s="87">
        <v>8244</v>
      </c>
      <c r="CN136" s="87"/>
      <c r="CO136" s="87"/>
      <c r="CP136" s="87"/>
      <c r="CQ136" s="87"/>
      <c r="CR136" s="87"/>
      <c r="CS136" s="95"/>
      <c r="CT136" s="93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U136" s="87"/>
    </row>
    <row r="137" spans="2:125" s="92" customFormat="1" ht="12.75" customHeight="1">
      <c r="B137" s="113" t="s">
        <v>819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43318</v>
      </c>
      <c r="CK137" s="87"/>
      <c r="CL137" s="87"/>
      <c r="CM137" s="87">
        <v>46905</v>
      </c>
      <c r="CN137" s="87"/>
      <c r="CO137" s="87"/>
      <c r="CP137" s="87"/>
      <c r="CQ137" s="87"/>
      <c r="CR137" s="87"/>
      <c r="CS137" s="95"/>
      <c r="CT137" s="93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U137" s="87"/>
    </row>
    <row r="138" spans="2:125" s="92" customFormat="1" ht="12.75" customHeight="1">
      <c r="B138" s="113" t="s">
        <v>820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f>SUM(CJ131:CJ137)</f>
        <v>107095</v>
      </c>
      <c r="CK138" s="87"/>
      <c r="CL138" s="87"/>
      <c r="CM138" s="87">
        <f>SUM(CM131:CM137)</f>
        <v>107796</v>
      </c>
      <c r="CN138" s="87"/>
      <c r="CO138" s="87"/>
      <c r="CP138" s="87"/>
      <c r="CQ138" s="87"/>
      <c r="CR138" s="87"/>
      <c r="CS138" s="95"/>
      <c r="CT138" s="93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U138" s="87"/>
    </row>
    <row r="139" spans="2:125" s="83" customFormat="1" ht="12.75" customHeight="1">
      <c r="B139" s="110"/>
      <c r="C139" s="101"/>
      <c r="D139" s="101"/>
      <c r="E139" s="101"/>
      <c r="F139" s="101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94"/>
      <c r="Z139" s="84"/>
      <c r="AA139" s="94"/>
      <c r="AB139" s="84"/>
      <c r="AC139" s="87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75"/>
      <c r="CT139" s="101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  <c r="DM139" s="84"/>
      <c r="DN139" s="84"/>
      <c r="DO139" s="84"/>
      <c r="DP139" s="84"/>
      <c r="DQ139" s="84"/>
      <c r="DR139" s="84"/>
      <c r="DS139" s="84"/>
      <c r="DU139" s="87"/>
    </row>
    <row r="140" spans="2:125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75"/>
      <c r="CT140" s="101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U140" s="87"/>
    </row>
    <row r="141" spans="2:125" s="83" customFormat="1" ht="12.75" customHeight="1">
      <c r="B141" s="110"/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75"/>
      <c r="CT141" s="101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U141" s="87"/>
    </row>
    <row r="142" spans="2:125" s="83" customFormat="1" ht="12.75" customHeight="1">
      <c r="B142" s="110"/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75"/>
      <c r="CT142" s="101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U142" s="87"/>
    </row>
    <row r="143" spans="2:125" s="83" customFormat="1" ht="12.75" customHeight="1">
      <c r="B143" s="110"/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75"/>
      <c r="CT143" s="101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U143" s="87"/>
    </row>
    <row r="144" spans="2:125" s="83" customFormat="1" ht="12.75" customHeight="1">
      <c r="B144" s="110"/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75"/>
      <c r="CT144" s="101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U144" s="87"/>
    </row>
    <row r="145" spans="2:125" s="83" customFormat="1" ht="12.75" customHeight="1">
      <c r="B145" s="110"/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75"/>
      <c r="CT145" s="101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U145" s="87"/>
    </row>
    <row r="146" spans="2:125" s="83" customFormat="1" ht="12.75" customHeight="1">
      <c r="B146" s="110"/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75"/>
      <c r="CT146" s="101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U146" s="87"/>
    </row>
    <row r="147" spans="2:125" s="83" customFormat="1" ht="12.75" customHeight="1">
      <c r="B147" s="110"/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75"/>
      <c r="CT147" s="101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U147" s="87"/>
    </row>
    <row r="148" spans="2:125" s="83" customFormat="1" ht="12.75" customHeight="1">
      <c r="B148" s="110"/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75"/>
      <c r="CT148" s="101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U148" s="87"/>
    </row>
    <row r="149" spans="2:125" s="83" customFormat="1" ht="12.75" customHeight="1">
      <c r="B149" s="110"/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75"/>
      <c r="CT149" s="101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U149" s="87"/>
    </row>
    <row r="150" spans="2:125" s="83" customFormat="1" ht="12.75" customHeight="1">
      <c r="B150" s="110"/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75"/>
      <c r="CT150" s="101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U150" s="87"/>
    </row>
    <row r="151" spans="2:125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75"/>
      <c r="CT151" s="101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U151" s="87"/>
    </row>
    <row r="152" spans="2:125" s="83" customFormat="1" ht="12.75" customHeight="1">
      <c r="B152" s="110"/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75"/>
      <c r="CT152" s="101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U152" s="87"/>
    </row>
    <row r="153" spans="2:125" s="83" customFormat="1" ht="12.75" customHeight="1">
      <c r="B153" s="110"/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75"/>
      <c r="CT153" s="101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U153" s="87"/>
    </row>
    <row r="154" spans="2:125" s="83" customFormat="1" ht="12.75" customHeight="1">
      <c r="B154" s="110"/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75"/>
      <c r="CT154" s="101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U154" s="87"/>
    </row>
    <row r="155" spans="2:125" s="83" customFormat="1" ht="12.75" customHeight="1">
      <c r="B155" s="110"/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75"/>
      <c r="CT155" s="101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U155" s="87"/>
    </row>
    <row r="156" spans="2:125" s="83" customFormat="1" ht="12.75" customHeight="1">
      <c r="B156" s="110"/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75"/>
      <c r="CT156" s="101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U156" s="87"/>
    </row>
    <row r="157" spans="2:125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75"/>
      <c r="CT157" s="101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U157" s="87"/>
    </row>
    <row r="158" spans="2:125" s="83" customFormat="1" ht="12.75" customHeight="1">
      <c r="B158" s="110"/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75"/>
      <c r="CT158" s="101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U158" s="87"/>
    </row>
    <row r="159" spans="2:125" s="83" customFormat="1" ht="12.75" customHeight="1">
      <c r="B159" s="110"/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75"/>
      <c r="CT159" s="101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U159" s="87"/>
    </row>
    <row r="160" spans="2:125" s="83" customFormat="1" ht="12.75" customHeight="1">
      <c r="B160" s="110"/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75"/>
      <c r="CT160" s="101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U160" s="87"/>
    </row>
    <row r="161" spans="2:129" s="83" customFormat="1" ht="12.75" customHeight="1">
      <c r="B161" s="110"/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75"/>
      <c r="CT161" s="101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U161" s="87"/>
    </row>
    <row r="162" spans="2:129" s="83" customFormat="1" ht="12.75" customHeight="1">
      <c r="B162" s="110"/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75"/>
      <c r="CT162" s="101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U162" s="87"/>
    </row>
    <row r="163" spans="2:129" s="83" customFormat="1" ht="12.75" customHeight="1">
      <c r="B163" s="110"/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75"/>
      <c r="CT163" s="101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U163" s="87"/>
    </row>
    <row r="164" spans="2:129" s="83" customFormat="1" ht="12.75" customHeight="1">
      <c r="B164" s="110"/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75"/>
      <c r="CT164" s="101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U164" s="87"/>
    </row>
    <row r="165" spans="2:129" s="83" customFormat="1" ht="12.75" customHeight="1">
      <c r="B165" s="110"/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75"/>
      <c r="CT165" s="101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U165" s="87"/>
    </row>
    <row r="166" spans="2:129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75"/>
      <c r="CT166" s="101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U166" s="87"/>
    </row>
    <row r="167" spans="2:129" s="83" customFormat="1" ht="12.75" customHeight="1">
      <c r="B167" s="100" t="s">
        <v>648</v>
      </c>
      <c r="C167" s="101"/>
      <c r="D167" s="101"/>
      <c r="E167" s="101"/>
      <c r="F167" s="101"/>
      <c r="G167" s="86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7">
        <v>5822.1</v>
      </c>
      <c r="AF167" s="84"/>
      <c r="AG167" s="87">
        <v>5943.9</v>
      </c>
      <c r="AH167" s="87">
        <v>6032.4</v>
      </c>
      <c r="AI167" s="87">
        <v>5385.2</v>
      </c>
      <c r="AJ167" s="87">
        <v>5899.9</v>
      </c>
      <c r="AK167" s="87">
        <v>6049.7</v>
      </c>
      <c r="AL167" s="87">
        <v>10093</v>
      </c>
      <c r="AM167" s="87">
        <v>11422.2</v>
      </c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75"/>
      <c r="CT167" s="101"/>
      <c r="CU167" s="84"/>
      <c r="CV167" s="84"/>
      <c r="CW167" s="84"/>
      <c r="CX167" s="84"/>
      <c r="CY167" s="84"/>
      <c r="CZ167" s="84"/>
      <c r="DA167" s="84"/>
      <c r="DB167" s="84"/>
      <c r="DC167" s="84"/>
      <c r="DD167" s="87">
        <v>46136</v>
      </c>
      <c r="DE167" s="87">
        <v>44967</v>
      </c>
      <c r="DF167" s="87">
        <v>43298</v>
      </c>
      <c r="DG167" s="87">
        <v>43906</v>
      </c>
      <c r="DH167" s="87">
        <v>45007</v>
      </c>
      <c r="DI167" s="87">
        <v>50091</v>
      </c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U167" s="87"/>
      <c r="DY167" s="102"/>
    </row>
    <row r="168" spans="2:129" s="83" customFormat="1" ht="12.75" customHeight="1">
      <c r="B168" s="110"/>
      <c r="C168" s="101"/>
      <c r="D168" s="101"/>
      <c r="E168" s="101"/>
      <c r="F168" s="101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75"/>
      <c r="CT168" s="101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DR168" s="84"/>
      <c r="DS168" s="84"/>
      <c r="DU168" s="87"/>
    </row>
    <row r="169" spans="2:129" s="83" customFormat="1" ht="12.75" customHeight="1">
      <c r="B169" s="100" t="s">
        <v>646</v>
      </c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112" t="s">
        <v>442</v>
      </c>
      <c r="AB169" s="112" t="s">
        <v>442</v>
      </c>
      <c r="AC169" s="112" t="s">
        <v>442</v>
      </c>
      <c r="AD169" s="112">
        <f>+AD10/Z10-1</f>
        <v>3.7619047619047619</v>
      </c>
      <c r="AE169" s="112">
        <f>+AE10/AA10-1</f>
        <v>2.1264367816091956</v>
      </c>
      <c r="AF169" s="112">
        <f>+AF10/AB10-1</f>
        <v>1.3194444444444446</v>
      </c>
      <c r="AG169" s="112">
        <f>+AG10/AC10-1</f>
        <v>1.0486486486486486</v>
      </c>
      <c r="AH169" s="112">
        <f>+AH10/AD10-1</f>
        <v>-1</v>
      </c>
      <c r="AI169" s="112">
        <f>+AI10/AE10-1</f>
        <v>0.51102941176470584</v>
      </c>
      <c r="AJ169" s="112">
        <f>+AJ10/AF10-1</f>
        <v>0.38323353293413165</v>
      </c>
      <c r="AK169" s="112">
        <f>+AK10/AG10-1</f>
        <v>0.29551451187335087</v>
      </c>
      <c r="AL169" s="112" t="e">
        <f>+AL10/AH10-1</f>
        <v>#DIV/0!</v>
      </c>
      <c r="AM169" s="112">
        <f>+AM10/AI10-1</f>
        <v>0.24330900243308995</v>
      </c>
      <c r="AN169" s="112">
        <f>+AN10/AJ10-1</f>
        <v>0.29870129870129869</v>
      </c>
      <c r="AO169" s="112">
        <f>+AO10/AK10-1</f>
        <v>0.22199592668024448</v>
      </c>
      <c r="AP169" s="112">
        <f>+AP10/AL10-1</f>
        <v>0.20967741935483875</v>
      </c>
      <c r="AQ169" s="112">
        <f>+AQ10/AM10-1</f>
        <v>0.44618395303326808</v>
      </c>
      <c r="AR169" s="112">
        <f>+AR10/AN10-1</f>
        <v>0.29833333333333334</v>
      </c>
      <c r="AS169" s="112">
        <f>+AS10/AO10-1</f>
        <v>0.40999999999999992</v>
      </c>
      <c r="AT169" s="112">
        <f>+AT10/AP10-1</f>
        <v>0.42222222222222228</v>
      </c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>
        <f>+CA10/BW10-1</f>
        <v>-6.067961165048541E-2</v>
      </c>
      <c r="CB169" s="112">
        <f>+CB10/BX10-1</f>
        <v>-5.9471365638766538E-2</v>
      </c>
      <c r="CC169" s="112">
        <f>+CC10/BY10-1</f>
        <v>1.7348203221809078E-2</v>
      </c>
      <c r="CD169" s="112">
        <f>+CD10/BZ10-1</f>
        <v>-9.1198303287380655E-2</v>
      </c>
      <c r="CE169" s="112">
        <f>+CE10/CA10-1</f>
        <v>4.5219638242893989E-2</v>
      </c>
      <c r="CF169" s="112">
        <f>+CF10/CB10-1</f>
        <v>-8.1967213114754078E-2</v>
      </c>
      <c r="CG169" s="112">
        <f>+CG10/CC10-1</f>
        <v>3.7758830694275325E-2</v>
      </c>
      <c r="CH169" s="112">
        <f>+CH10/CD10-1</f>
        <v>2.4504084014002281E-2</v>
      </c>
      <c r="CI169" s="112">
        <f>+CI10/CE10-1</f>
        <v>-3.7082818294190356E-2</v>
      </c>
      <c r="CJ169" s="112">
        <f>+CJ10/CF10-1</f>
        <v>-3.5714285714285698E-2</v>
      </c>
      <c r="CK169" s="112">
        <f>+CK10/CG10-1</f>
        <v>-0.15845070422535212</v>
      </c>
      <c r="CL169" s="112">
        <f>+CL10/CH10-1</f>
        <v>-0.36104783599088841</v>
      </c>
      <c r="CM169" s="112">
        <f>+CM10/CI10-1</f>
        <v>-0.29268292682926833</v>
      </c>
      <c r="CN169" s="112">
        <f>+CN10/CJ10-1</f>
        <v>-0.30760582010582016</v>
      </c>
      <c r="CO169" s="112">
        <f>+CO10/CK10-1</f>
        <v>-0.30644700139470027</v>
      </c>
      <c r="CP169" s="112">
        <f>+CP10/CL10-1</f>
        <v>-0.15790797682709468</v>
      </c>
      <c r="CQ169" s="112"/>
      <c r="CR169" s="112"/>
      <c r="CS169" s="75"/>
      <c r="CT169" s="101"/>
      <c r="CU169" s="111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U169" s="87"/>
    </row>
    <row r="170" spans="2:129" s="83" customFormat="1" ht="12.75" customHeight="1">
      <c r="B170" s="100" t="s">
        <v>664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 t="s">
        <v>442</v>
      </c>
      <c r="AE170" s="112" t="s">
        <v>442</v>
      </c>
      <c r="AF170" s="112">
        <f>+AF11/AB11-1</f>
        <v>2</v>
      </c>
      <c r="AG170" s="112">
        <f>+AG11/AC11-1</f>
        <v>4.3157894736842106</v>
      </c>
      <c r="AH170" s="112">
        <f>+AH11/AD11-1</f>
        <v>-1</v>
      </c>
      <c r="AI170" s="112">
        <f>+AI11/AE11-1</f>
        <v>1.2068965517241379</v>
      </c>
      <c r="AJ170" s="112">
        <f>+AJ11/AF11-1</f>
        <v>1.1527777777777777</v>
      </c>
      <c r="AK170" s="112">
        <f>+AK11/AG11-1</f>
        <v>0.71287128712871284</v>
      </c>
      <c r="AL170" s="112" t="e">
        <f>+AL11/AH11-1</f>
        <v>#DIV/0!</v>
      </c>
      <c r="AM170" s="112">
        <f>+AM11/AI11-1</f>
        <v>0.5703125</v>
      </c>
      <c r="AN170" s="112">
        <f>+AN11/AJ11-1</f>
        <v>0.40645161290322585</v>
      </c>
      <c r="AO170" s="112">
        <f>+AO11/AK11-1</f>
        <v>0.42774566473988429</v>
      </c>
      <c r="AP170" s="112">
        <f>+AP11/AL11-1</f>
        <v>0.42574257425742568</v>
      </c>
      <c r="AQ170" s="112">
        <f>+AQ11/AM11-1</f>
        <v>0.51741293532338317</v>
      </c>
      <c r="AR170" s="112">
        <f>+AR11/AN11-1</f>
        <v>0.47247706422018343</v>
      </c>
      <c r="AS170" s="112">
        <f>+AS11/AO11-1</f>
        <v>0.417004048582996</v>
      </c>
      <c r="AT170" s="112">
        <f>+AT11/AP11-1</f>
        <v>0.34027777777777768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>+CA11/BW11-1</f>
        <v>-5.0943396226415083E-2</v>
      </c>
      <c r="CB170" s="112">
        <f>+CB11/BX11-1</f>
        <v>-8.0675422138836828E-2</v>
      </c>
      <c r="CC170" s="112">
        <f>+CC11/BY11-1</f>
        <v>5.9642147117295874E-3</v>
      </c>
      <c r="CD170" s="112">
        <f>+CD11/BZ11-1</f>
        <v>-6.3157894736841635E-3</v>
      </c>
      <c r="CE170" s="112">
        <f>+CE11/CA11-1</f>
        <v>-3.379721669980118E-2</v>
      </c>
      <c r="CF170" s="112">
        <f>+CF11/CB11-1</f>
        <v>-2.6530612244897944E-2</v>
      </c>
      <c r="CG170" s="112">
        <f>+CG11/CC11-1</f>
        <v>-3.7549407114624511E-2</v>
      </c>
      <c r="CH170" s="112">
        <f>+CH11/CD11-1</f>
        <v>8.8983050847457612E-2</v>
      </c>
      <c r="CI170" s="112">
        <f>+CI11/CE11-1</f>
        <v>-6.5843621399176988E-2</v>
      </c>
      <c r="CJ170" s="112">
        <f>+CJ11/CF11-1</f>
        <v>-2.0964360587002462E-3</v>
      </c>
      <c r="CK170" s="112">
        <f>+CK11/CG11-1</f>
        <v>-0.14373716632443534</v>
      </c>
      <c r="CL170" s="112">
        <f>+CL11/CH11-1</f>
        <v>-0.3132295719844358</v>
      </c>
      <c r="CM170" s="112">
        <f>+CM11/CI11-1</f>
        <v>-0.27533039647577096</v>
      </c>
      <c r="CN170" s="112">
        <f>+CN11/CJ11-1</f>
        <v>-0.34338235294117647</v>
      </c>
      <c r="CO170" s="112">
        <f>+CO11/CK11-1</f>
        <v>-0.28795563549160663</v>
      </c>
      <c r="CP170" s="112">
        <f>+CP11/CL11-1</f>
        <v>-0.20091678470254959</v>
      </c>
      <c r="CQ170" s="112"/>
      <c r="CR170" s="112"/>
      <c r="CS170" s="75"/>
      <c r="CT170" s="101"/>
      <c r="CU170" s="111"/>
      <c r="CV170" s="111"/>
      <c r="CW170" s="111"/>
      <c r="CX170" s="111"/>
      <c r="CY170" s="111"/>
      <c r="CZ170" s="111"/>
      <c r="DA170" s="111"/>
      <c r="DB170" s="111"/>
      <c r="DC170" s="111"/>
      <c r="DD170" s="111"/>
      <c r="DE170" s="111"/>
      <c r="DF170" s="111"/>
      <c r="DG170" s="111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U170" s="87"/>
    </row>
    <row r="171" spans="2:129" s="83" customFormat="1" ht="12.75" customHeight="1">
      <c r="B171" s="100" t="s">
        <v>661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/>
      <c r="AB171" s="112"/>
      <c r="AC171" s="112"/>
      <c r="AD171" s="112" t="s">
        <v>442</v>
      </c>
      <c r="AE171" s="112" t="s">
        <v>442</v>
      </c>
      <c r="AF171" s="112" t="s">
        <v>442</v>
      </c>
      <c r="AG171" s="112" t="s">
        <v>442</v>
      </c>
      <c r="AH171" s="112">
        <f>+AH22/AD22-1</f>
        <v>7.9120879120879062E-2</v>
      </c>
      <c r="AI171" s="112">
        <f>+AI22/AE22-1</f>
        <v>2.1696252465483346E-2</v>
      </c>
      <c r="AJ171" s="112">
        <f>+AJ22/AF22-1</f>
        <v>1.4362657091562037E-2</v>
      </c>
      <c r="AK171" s="112">
        <f>+AK22/AG22-1</f>
        <v>7.8014184397163122E-2</v>
      </c>
      <c r="AL171" s="112">
        <f>+AL22/AH22-1</f>
        <v>-0.12219959266802449</v>
      </c>
      <c r="AM171" s="112">
        <f>+AM22/AI22-1</f>
        <v>0.30115830115830122</v>
      </c>
      <c r="AN171" s="112">
        <f>+AN22/AJ22-1</f>
        <v>0.1840707964601771</v>
      </c>
      <c r="AO171" s="112">
        <f>+AO22/AK22-1</f>
        <v>8.7171052631578982E-2</v>
      </c>
      <c r="AP171" s="112">
        <f>+AP22/AL22-1</f>
        <v>0.64733178654292334</v>
      </c>
      <c r="AQ171" s="112">
        <f>+AQ22/AM22-1</f>
        <v>0.1172106824925816</v>
      </c>
      <c r="AR171" s="112">
        <f>+AR22/AN22-1</f>
        <v>0.25859491778774291</v>
      </c>
      <c r="AS171" s="112">
        <f>+AS22/AO22-1</f>
        <v>-0.15128593040847205</v>
      </c>
      <c r="AT171" s="112">
        <f>+AT22/AP22-1</f>
        <v>-0.28028169014084503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112"/>
      <c r="CF171" s="112"/>
      <c r="CG171" s="112"/>
      <c r="CH171" s="112"/>
      <c r="CI171" s="112"/>
      <c r="CJ171" s="112"/>
      <c r="CK171" s="112"/>
      <c r="CL171" s="112"/>
      <c r="CM171" s="112"/>
      <c r="CN171" s="112"/>
      <c r="CO171" s="112"/>
      <c r="CP171" s="112"/>
      <c r="CQ171" s="112"/>
      <c r="CR171" s="112"/>
      <c r="CS171" s="75"/>
      <c r="CT171" s="101"/>
      <c r="CU171" s="111"/>
      <c r="CV171" s="111"/>
      <c r="CW171" s="111"/>
      <c r="CX171" s="111"/>
      <c r="CY171" s="111"/>
      <c r="CZ171" s="111"/>
      <c r="DA171" s="111"/>
      <c r="DB171" s="111"/>
      <c r="DC171" s="111"/>
      <c r="DD171" s="111"/>
      <c r="DE171" s="111"/>
      <c r="DF171" s="111"/>
      <c r="DG171" s="111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U171" s="87"/>
    </row>
    <row r="172" spans="2:129" s="83" customFormat="1" ht="12.75" customHeight="1">
      <c r="B172" s="100" t="s">
        <v>662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>
        <f>+AD49/Z49-1</f>
        <v>8.5187194791101595E-2</v>
      </c>
      <c r="AE172" s="112">
        <f>+AE49/AA49-1</f>
        <v>4.3924334722667657E-2</v>
      </c>
      <c r="AF172" s="112">
        <f>+AF49/AB49-1</f>
        <v>-0.13738344988344986</v>
      </c>
      <c r="AG172" s="112">
        <f>+AG49/AC49-1</f>
        <v>-0.18152958152958143</v>
      </c>
      <c r="AH172" s="112">
        <f>+AH49/AD49-1</f>
        <v>-3.7999999999999923E-2</v>
      </c>
      <c r="AI172" s="112">
        <f>+AI49/AE49-1</f>
        <v>-0.26750614250614257</v>
      </c>
      <c r="AJ172" s="112">
        <f>+AJ49/AF49-1</f>
        <v>-0.10150312447221754</v>
      </c>
      <c r="AK172" s="112">
        <f>+AK49/AG49-1</f>
        <v>-7.4400564174894268E-2</v>
      </c>
      <c r="AL172" s="112">
        <f>+AL49/AH49-1</f>
        <v>-3.4650034650041128E-4</v>
      </c>
      <c r="AM172" s="112">
        <f>+AM49/AI49-1</f>
        <v>0</v>
      </c>
      <c r="AN172" s="112">
        <f>+AN49/AJ49-1</f>
        <v>-7.8947368421052655E-2</v>
      </c>
      <c r="AO172" s="112">
        <f>+AO49/AK49-1</f>
        <v>-7.6190476190476142E-2</v>
      </c>
      <c r="AP172" s="112">
        <f>+AP49/AL49-1</f>
        <v>-2.5996533795493937E-2</v>
      </c>
      <c r="AQ172" s="112">
        <f>+AQ49/AM49-1</f>
        <v>6.2893081761006275E-3</v>
      </c>
      <c r="AR172" s="112">
        <f>+AR49/AN49-1</f>
        <v>-6.3265306122448961E-2</v>
      </c>
      <c r="AS172" s="112">
        <f>+AS49/AO49-1</f>
        <v>-3.2989690721649478E-2</v>
      </c>
      <c r="AT172" s="112">
        <f>+AT49/AP49-1</f>
        <v>-0.15480427046263345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75"/>
      <c r="CT172" s="101"/>
      <c r="CU172" s="111"/>
      <c r="CV172" s="111"/>
      <c r="CW172" s="111"/>
      <c r="CX172" s="111"/>
      <c r="CY172" s="111"/>
      <c r="CZ172" s="111"/>
      <c r="DA172" s="111"/>
      <c r="DB172" s="111"/>
      <c r="DC172" s="111"/>
      <c r="DD172" s="111"/>
      <c r="DE172" s="111"/>
      <c r="DF172" s="111"/>
      <c r="DG172" s="111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U172" s="87"/>
    </row>
    <row r="173" spans="2:129" s="83" customFormat="1" ht="12.75" customHeight="1">
      <c r="B173" s="100" t="s">
        <v>663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>+AD48/Z48-1</f>
        <v>0.13784741652676735</v>
      </c>
      <c r="AE173" s="112">
        <f>+AE48/AA48-1</f>
        <v>6.9301470588235325E-2</v>
      </c>
      <c r="AF173" s="112">
        <f>+AF48/AB48-1</f>
        <v>-2.9610389610389642E-2</v>
      </c>
      <c r="AG173" s="112">
        <f>+AG48/AC48-1</f>
        <v>-0.11976935749588147</v>
      </c>
      <c r="AH173" s="112">
        <f>+AH48/AD48-1</f>
        <v>-1</v>
      </c>
      <c r="AI173" s="112">
        <f>+AI48/AE48-1</f>
        <v>-0.12325941206807645</v>
      </c>
      <c r="AJ173" s="112">
        <f>+AJ48/AF48-1</f>
        <v>-7.8515346181298185E-3</v>
      </c>
      <c r="AK173" s="112">
        <f>+AK48/AG48-1</f>
        <v>5.371514130638233E-2</v>
      </c>
      <c r="AL173" s="112" t="e">
        <f>+AL48/AH48-1</f>
        <v>#DIV/0!</v>
      </c>
      <c r="AM173" s="112">
        <f>+AM48/AI48-1</f>
        <v>4.705882352941182E-2</v>
      </c>
      <c r="AN173" s="112">
        <f>+AN48/AJ48-1</f>
        <v>1.4388489208633004E-2</v>
      </c>
      <c r="AO173" s="112">
        <f>+AO48/AK48-1</f>
        <v>1.4209591474245054E-2</v>
      </c>
      <c r="AP173" s="112">
        <f>+AP48/AL48-1</f>
        <v>2.4429967426710109E-2</v>
      </c>
      <c r="AQ173" s="112">
        <f>+AQ48/AM48-1</f>
        <v>8.98876404494382E-2</v>
      </c>
      <c r="AR173" s="112">
        <f>+AR48/AN48-1</f>
        <v>4.9645390070921946E-2</v>
      </c>
      <c r="AS173" s="112">
        <f>+AS48/AO48-1</f>
        <v>7.5306479859895026E-2</v>
      </c>
      <c r="AT173" s="112">
        <f>+AT48/AP48-1</f>
        <v>1.7488076311605649E-2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75"/>
      <c r="CT173" s="101"/>
      <c r="CU173" s="111"/>
      <c r="CV173" s="111"/>
      <c r="CW173" s="111"/>
      <c r="CX173" s="111"/>
      <c r="CY173" s="111"/>
      <c r="CZ173" s="111"/>
      <c r="DA173" s="111"/>
      <c r="DB173" s="111"/>
      <c r="DC173" s="111"/>
      <c r="DD173" s="111"/>
      <c r="DE173" s="111"/>
      <c r="DF173" s="111"/>
      <c r="DG173" s="111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U173" s="87"/>
    </row>
    <row r="174" spans="2:129" s="83" customFormat="1" ht="12.75" customHeight="1">
      <c r="B174" s="110"/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94"/>
      <c r="AB174" s="84"/>
      <c r="AC174" s="8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75"/>
      <c r="CT174" s="101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U174" s="87"/>
    </row>
    <row r="175" spans="2:129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75"/>
      <c r="CT175" s="101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U175" s="87"/>
    </row>
    <row r="176" spans="2:129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75"/>
      <c r="CT176" s="101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U176" s="87"/>
    </row>
    <row r="177" spans="2:125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75"/>
      <c r="CT177" s="101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U177" s="87"/>
    </row>
    <row r="178" spans="2:125" s="92" customFormat="1" ht="12.75" customHeight="1">
      <c r="B178" s="113" t="s">
        <v>69</v>
      </c>
      <c r="C178" s="93"/>
      <c r="D178" s="93"/>
      <c r="E178" s="93"/>
      <c r="F178" s="93"/>
      <c r="G178" s="87"/>
      <c r="H178" s="87"/>
      <c r="I178" s="93"/>
      <c r="J178" s="93"/>
      <c r="K178" s="93"/>
      <c r="L178" s="93"/>
      <c r="M178" s="93"/>
      <c r="N178" s="93"/>
      <c r="O178" s="93">
        <v>65.5</v>
      </c>
      <c r="P178" s="93">
        <v>64.5</v>
      </c>
      <c r="Q178" s="93">
        <v>82.5</v>
      </c>
      <c r="R178" s="93">
        <v>85.5</v>
      </c>
      <c r="S178" s="93">
        <v>116</v>
      </c>
      <c r="T178" s="93">
        <v>135.1</v>
      </c>
      <c r="U178" s="93">
        <v>180.22499999999999</v>
      </c>
      <c r="V178" s="93">
        <v>211.60499999999999</v>
      </c>
      <c r="W178" s="93"/>
      <c r="X178" s="93"/>
      <c r="Y178" s="94"/>
      <c r="Z178" s="93"/>
      <c r="AA178" s="94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5"/>
      <c r="CT178" s="93"/>
      <c r="CU178" s="87"/>
      <c r="CV178" s="87"/>
      <c r="CW178" s="93">
        <f>SUM(O178:R178)</f>
        <v>298</v>
      </c>
      <c r="CX178" s="93">
        <f>SUM(S178:V178)</f>
        <v>642.92999999999995</v>
      </c>
      <c r="CY178" s="93"/>
      <c r="CZ178" s="93"/>
      <c r="DA178" s="93"/>
      <c r="DB178" s="93"/>
      <c r="DC178" s="93"/>
      <c r="DD178" s="93"/>
      <c r="DE178" s="93"/>
      <c r="DF178" s="93"/>
      <c r="DG178" s="93"/>
      <c r="DH178" s="87"/>
      <c r="DI178" s="87"/>
      <c r="DJ178" s="87"/>
      <c r="DK178" s="87"/>
      <c r="DL178" s="87"/>
      <c r="DM178" s="87"/>
      <c r="DN178" s="87"/>
      <c r="DO178" s="87"/>
      <c r="DP178" s="87"/>
      <c r="DQ178" s="87"/>
      <c r="DR178" s="87"/>
      <c r="DS178" s="87"/>
      <c r="DU178" s="87"/>
    </row>
    <row r="179" spans="2:125" s="92" customFormat="1" ht="12.75" customHeight="1">
      <c r="B179" s="113" t="s">
        <v>81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f>O180-O178</f>
        <v>-260.2</v>
      </c>
      <c r="P179" s="93">
        <f>P180-P178</f>
        <v>-285</v>
      </c>
      <c r="Q179" s="93">
        <f>Q180-Q178</f>
        <v>-389.6</v>
      </c>
      <c r="R179" s="93">
        <f>R180-R178</f>
        <v>-371.4</v>
      </c>
      <c r="S179" s="93">
        <v>200</v>
      </c>
      <c r="T179" s="93">
        <v>195</v>
      </c>
      <c r="U179" s="93">
        <v>195</v>
      </c>
      <c r="V179" s="93">
        <v>195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5"/>
      <c r="CT179" s="93"/>
      <c r="CU179" s="87"/>
      <c r="CV179" s="87"/>
      <c r="CW179" s="93">
        <f>SUM(O179:R179)</f>
        <v>-1306.2</v>
      </c>
      <c r="CX179" s="93">
        <f>SUM(S179:V179)</f>
        <v>785</v>
      </c>
      <c r="CY179" s="93"/>
      <c r="CZ179" s="93"/>
      <c r="DA179" s="93"/>
      <c r="DB179" s="93"/>
      <c r="DC179" s="93"/>
      <c r="DD179" s="93"/>
      <c r="DE179" s="93"/>
      <c r="DF179" s="93"/>
      <c r="DG179" s="93"/>
      <c r="DH179" s="87"/>
      <c r="DI179" s="87"/>
      <c r="DJ179" s="87"/>
      <c r="DK179" s="87"/>
      <c r="DL179" s="87"/>
      <c r="DM179" s="87"/>
      <c r="DN179" s="87"/>
      <c r="DO179" s="87"/>
      <c r="DP179" s="87"/>
      <c r="DQ179" s="87"/>
      <c r="DR179" s="87"/>
      <c r="DS179" s="87"/>
      <c r="DU179" s="87"/>
    </row>
    <row r="180" spans="2:125" s="92" customFormat="1" ht="12.75" customHeight="1">
      <c r="B180" s="113" t="s">
        <v>68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-O96</f>
        <v>-194.7</v>
      </c>
      <c r="P180" s="93">
        <f>-P96</f>
        <v>-220.5</v>
      </c>
      <c r="Q180" s="93">
        <f>-Q96</f>
        <v>-307.10000000000002</v>
      </c>
      <c r="R180" s="93">
        <f>-R96</f>
        <v>-285.89999999999998</v>
      </c>
      <c r="S180" s="93">
        <f>-S96</f>
        <v>-316.3</v>
      </c>
      <c r="T180" s="93">
        <f>SUM(T178:T179)</f>
        <v>330.1</v>
      </c>
      <c r="U180" s="93">
        <f>SUM(U178:U179)</f>
        <v>375.22500000000002</v>
      </c>
      <c r="V180" s="93">
        <f>SUM(V178:V179)</f>
        <v>406.60500000000002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5"/>
      <c r="CT180" s="93"/>
      <c r="CU180" s="87"/>
      <c r="CV180" s="87"/>
      <c r="CW180" s="93">
        <f>CW178+CW179</f>
        <v>-1008.2</v>
      </c>
      <c r="CX180" s="93">
        <f>SUM(S180:V180)</f>
        <v>795.63000000000011</v>
      </c>
      <c r="CY180" s="93"/>
      <c r="CZ180" s="93"/>
      <c r="DA180" s="93"/>
      <c r="DB180" s="93"/>
      <c r="DC180" s="93"/>
      <c r="DD180" s="93"/>
      <c r="DE180" s="93"/>
      <c r="DF180" s="93"/>
      <c r="DG180" s="93"/>
      <c r="DH180" s="87"/>
      <c r="DI180" s="87"/>
      <c r="DJ180" s="87"/>
      <c r="DK180" s="87"/>
      <c r="DL180" s="87"/>
      <c r="DM180" s="87"/>
      <c r="DN180" s="87"/>
      <c r="DO180" s="87"/>
      <c r="DP180" s="87"/>
      <c r="DQ180" s="87"/>
      <c r="DR180" s="87"/>
      <c r="DS180" s="87"/>
      <c r="DU180" s="87"/>
    </row>
    <row r="181" spans="2:125" s="92" customFormat="1" ht="12.75" customHeight="1">
      <c r="B181" s="113"/>
      <c r="C181" s="93"/>
      <c r="D181" s="93"/>
      <c r="E181" s="93"/>
      <c r="F181" s="93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94"/>
      <c r="Z181" s="87"/>
      <c r="AA181" s="94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95"/>
      <c r="CT181" s="93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U181" s="87"/>
    </row>
    <row r="182" spans="2:125" s="92" customFormat="1" ht="12.75" customHeight="1">
      <c r="B182" s="113" t="s">
        <v>82</v>
      </c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95"/>
      <c r="CT182" s="93"/>
      <c r="CU182" s="87"/>
      <c r="CV182" s="87"/>
      <c r="CW182" s="87"/>
      <c r="CX182" s="87"/>
      <c r="CY182" s="87"/>
      <c r="CZ182" s="87"/>
      <c r="DA182" s="87"/>
      <c r="DB182" s="87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U182" s="87"/>
    </row>
    <row r="183" spans="2:125" s="92" customFormat="1" ht="12.75" customHeight="1">
      <c r="B183" s="95" t="s">
        <v>83</v>
      </c>
      <c r="C183" s="114"/>
      <c r="D183" s="114"/>
      <c r="E183" s="114"/>
      <c r="F183" s="114"/>
      <c r="G183" s="114"/>
      <c r="H183" s="114"/>
      <c r="I183" s="87"/>
      <c r="J183" s="87"/>
      <c r="K183" s="87">
        <v>326.10000000000002</v>
      </c>
      <c r="L183" s="87">
        <v>479.8</v>
      </c>
      <c r="M183" s="87">
        <v>187.7</v>
      </c>
      <c r="N183" s="87">
        <v>320.60000000000002</v>
      </c>
      <c r="O183" s="87" t="e">
        <f>#REF!</f>
        <v>#REF!</v>
      </c>
      <c r="P183" s="87" t="e">
        <f>#REF!</f>
        <v>#REF!</v>
      </c>
      <c r="Q183" s="87" t="e">
        <f>#REF!</f>
        <v>#REF!</v>
      </c>
      <c r="R183" s="87" t="e">
        <f>#REF!</f>
        <v>#REF!</v>
      </c>
      <c r="S183" s="87" t="e">
        <f>#REF!</f>
        <v>#REF!</v>
      </c>
      <c r="T183" s="87">
        <f>$CX$183/4</f>
        <v>0</v>
      </c>
      <c r="U183" s="87">
        <f>$CX$183/4</f>
        <v>0</v>
      </c>
      <c r="V183" s="87" t="e">
        <f>CX183-SUM(S183:U183)</f>
        <v>#REF!</v>
      </c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95"/>
      <c r="CT183" s="114"/>
      <c r="CU183" s="114"/>
      <c r="CV183" s="93">
        <v>1314.2</v>
      </c>
      <c r="CW183" s="93"/>
      <c r="CX183" s="94"/>
      <c r="CY183" s="94"/>
      <c r="CZ183" s="94"/>
      <c r="DA183" s="94"/>
      <c r="DB183" s="94"/>
      <c r="DC183" s="94"/>
      <c r="DD183" s="94"/>
      <c r="DE183" s="94"/>
      <c r="DF183" s="94"/>
      <c r="DG183" s="94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U183" s="87"/>
    </row>
    <row r="184" spans="2:125" s="92" customFormat="1" ht="12.75" customHeight="1">
      <c r="B184" s="95" t="s">
        <v>84</v>
      </c>
      <c r="C184" s="114"/>
      <c r="D184" s="114"/>
      <c r="E184" s="114"/>
      <c r="F184" s="114"/>
      <c r="G184" s="114"/>
      <c r="H184" s="114"/>
      <c r="I184" s="87"/>
      <c r="J184" s="87"/>
      <c r="K184" s="87"/>
      <c r="L184" s="87"/>
      <c r="M184" s="87"/>
      <c r="N184" s="87"/>
      <c r="O184" s="87" t="e">
        <f t="shared" ref="O184:V184" si="243">O183-O185</f>
        <v>#REF!</v>
      </c>
      <c r="P184" s="87" t="e">
        <f t="shared" si="243"/>
        <v>#REF!</v>
      </c>
      <c r="Q184" s="87" t="e">
        <f t="shared" si="243"/>
        <v>#REF!</v>
      </c>
      <c r="R184" s="87" t="e">
        <f t="shared" si="243"/>
        <v>#REF!</v>
      </c>
      <c r="S184" s="87" t="e">
        <f t="shared" si="243"/>
        <v>#REF!</v>
      </c>
      <c r="T184" s="87">
        <f t="shared" si="243"/>
        <v>0</v>
      </c>
      <c r="U184" s="87">
        <f t="shared" si="243"/>
        <v>0</v>
      </c>
      <c r="V184" s="87" t="e">
        <f t="shared" si="243"/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95"/>
      <c r="CT184" s="114"/>
      <c r="CU184" s="114"/>
      <c r="CV184" s="93"/>
      <c r="CW184" s="93"/>
      <c r="CX184" s="93"/>
      <c r="CY184" s="93"/>
      <c r="CZ184" s="93"/>
      <c r="DA184" s="93"/>
      <c r="DB184" s="93"/>
      <c r="DC184" s="93"/>
      <c r="DD184" s="93"/>
      <c r="DE184" s="93"/>
      <c r="DF184" s="93"/>
      <c r="DG184" s="93"/>
      <c r="DH184" s="87"/>
      <c r="DI184" s="87"/>
      <c r="DJ184" s="87"/>
      <c r="DK184" s="87"/>
      <c r="DL184" s="87"/>
      <c r="DM184" s="87"/>
      <c r="DN184" s="87"/>
      <c r="DO184" s="87"/>
      <c r="DP184" s="87"/>
      <c r="DQ184" s="87"/>
      <c r="DR184" s="87"/>
      <c r="DS184" s="87"/>
      <c r="DU184" s="87"/>
    </row>
    <row r="185" spans="2:125" s="92" customFormat="1" ht="12.75" customHeight="1">
      <c r="B185" s="95" t="s">
        <v>85</v>
      </c>
      <c r="C185" s="114"/>
      <c r="D185" s="114"/>
      <c r="E185" s="114"/>
      <c r="F185" s="114"/>
      <c r="G185" s="114"/>
      <c r="H185" s="114"/>
      <c r="I185" s="87"/>
      <c r="J185" s="87"/>
      <c r="K185" s="87">
        <v>31.3</v>
      </c>
      <c r="L185" s="87">
        <v>36.9</v>
      </c>
      <c r="M185" s="87">
        <v>36.1</v>
      </c>
      <c r="N185" s="87">
        <v>36.5</v>
      </c>
      <c r="O185" s="87">
        <v>37.299999999999997</v>
      </c>
      <c r="P185" s="87">
        <v>37.200000000000003</v>
      </c>
      <c r="Q185" s="87">
        <v>37.200000000000003</v>
      </c>
      <c r="R185" s="87">
        <v>37.200000000000003</v>
      </c>
      <c r="S185" s="87">
        <f>$CX185/4</f>
        <v>0</v>
      </c>
      <c r="T185" s="87">
        <f>$CX185/4</f>
        <v>0</v>
      </c>
      <c r="U185" s="87">
        <f>$CX185/4</f>
        <v>0</v>
      </c>
      <c r="V185" s="87">
        <f>$CX185/4</f>
        <v>0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95"/>
      <c r="CT185" s="114"/>
      <c r="CU185" s="114"/>
      <c r="CV185" s="93">
        <f>SUM(K185:N185)</f>
        <v>140.80000000000001</v>
      </c>
      <c r="CW185" s="93">
        <f>SUM(O185:R185)</f>
        <v>148.9</v>
      </c>
      <c r="CX185" s="93"/>
      <c r="CY185" s="93"/>
      <c r="CZ185" s="93"/>
      <c r="DA185" s="93"/>
      <c r="DB185" s="93"/>
      <c r="DC185" s="93"/>
      <c r="DD185" s="93"/>
      <c r="DE185" s="93"/>
      <c r="DF185" s="93"/>
      <c r="DG185" s="93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U185" s="87"/>
    </row>
    <row r="186" spans="2:125" s="92" customFormat="1" ht="12.75" customHeight="1">
      <c r="B186" s="95" t="s">
        <v>80</v>
      </c>
      <c r="C186" s="114"/>
      <c r="D186" s="114"/>
      <c r="E186" s="114"/>
      <c r="F186" s="114"/>
      <c r="G186" s="114"/>
      <c r="H186" s="114"/>
      <c r="I186" s="93"/>
      <c r="J186" s="93"/>
      <c r="K186" s="93">
        <v>2243.1190000000001</v>
      </c>
      <c r="L186" s="93">
        <f>2976.230393-735.820341</f>
        <v>2240.4100519999997</v>
      </c>
      <c r="M186" s="93">
        <v>2231.8939999999998</v>
      </c>
      <c r="N186" s="93">
        <v>2221.7640000000001</v>
      </c>
      <c r="O186" s="93">
        <v>2222.567</v>
      </c>
      <c r="P186" s="93">
        <v>2220.096</v>
      </c>
      <c r="Q186" s="93">
        <f>Q187*2-P186</f>
        <v>2214.904</v>
      </c>
      <c r="R186" s="93">
        <f>CW186</f>
        <v>0</v>
      </c>
      <c r="S186" s="93">
        <f>2976.230393-770.826493</f>
        <v>2205.4038999999998</v>
      </c>
      <c r="T186" s="93">
        <f>T187*2-S186</f>
        <v>2202.5960999999993</v>
      </c>
      <c r="U186" s="93">
        <f>U187*2-T186</f>
        <v>2201.2038999999991</v>
      </c>
      <c r="V186" s="93">
        <f>CX186</f>
        <v>0</v>
      </c>
      <c r="W186" s="93"/>
      <c r="X186" s="93"/>
      <c r="Y186" s="94"/>
      <c r="Z186" s="93"/>
      <c r="AA186" s="94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M186" s="93"/>
      <c r="CN186" s="93"/>
      <c r="CO186" s="93"/>
      <c r="CP186" s="93"/>
      <c r="CQ186" s="93"/>
      <c r="CR186" s="93"/>
      <c r="CS186" s="95"/>
      <c r="CT186" s="114"/>
      <c r="CU186" s="114"/>
      <c r="CV186" s="114">
        <f>N186</f>
        <v>2221.7640000000001</v>
      </c>
      <c r="CW186" s="93"/>
      <c r="CX186" s="93"/>
      <c r="CY186" s="93"/>
      <c r="CZ186" s="93"/>
      <c r="DA186" s="93"/>
      <c r="DB186" s="93"/>
      <c r="DC186" s="93"/>
      <c r="DD186" s="93"/>
      <c r="DE186" s="93"/>
      <c r="DF186" s="93"/>
      <c r="DG186" s="93"/>
      <c r="DH186" s="87"/>
      <c r="DI186" s="87"/>
      <c r="DJ186" s="87"/>
      <c r="DK186" s="87"/>
      <c r="DL186" s="87"/>
      <c r="DM186" s="87"/>
      <c r="DN186" s="87"/>
      <c r="DO186" s="87"/>
      <c r="DP186" s="87"/>
      <c r="DQ186" s="87"/>
      <c r="DR186" s="87"/>
      <c r="DS186" s="87"/>
      <c r="DU186" s="87"/>
    </row>
    <row r="187" spans="2:125" s="92" customFormat="1" ht="12.75" customHeight="1">
      <c r="B187" s="95" t="s">
        <v>86</v>
      </c>
      <c r="C187" s="114"/>
      <c r="D187" s="114"/>
      <c r="E187" s="114"/>
      <c r="F187" s="114"/>
      <c r="G187" s="114"/>
      <c r="H187" s="114"/>
      <c r="I187" s="114"/>
      <c r="J187" s="114"/>
      <c r="K187" s="114">
        <v>2244.3000000000002</v>
      </c>
      <c r="L187" s="114">
        <v>2241.4</v>
      </c>
      <c r="M187" s="114">
        <v>2237</v>
      </c>
      <c r="N187" s="114">
        <f>AVERAGE(M186:N186)</f>
        <v>2226.8289999999997</v>
      </c>
      <c r="O187" s="114">
        <v>2222.6</v>
      </c>
      <c r="P187" s="114">
        <v>2221.4</v>
      </c>
      <c r="Q187" s="114">
        <f>Q103-(P103-P187)</f>
        <v>2217.5</v>
      </c>
      <c r="R187" s="114">
        <f>R103-(Q103-Q187)</f>
        <v>2208.8000000000002</v>
      </c>
      <c r="S187" s="114">
        <v>2207.1999999999998</v>
      </c>
      <c r="T187" s="114">
        <f>S187-(S103-S187)</f>
        <v>2203.9999999999995</v>
      </c>
      <c r="U187" s="114">
        <f>T187-(T103-T187)</f>
        <v>2201.8999999999992</v>
      </c>
      <c r="V187" s="114">
        <f>U187-(U103-U187)</f>
        <v>2206.7999999999984</v>
      </c>
      <c r="W187" s="114"/>
      <c r="X187" s="114"/>
      <c r="Y187" s="94"/>
      <c r="Z187" s="114"/>
      <c r="AA187" s="9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114"/>
      <c r="BM187" s="114"/>
      <c r="BN187" s="114"/>
      <c r="BO187" s="114"/>
      <c r="BP187" s="114"/>
      <c r="BQ187" s="114"/>
      <c r="BR187" s="114"/>
      <c r="BS187" s="114"/>
      <c r="BT187" s="114"/>
      <c r="BU187" s="114"/>
      <c r="BV187" s="114"/>
      <c r="BW187" s="114"/>
      <c r="BX187" s="114"/>
      <c r="BY187" s="114"/>
      <c r="BZ187" s="114"/>
      <c r="CA187" s="114"/>
      <c r="CB187" s="114"/>
      <c r="CC187" s="114"/>
      <c r="CD187" s="114"/>
      <c r="CE187" s="114"/>
      <c r="CF187" s="114"/>
      <c r="CG187" s="114"/>
      <c r="CH187" s="114"/>
      <c r="CI187" s="114"/>
      <c r="CJ187" s="114"/>
      <c r="CK187" s="114"/>
      <c r="CL187" s="114"/>
      <c r="CM187" s="114"/>
      <c r="CN187" s="114"/>
      <c r="CO187" s="114"/>
      <c r="CP187" s="114"/>
      <c r="CQ187" s="114"/>
      <c r="CR187" s="114"/>
      <c r="CS187" s="95"/>
      <c r="CT187" s="114"/>
      <c r="CU187" s="114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  <c r="DS187" s="87"/>
      <c r="DU187" s="87"/>
    </row>
    <row r="188" spans="2:125" s="115" customFormat="1" ht="12.75" customHeight="1">
      <c r="B188" s="95" t="s">
        <v>87</v>
      </c>
      <c r="C188" s="94"/>
      <c r="D188" s="94"/>
      <c r="E188" s="94"/>
      <c r="F188" s="94"/>
      <c r="G188" s="94"/>
      <c r="H188" s="94"/>
      <c r="I188" s="94"/>
      <c r="J188" s="94"/>
      <c r="K188" s="94">
        <f>ROUND(K101/K187,2)</f>
        <v>-1.79</v>
      </c>
      <c r="L188" s="94">
        <f>ROUND(L101/L187,2)</f>
        <v>-1.67</v>
      </c>
      <c r="M188" s="94">
        <f>ROUND(M101/M187,2)</f>
        <v>-1.74</v>
      </c>
      <c r="N188" s="94">
        <f>ROUND(N101/N187,2)</f>
        <v>-1.9</v>
      </c>
      <c r="O188" s="94" t="e">
        <f>ROUND(O101/O187,2)</f>
        <v>#REF!</v>
      </c>
      <c r="P188" s="94" t="e">
        <f>ROUND(P101/P187,2)</f>
        <v>#REF!</v>
      </c>
      <c r="Q188" s="94">
        <f>ROUND(Q101/Q187,2)</f>
        <v>-1.27</v>
      </c>
      <c r="R188" s="94">
        <f>ROUND(R101/R187,2)</f>
        <v>-1.25</v>
      </c>
      <c r="S188" s="94">
        <f>ROUND(S101/S187,2)</f>
        <v>-1.23</v>
      </c>
      <c r="T188" s="94">
        <f>ROUND(T101/T187,2)</f>
        <v>-1.34</v>
      </c>
      <c r="U188" s="94">
        <f>ROUND(U101/U187,2)</f>
        <v>-1.22</v>
      </c>
      <c r="V188" s="94">
        <f>ROUND(V101/V187,2)</f>
        <v>-1.19</v>
      </c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94"/>
      <c r="CK188" s="94"/>
      <c r="CL188" s="94"/>
      <c r="CM188" s="94"/>
      <c r="CN188" s="94"/>
      <c r="CO188" s="94"/>
      <c r="CP188" s="94"/>
      <c r="CQ188" s="94"/>
      <c r="CR188" s="94"/>
      <c r="CS188" s="95"/>
      <c r="CT188" s="94"/>
      <c r="CU188" s="94"/>
      <c r="CV188" s="94"/>
      <c r="CW188" s="94"/>
      <c r="CX188" s="94"/>
      <c r="CY188" s="94"/>
      <c r="CZ188" s="94"/>
      <c r="DA188" s="94"/>
      <c r="DB188" s="94"/>
      <c r="DC188" s="94"/>
      <c r="DD188" s="94"/>
      <c r="DE188" s="94"/>
      <c r="DF188" s="94"/>
      <c r="DG188" s="94"/>
      <c r="DH188" s="94"/>
      <c r="DI188" s="94"/>
      <c r="DJ188" s="94"/>
      <c r="DK188" s="94"/>
      <c r="DL188" s="94"/>
      <c r="DM188" s="94"/>
      <c r="DN188" s="94"/>
      <c r="DO188" s="94"/>
      <c r="DP188" s="94"/>
      <c r="DQ188" s="94"/>
      <c r="DR188" s="94"/>
      <c r="DS188" s="94"/>
      <c r="DU188" s="94"/>
    </row>
    <row r="189" spans="2:125" s="92" customFormat="1" ht="12.75" customHeight="1">
      <c r="B189" s="95" t="s">
        <v>88</v>
      </c>
      <c r="C189" s="114"/>
      <c r="D189" s="114"/>
      <c r="E189" s="114"/>
      <c r="F189" s="114"/>
      <c r="G189" s="114"/>
      <c r="H189" s="114"/>
      <c r="I189" s="94"/>
      <c r="J189" s="94"/>
      <c r="K189" s="94"/>
      <c r="L189" s="94"/>
      <c r="M189" s="94"/>
      <c r="N189" s="94"/>
      <c r="O189" s="94" t="e">
        <f>-#REF!</f>
        <v>#REF!</v>
      </c>
      <c r="P189" s="94" t="e">
        <f>-#REF!</f>
        <v>#REF!</v>
      </c>
      <c r="Q189" s="94" t="e">
        <f>-#REF!</f>
        <v>#REF!</v>
      </c>
      <c r="R189" s="94" t="e">
        <f>-#REF!</f>
        <v>#REF!</v>
      </c>
      <c r="S189" s="94" t="e">
        <f>-#REF!</f>
        <v>#REF!</v>
      </c>
      <c r="T189" s="94">
        <f>$CX$189/4</f>
        <v>0</v>
      </c>
      <c r="U189" s="94">
        <f>$CX$189/4</f>
        <v>0</v>
      </c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5"/>
      <c r="CT189" s="114"/>
      <c r="CU189" s="114"/>
      <c r="CV189" s="114"/>
      <c r="CW189" s="94"/>
      <c r="CX189" s="94"/>
      <c r="CY189" s="94"/>
      <c r="CZ189" s="94"/>
      <c r="DA189" s="94"/>
      <c r="DB189" s="94"/>
      <c r="DC189" s="94"/>
      <c r="DD189" s="94"/>
      <c r="DE189" s="94"/>
      <c r="DF189" s="94"/>
      <c r="DG189" s="94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U189" s="87"/>
    </row>
    <row r="190" spans="2:125" s="92" customFormat="1" ht="12.75" customHeight="1">
      <c r="B190" s="95" t="s">
        <v>78</v>
      </c>
      <c r="C190" s="114"/>
      <c r="D190" s="114"/>
      <c r="E190" s="114"/>
      <c r="F190" s="114"/>
      <c r="G190" s="114"/>
      <c r="H190" s="114"/>
      <c r="I190" s="93"/>
      <c r="J190" s="93"/>
      <c r="K190" s="93">
        <f>K99+K93+K92+K183</f>
        <v>-3021.7999999999997</v>
      </c>
      <c r="L190" s="93">
        <f>L99+L93+L92+L183</f>
        <v>-2563</v>
      </c>
      <c r="M190" s="93">
        <f>M99+M93+M92+M183</f>
        <v>-2950.9000000000005</v>
      </c>
      <c r="N190" s="93">
        <f>N99+N93+N92+N183</f>
        <v>-3537.7999999999997</v>
      </c>
      <c r="O190" s="93" t="e">
        <f>O99+O93+O92+O183</f>
        <v>#REF!</v>
      </c>
      <c r="P190" s="93" t="e">
        <f>P99+P93+P92+P183</f>
        <v>#REF!</v>
      </c>
      <c r="Q190" s="93" t="e">
        <f>Q99+Q93+Q92+Q183</f>
        <v>#REF!</v>
      </c>
      <c r="R190" s="93" t="e">
        <f>R99+R93+R92+R183</f>
        <v>#REF!</v>
      </c>
      <c r="S190" s="93" t="e">
        <f>S99+S93+S92+S183</f>
        <v>#REF!</v>
      </c>
      <c r="T190" s="93">
        <f>T99+T93+T92+T183</f>
        <v>-2190.2000000000003</v>
      </c>
      <c r="U190" s="93">
        <f>U99+U93+U92+U183</f>
        <v>-1877.1000000000001</v>
      </c>
      <c r="V190" s="93"/>
      <c r="W190" s="93"/>
      <c r="X190" s="93"/>
      <c r="Y190" s="94"/>
      <c r="Z190" s="93"/>
      <c r="AA190" s="94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5"/>
      <c r="CT190" s="114"/>
      <c r="CU190" s="114"/>
      <c r="CV190" s="93">
        <f>CV99+CV93+CV92+CV183</f>
        <v>-9408.5</v>
      </c>
      <c r="CW190" s="93">
        <f>CW99+CW93+CW92+CW183</f>
        <v>-8785.5</v>
      </c>
      <c r="CX190" s="93">
        <f>CX99+CX93+CX92+CX183</f>
        <v>-8008.9999999999991</v>
      </c>
      <c r="CY190" s="93"/>
      <c r="CZ190" s="93"/>
      <c r="DA190" s="93"/>
      <c r="DB190" s="93"/>
      <c r="DC190" s="93"/>
      <c r="DD190" s="93"/>
      <c r="DE190" s="93"/>
      <c r="DF190" s="93"/>
      <c r="DG190" s="93"/>
      <c r="DH190" s="87"/>
      <c r="DI190" s="87"/>
      <c r="DJ190" s="87"/>
      <c r="DK190" s="87"/>
      <c r="DL190" s="87"/>
      <c r="DM190" s="87"/>
      <c r="DN190" s="87"/>
      <c r="DO190" s="87"/>
      <c r="DP190" s="87"/>
      <c r="DQ190" s="87"/>
      <c r="DR190" s="87"/>
      <c r="DS190" s="87"/>
      <c r="DU190" s="87"/>
    </row>
    <row r="191" spans="2:125" s="92" customFormat="1" ht="12.75" customHeight="1">
      <c r="B191" s="95"/>
      <c r="C191" s="114"/>
      <c r="D191" s="114"/>
      <c r="E191" s="114"/>
      <c r="F191" s="114"/>
      <c r="G191" s="114"/>
      <c r="H191" s="11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94"/>
      <c r="CK191" s="94"/>
      <c r="CL191" s="94"/>
      <c r="CM191" s="94"/>
      <c r="CN191" s="94"/>
      <c r="CO191" s="94"/>
      <c r="CP191" s="94"/>
      <c r="CQ191" s="94"/>
      <c r="CR191" s="94"/>
      <c r="CS191" s="95"/>
      <c r="CT191" s="114"/>
      <c r="CU191" s="114"/>
      <c r="CV191" s="114"/>
      <c r="CW191" s="94"/>
      <c r="CX191" s="94"/>
      <c r="CY191" s="94"/>
      <c r="CZ191" s="94"/>
      <c r="DA191" s="94"/>
      <c r="DB191" s="94"/>
      <c r="DC191" s="94"/>
      <c r="DD191" s="94"/>
      <c r="DE191" s="94"/>
      <c r="DF191" s="94"/>
      <c r="DG191" s="94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  <c r="DS191" s="87"/>
      <c r="DU191" s="87"/>
    </row>
    <row r="192" spans="2:125" s="92" customFormat="1" ht="12.75" customHeight="1">
      <c r="B192" s="95" t="s">
        <v>89</v>
      </c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94"/>
      <c r="Z192" s="114"/>
      <c r="AA192" s="9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  <c r="BS192" s="114"/>
      <c r="BT192" s="114"/>
      <c r="BU192" s="114"/>
      <c r="BV192" s="114"/>
      <c r="BW192" s="114"/>
      <c r="BX192" s="114"/>
      <c r="BY192" s="114"/>
      <c r="BZ192" s="114"/>
      <c r="CA192" s="114"/>
      <c r="CB192" s="114"/>
      <c r="CC192" s="114"/>
      <c r="CD192" s="114"/>
      <c r="CE192" s="114"/>
      <c r="CF192" s="114"/>
      <c r="CG192" s="114"/>
      <c r="CH192" s="114"/>
      <c r="CI192" s="114"/>
      <c r="CJ192" s="114"/>
      <c r="CK192" s="114"/>
      <c r="CL192" s="114"/>
      <c r="CM192" s="114"/>
      <c r="CN192" s="114"/>
      <c r="CO192" s="114"/>
      <c r="CP192" s="114"/>
      <c r="CQ192" s="114"/>
      <c r="CR192" s="114"/>
      <c r="CS192" s="95"/>
      <c r="CT192" s="114"/>
      <c r="CU192" s="114"/>
      <c r="CV192" s="114"/>
      <c r="CW192" s="114"/>
      <c r="CX192" s="114"/>
      <c r="CY192" s="114"/>
      <c r="CZ192" s="114"/>
      <c r="DA192" s="114"/>
      <c r="DB192" s="114"/>
      <c r="DC192" s="114"/>
      <c r="DD192" s="114"/>
      <c r="DE192" s="114"/>
      <c r="DF192" s="114"/>
      <c r="DG192" s="114"/>
      <c r="DH192" s="87"/>
      <c r="DI192" s="87"/>
      <c r="DJ192" s="87"/>
      <c r="DK192" s="87"/>
      <c r="DL192" s="87"/>
      <c r="DM192" s="87"/>
      <c r="DN192" s="87"/>
      <c r="DO192" s="87"/>
      <c r="DP192" s="87"/>
      <c r="DQ192" s="87"/>
      <c r="DR192" s="87"/>
      <c r="DS192" s="87"/>
      <c r="DU192" s="87"/>
    </row>
    <row r="193" spans="2:125" s="92" customFormat="1" ht="12.75" customHeight="1">
      <c r="B193" s="95" t="s">
        <v>90</v>
      </c>
      <c r="C193" s="114"/>
      <c r="D193" s="114"/>
      <c r="E193" s="114"/>
      <c r="F193" s="114"/>
      <c r="G193" s="114"/>
      <c r="H193" s="114"/>
      <c r="I193" s="114"/>
      <c r="J193" s="114"/>
      <c r="K193" s="114">
        <v>0</v>
      </c>
      <c r="L193" s="114">
        <v>0</v>
      </c>
      <c r="M193" s="114">
        <v>0</v>
      </c>
      <c r="N193" s="114">
        <v>195</v>
      </c>
      <c r="O193" s="114">
        <f>90-P193-Q193</f>
        <v>35</v>
      </c>
      <c r="P193" s="114">
        <v>21</v>
      </c>
      <c r="Q193" s="114">
        <v>34</v>
      </c>
      <c r="R193" s="114">
        <v>16</v>
      </c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95"/>
      <c r="CT193" s="114"/>
      <c r="CU193" s="114"/>
      <c r="CV193" s="93">
        <f t="shared" ref="CV193:CV198" si="244">SUM(K193:N193)</f>
        <v>195</v>
      </c>
      <c r="CW193" s="93">
        <f t="shared" ref="CW193:CW198" si="245">SUM(O193:R193)</f>
        <v>106</v>
      </c>
      <c r="CX193" s="116">
        <f>CX88/CW197-1</f>
        <v>0.17784746140269703</v>
      </c>
      <c r="CY193" s="116"/>
      <c r="CZ193" s="116"/>
      <c r="DA193" s="116"/>
      <c r="DB193" s="116"/>
      <c r="DC193" s="116"/>
      <c r="DD193" s="116"/>
      <c r="DE193" s="116"/>
      <c r="DF193" s="116"/>
      <c r="DG193" s="116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  <c r="DS193" s="87"/>
      <c r="DU193" s="87"/>
    </row>
    <row r="194" spans="2:125" s="92" customFormat="1" ht="12.75" customHeight="1">
      <c r="B194" s="95" t="s">
        <v>91</v>
      </c>
      <c r="C194" s="114"/>
      <c r="D194" s="114"/>
      <c r="E194" s="114"/>
      <c r="F194" s="114"/>
      <c r="G194" s="114"/>
      <c r="H194" s="114"/>
      <c r="I194" s="87"/>
      <c r="J194" s="87"/>
      <c r="K194" s="87">
        <v>0</v>
      </c>
      <c r="L194" s="87">
        <v>0</v>
      </c>
      <c r="M194" s="87">
        <v>0</v>
      </c>
      <c r="N194" s="87">
        <v>0</v>
      </c>
      <c r="O194" s="87">
        <v>0</v>
      </c>
      <c r="P194" s="87">
        <v>0</v>
      </c>
      <c r="Q194" s="87">
        <v>93.2</v>
      </c>
      <c r="R194" s="87">
        <v>0</v>
      </c>
      <c r="S194" s="87"/>
      <c r="T194" s="87"/>
      <c r="U194" s="87"/>
      <c r="V194" s="87"/>
      <c r="W194" s="87"/>
      <c r="X194" s="87"/>
      <c r="Y194" s="94"/>
      <c r="Z194" s="87"/>
      <c r="AA194" s="94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  <c r="BQ194" s="87"/>
      <c r="BR194" s="87"/>
      <c r="BS194" s="87"/>
      <c r="BT194" s="87"/>
      <c r="BU194" s="87"/>
      <c r="BV194" s="87"/>
      <c r="BW194" s="87"/>
      <c r="BX194" s="87"/>
      <c r="BY194" s="87"/>
      <c r="BZ194" s="87"/>
      <c r="CA194" s="87"/>
      <c r="CB194" s="87"/>
      <c r="CC194" s="87"/>
      <c r="CD194" s="87"/>
      <c r="CE194" s="87"/>
      <c r="CF194" s="87"/>
      <c r="CG194" s="87"/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95"/>
      <c r="CT194" s="114"/>
      <c r="CU194" s="114"/>
      <c r="CV194" s="93">
        <f t="shared" si="244"/>
        <v>0</v>
      </c>
      <c r="CW194" s="93">
        <f t="shared" si="245"/>
        <v>93.2</v>
      </c>
      <c r="CX194" s="116">
        <f>1-(CW198/CW85)</f>
        <v>0.60155559194367114</v>
      </c>
      <c r="CY194" s="116"/>
      <c r="CZ194" s="116"/>
      <c r="DA194" s="116"/>
      <c r="DB194" s="116"/>
      <c r="DC194" s="116"/>
      <c r="DD194" s="116"/>
      <c r="DE194" s="116"/>
      <c r="DF194" s="116"/>
      <c r="DG194" s="116"/>
      <c r="DH194" s="87"/>
      <c r="DI194" s="87"/>
      <c r="DJ194" s="87"/>
      <c r="DK194" s="87"/>
      <c r="DL194" s="87"/>
      <c r="DM194" s="87"/>
      <c r="DN194" s="87"/>
      <c r="DO194" s="87"/>
      <c r="DP194" s="87"/>
      <c r="DQ194" s="87"/>
      <c r="DR194" s="87"/>
      <c r="DS194" s="87"/>
      <c r="DU194" s="87"/>
    </row>
    <row r="195" spans="2:125" s="92" customFormat="1" ht="12.75" customHeight="1">
      <c r="B195" s="95" t="s">
        <v>92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141.4</v>
      </c>
      <c r="R195" s="87">
        <v>604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95"/>
      <c r="CT195" s="114"/>
      <c r="CU195" s="114"/>
      <c r="CV195" s="93">
        <f t="shared" si="244"/>
        <v>0</v>
      </c>
      <c r="CW195" s="93">
        <f t="shared" si="245"/>
        <v>745.4</v>
      </c>
      <c r="CX195" s="116"/>
      <c r="CY195" s="116"/>
      <c r="CZ195" s="116"/>
      <c r="DA195" s="116"/>
      <c r="DB195" s="116"/>
      <c r="DC195" s="116"/>
      <c r="DD195" s="116"/>
      <c r="DE195" s="116"/>
      <c r="DF195" s="116"/>
      <c r="DG195" s="116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  <c r="DS195" s="87"/>
      <c r="DU195" s="87"/>
    </row>
    <row r="196" spans="2:125" s="92" customFormat="1" ht="12.75" customHeight="1">
      <c r="B196" s="95" t="s">
        <v>93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-173.6</v>
      </c>
      <c r="R196" s="87">
        <v>0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95"/>
      <c r="CT196" s="114"/>
      <c r="CU196" s="114"/>
      <c r="CV196" s="93">
        <f t="shared" si="244"/>
        <v>0</v>
      </c>
      <c r="CW196" s="93">
        <f t="shared" si="245"/>
        <v>-173.6</v>
      </c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  <c r="DP196" s="87"/>
      <c r="DQ196" s="87"/>
      <c r="DR196" s="87"/>
      <c r="DS196" s="87"/>
      <c r="DU196" s="87"/>
    </row>
    <row r="197" spans="2:125" s="92" customFormat="1" ht="12.75" customHeight="1">
      <c r="B197" s="95" t="s">
        <v>94</v>
      </c>
      <c r="C197" s="114"/>
      <c r="D197" s="114"/>
      <c r="E197" s="114"/>
      <c r="F197" s="114"/>
      <c r="G197" s="114"/>
      <c r="H197" s="114"/>
      <c r="I197" s="116"/>
      <c r="J197" s="116"/>
      <c r="K197" s="116">
        <f>K88-K193</f>
        <v>1547.3</v>
      </c>
      <c r="L197" s="116">
        <f>L88-L193</f>
        <v>1589.9</v>
      </c>
      <c r="M197" s="116">
        <f>M88-M193</f>
        <v>1463.6</v>
      </c>
      <c r="N197" s="116">
        <f>N88-N193</f>
        <v>1599.1</v>
      </c>
      <c r="O197" s="116">
        <f>O88-O193</f>
        <v>1542.4</v>
      </c>
      <c r="P197" s="116">
        <f>P88-P193</f>
        <v>1574.2</v>
      </c>
      <c r="Q197" s="116">
        <f>Q88-Q193-Q195</f>
        <v>1577.5</v>
      </c>
      <c r="R197" s="116">
        <f>R88-R195-R193</f>
        <v>1141.8000000000002</v>
      </c>
      <c r="S197" s="116">
        <f>S88/O197-1</f>
        <v>4.5967323651452174E-2</v>
      </c>
      <c r="T197" s="116">
        <f>T88/P197-1</f>
        <v>0.11504256130097823</v>
      </c>
      <c r="U197" s="116">
        <f>U88/Q197-1</f>
        <v>5.3058637083993609E-2</v>
      </c>
      <c r="V197" s="116">
        <f>V88/R197-1</f>
        <v>0.61499386932912925</v>
      </c>
      <c r="W197" s="116"/>
      <c r="X197" s="116"/>
      <c r="Y197" s="94"/>
      <c r="Z197" s="116"/>
      <c r="AA197" s="94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  <c r="CQ197" s="116"/>
      <c r="CR197" s="116"/>
      <c r="CS197" s="95"/>
      <c r="CT197" s="114"/>
      <c r="CU197" s="114"/>
      <c r="CV197" s="114">
        <f t="shared" si="244"/>
        <v>6199.9</v>
      </c>
      <c r="CW197" s="114">
        <f t="shared" si="245"/>
        <v>5835.9000000000005</v>
      </c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U197" s="87"/>
    </row>
    <row r="198" spans="2:125" s="92" customFormat="1" ht="12.75" customHeight="1">
      <c r="B198" s="95" t="s">
        <v>95</v>
      </c>
      <c r="C198" s="114"/>
      <c r="D198" s="114"/>
      <c r="E198" s="114"/>
      <c r="F198" s="114"/>
      <c r="G198" s="114"/>
      <c r="H198" s="114"/>
      <c r="I198" s="87"/>
      <c r="J198" s="87"/>
      <c r="K198" s="87">
        <f>K86-K194</f>
        <v>1046.8</v>
      </c>
      <c r="L198" s="87">
        <f>L86-L194</f>
        <v>988.5</v>
      </c>
      <c r="M198" s="87">
        <f>M86-M194</f>
        <v>1083.4000000000001</v>
      </c>
      <c r="N198" s="87">
        <f>N86-N194</f>
        <v>1228.3</v>
      </c>
      <c r="O198" s="87">
        <f>O86-O194</f>
        <v>1147.8</v>
      </c>
      <c r="P198" s="87">
        <f>P86-P194</f>
        <v>1164.2</v>
      </c>
      <c r="Q198" s="87">
        <f>Q86-Q194</f>
        <v>1271</v>
      </c>
      <c r="R198" s="87">
        <f>R86-R194</f>
        <v>1283.5999999999999</v>
      </c>
      <c r="S198" s="87"/>
      <c r="T198" s="87"/>
      <c r="U198" s="87"/>
      <c r="V198" s="87"/>
      <c r="W198" s="87"/>
      <c r="X198" s="87"/>
      <c r="Y198" s="94"/>
      <c r="Z198" s="87"/>
      <c r="AA198" s="94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  <c r="BX198" s="87"/>
      <c r="BY198" s="87"/>
      <c r="BZ198" s="87"/>
      <c r="CA198" s="87"/>
      <c r="CB198" s="87"/>
      <c r="CC198" s="87"/>
      <c r="CD198" s="87"/>
      <c r="CE198" s="87"/>
      <c r="CF198" s="87"/>
      <c r="CG198" s="87"/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95"/>
      <c r="CT198" s="114"/>
      <c r="CU198" s="114"/>
      <c r="CV198" s="114">
        <f t="shared" si="244"/>
        <v>4347</v>
      </c>
      <c r="CW198" s="114">
        <f t="shared" si="245"/>
        <v>4866.6000000000004</v>
      </c>
      <c r="CX198" s="87"/>
      <c r="CY198" s="87"/>
      <c r="CZ198" s="87"/>
      <c r="DA198" s="87"/>
      <c r="DB198" s="87"/>
      <c r="DC198" s="87"/>
      <c r="DD198" s="87"/>
      <c r="DE198" s="87"/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U198" s="87"/>
    </row>
    <row r="199" spans="2:125" s="83" customFormat="1" ht="12.75" customHeight="1">
      <c r="B199" s="75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94"/>
      <c r="Z199" s="62"/>
      <c r="AA199" s="94"/>
      <c r="AB199" s="62"/>
      <c r="AC199" s="114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75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U199" s="87"/>
    </row>
    <row r="200" spans="2:125" s="83" customFormat="1" ht="12.75" customHeight="1">
      <c r="B200" s="75"/>
      <c r="C200" s="62"/>
      <c r="D200" s="62"/>
      <c r="E200" s="62"/>
      <c r="F200" s="62"/>
      <c r="G200" s="62"/>
      <c r="H200" s="62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94"/>
      <c r="Z200" s="84"/>
      <c r="AA200" s="94"/>
      <c r="AB200" s="84"/>
      <c r="AC200" s="8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75"/>
      <c r="CT200" s="62"/>
      <c r="CU200" s="62"/>
      <c r="CV200" s="62"/>
      <c r="CW200" s="62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U200" s="87"/>
    </row>
    <row r="201" spans="2:125" s="83" customFormat="1" ht="12.75" customHeight="1">
      <c r="B201" s="75" t="s">
        <v>609</v>
      </c>
      <c r="C201" s="62"/>
      <c r="D201" s="62"/>
      <c r="E201" s="62"/>
      <c r="F201" s="62"/>
      <c r="G201" s="62"/>
      <c r="H201" s="62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94"/>
      <c r="Z201" s="105"/>
      <c r="AA201" s="94"/>
      <c r="AB201" s="105"/>
      <c r="AC201" s="116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17">
        <v>0.75</v>
      </c>
      <c r="AN201" s="105"/>
      <c r="AO201" s="105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105"/>
      <c r="BC201" s="105"/>
      <c r="BD201" s="105"/>
      <c r="BE201" s="105"/>
      <c r="BF201" s="105"/>
      <c r="BG201" s="105"/>
      <c r="BH201" s="105"/>
      <c r="BI201" s="105"/>
      <c r="BJ201" s="105"/>
      <c r="BK201" s="105"/>
      <c r="BL201" s="105"/>
      <c r="BM201" s="105"/>
      <c r="BN201" s="105"/>
      <c r="BO201" s="105"/>
      <c r="BP201" s="105"/>
      <c r="BQ201" s="105"/>
      <c r="BR201" s="105"/>
      <c r="BS201" s="105"/>
      <c r="BT201" s="105"/>
      <c r="BU201" s="105"/>
      <c r="BV201" s="105"/>
      <c r="BW201" s="105"/>
      <c r="BX201" s="105"/>
      <c r="BY201" s="105"/>
      <c r="BZ201" s="105"/>
      <c r="CA201" s="105"/>
      <c r="CB201" s="105"/>
      <c r="CC201" s="105"/>
      <c r="CD201" s="105"/>
      <c r="CE201" s="105"/>
      <c r="CF201" s="105"/>
      <c r="CG201" s="105"/>
      <c r="CH201" s="105"/>
      <c r="CI201" s="105"/>
      <c r="CJ201" s="105"/>
      <c r="CK201" s="105"/>
      <c r="CL201" s="105"/>
      <c r="CM201" s="105"/>
      <c r="CN201" s="105"/>
      <c r="CO201" s="105"/>
      <c r="CP201" s="105"/>
      <c r="CQ201" s="105"/>
      <c r="CR201" s="105"/>
      <c r="CS201" s="75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 t="s">
        <v>610</v>
      </c>
      <c r="DD201" s="62"/>
      <c r="DE201" s="62"/>
      <c r="DF201" s="62"/>
      <c r="DG201" s="62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U201" s="87"/>
    </row>
    <row r="202" spans="2:125" s="83" customFormat="1" ht="12.75" customHeight="1">
      <c r="B202" s="110"/>
      <c r="C202" s="101"/>
      <c r="D202" s="101"/>
      <c r="E202" s="101"/>
      <c r="F202" s="101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94"/>
      <c r="Z202" s="84"/>
      <c r="AA202" s="94"/>
      <c r="AB202" s="84"/>
      <c r="AC202" s="8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75"/>
      <c r="CT202" s="101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7"/>
    </row>
    <row r="203" spans="2:125" s="83" customFormat="1" ht="12.75" customHeight="1">
      <c r="B203" s="36" t="s">
        <v>620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94"/>
      <c r="Z203" s="26"/>
      <c r="AA203" s="94"/>
      <c r="AB203" s="26"/>
      <c r="AC203" s="30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75"/>
      <c r="CT203" s="26"/>
      <c r="CU203" s="26"/>
      <c r="CV203" s="26"/>
      <c r="CW203" s="26"/>
      <c r="CX203" s="26"/>
      <c r="CY203" s="26"/>
      <c r="CZ203" s="26"/>
      <c r="DA203" s="31"/>
      <c r="DB203" s="31"/>
      <c r="DC203" s="30">
        <f>(DC60+DC52+DC49+DC48+DC10+DC45+DC32+DC51+DC14+DC35+DC61+DC30+DC11+DC25+DC33+DC36+DC56+DC44+DC57+DC46+DC59+DC53+DC55+DC62+DC54)</f>
        <v>25281</v>
      </c>
      <c r="DD203" s="30">
        <f>(DD60+DD52+DD49+DD48+DD10+DD45+DD32+DD51+DD14+DD35+DD61+DD30+DD11+DD25+DD33+DD36+DD56+DD44+DD57+DD46+DD59+DD53+DD55+DD62+DD54)</f>
        <v>26526</v>
      </c>
      <c r="DE203" s="30">
        <f>(DE60+DE52+DE49+DE48+DE10+DE45+DE32+DE51+DE14+DE35+DE61+DE30+DE11+DE25+DE33+DE36+DE56+DE44+DE57+DE46+DE59+DE53+DE55+DE62+DE54)</f>
        <v>24892</v>
      </c>
      <c r="DF203" s="30">
        <f>(DF60+DF52+DF49+DF48+DF10+DF45+DF32+DF51+DF14+DF35+DF61+DF30+DF11+DF25+DF33+DF36+DF56+DF44+DF57+DF46+DF59+DF53+DF55+DF62+DF54)</f>
        <v>20004</v>
      </c>
      <c r="DG203" s="30">
        <f>(DG60+DG52+DG49+DG48+DG10+DG45+DG32+DG51+DG14+DG35+DG61+DG30+DG11+DG25+DG33+DG36+DG56+DG44+DG57+DG46+DG59+DG53+DG55+DG62+DG54)</f>
        <v>18945</v>
      </c>
      <c r="DH203" s="30">
        <f>(DH60+DH52+DH49+DH48+DH10+DH45+DH32+DH51+DH14+DH35+DH61+DH30+DH11+DH25+DH33+DH36+DH56+DH44+DH57+DH46+DH59+DH53+DH55+DH62+DH54)</f>
        <v>16537</v>
      </c>
      <c r="DI203" s="30">
        <f>(DI60+DI52+DI49+DI48+DI10+DI45+DI32+DI51+DI14+DI35+DI61+DI30+DI11+DI25+DI33+DI36+DI56+DI44+DI57+DI46+DI59+DI53+DI55+DI62+DI54)</f>
        <v>15768</v>
      </c>
      <c r="DJ203" s="30">
        <f>(DJ60+DJ52+DJ49+DJ48+DJ10+DJ45+DJ32+DJ51+DJ14+DJ35+DJ61+DJ30+DJ11+DJ25+DJ33+DJ36+DJ56+DJ44+DJ57+DJ46+DJ59+DJ53+DJ55+DJ62+DJ54)</f>
        <v>12932</v>
      </c>
      <c r="DK203" s="30">
        <f>(DK60+DK52+DK49+DK48+DK10+DK45+DK32+DK51+DK14+DK35+DK61+DK30+DK11+DK25+DK33+DK36+DK56+DK44+DK57+DK46+DK59+DK53+DK55+DK62+DK54)</f>
        <v>11819</v>
      </c>
      <c r="DL203" s="30">
        <f>(DL60+DL52+DL49+DL48+DL10+DL45+DL32+DL51+DL14+DL35+DL61+DL30+DL11+DL25+DL33+DL36+DL56+DL44+DL57+DL46+DL59+DL53+DL55+DL62+DL54)</f>
        <v>10003</v>
      </c>
      <c r="DM203" s="30"/>
      <c r="DN203" s="30"/>
      <c r="DO203" s="30"/>
      <c r="DP203" s="30"/>
      <c r="DQ203" s="30"/>
      <c r="DR203" s="30"/>
      <c r="DS203" s="30"/>
      <c r="DU203" s="87"/>
    </row>
    <row r="204" spans="2:125" s="83" customFormat="1" ht="12.75" customHeight="1">
      <c r="B204" s="100" t="s">
        <v>621</v>
      </c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94"/>
      <c r="Z204" s="118"/>
      <c r="AA204" s="94"/>
      <c r="AB204" s="118"/>
      <c r="AC204" s="116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  <c r="BH204" s="118"/>
      <c r="BI204" s="118"/>
      <c r="BJ204" s="118"/>
      <c r="BK204" s="118"/>
      <c r="BL204" s="118"/>
      <c r="BM204" s="118"/>
      <c r="BN204" s="118"/>
      <c r="BO204" s="118"/>
      <c r="BP204" s="118"/>
      <c r="BQ204" s="118"/>
      <c r="BR204" s="118"/>
      <c r="BS204" s="118"/>
      <c r="BT204" s="118"/>
      <c r="BU204" s="118"/>
      <c r="BV204" s="118"/>
      <c r="BW204" s="118"/>
      <c r="BX204" s="118"/>
      <c r="BY204" s="118"/>
      <c r="BZ204" s="118"/>
      <c r="CA204" s="118"/>
      <c r="CB204" s="118"/>
      <c r="CC204" s="118"/>
      <c r="CD204" s="118"/>
      <c r="CE204" s="118"/>
      <c r="CF204" s="118"/>
      <c r="CG204" s="118"/>
      <c r="CH204" s="118"/>
      <c r="CI204" s="118"/>
      <c r="CJ204" s="118"/>
      <c r="CK204" s="118"/>
      <c r="CL204" s="118"/>
      <c r="CM204" s="118"/>
      <c r="CN204" s="118"/>
      <c r="CO204" s="118"/>
      <c r="CP204" s="118"/>
      <c r="CQ204" s="118"/>
      <c r="CR204" s="118"/>
      <c r="CS204" s="75"/>
      <c r="CT204" s="118"/>
      <c r="CU204" s="118"/>
      <c r="CV204" s="118"/>
      <c r="CW204" s="118"/>
      <c r="CX204" s="118"/>
      <c r="CY204" s="118"/>
      <c r="CZ204" s="118"/>
      <c r="DA204" s="118"/>
      <c r="DB204" s="118"/>
      <c r="DC204" s="119">
        <f>DC203/DC85</f>
        <v>0.54900214988381946</v>
      </c>
      <c r="DD204" s="119">
        <f>DD203/DD85</f>
        <v>0.55278622931688404</v>
      </c>
      <c r="DE204" s="119">
        <f>DE203/DE85</f>
        <v>0.52659191876454414</v>
      </c>
      <c r="DF204" s="119">
        <f>DF203/DF85</f>
        <v>0.45430595930232559</v>
      </c>
      <c r="DG204" s="119">
        <f>DG203/DG85</f>
        <v>0.4485403792883017</v>
      </c>
      <c r="DH204" s="119">
        <f>DH203/DH85</f>
        <v>0.41867942680642056</v>
      </c>
      <c r="DI204" s="119">
        <f>DI203/DI85</f>
        <v>0.39611123671716031</v>
      </c>
      <c r="DJ204" s="119">
        <f>DJ203/DJ85</f>
        <v>0.32231693335327249</v>
      </c>
      <c r="DK204" s="119">
        <f>DK203/DK85</f>
        <v>0.27944862155388472</v>
      </c>
      <c r="DL204" s="119">
        <f>DL203/DL85</f>
        <v>0.21355222988407591</v>
      </c>
      <c r="DM204" s="119"/>
      <c r="DN204" s="119"/>
      <c r="DO204" s="119"/>
      <c r="DP204" s="119"/>
      <c r="DQ204" s="119"/>
      <c r="DR204" s="119"/>
      <c r="DS204" s="119"/>
      <c r="DU204" s="87"/>
    </row>
    <row r="205" spans="2:125" s="83" customFormat="1" ht="12.75" customHeight="1">
      <c r="B205" s="110"/>
      <c r="C205" s="101"/>
      <c r="D205" s="101"/>
      <c r="E205" s="101"/>
      <c r="F205" s="101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94"/>
      <c r="Z205" s="84"/>
      <c r="AA205" s="94"/>
      <c r="AB205" s="84"/>
      <c r="AC205" s="8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75"/>
      <c r="CT205" s="101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U205" s="87"/>
    </row>
    <row r="206" spans="2:125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75"/>
      <c r="CT206" s="101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U206" s="87"/>
    </row>
    <row r="207" spans="2:125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75"/>
      <c r="CT207" s="101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U207" s="87"/>
    </row>
    <row r="208" spans="2:125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75"/>
      <c r="CT208" s="101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U208" s="87"/>
    </row>
    <row r="209" spans="2:125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75"/>
      <c r="CT209" s="101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U209" s="87"/>
    </row>
    <row r="210" spans="2:125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75"/>
      <c r="CT210" s="101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U210" s="87"/>
    </row>
    <row r="211" spans="2:125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75"/>
      <c r="CT211" s="101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U211" s="87"/>
    </row>
    <row r="212" spans="2:125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75"/>
      <c r="CT212" s="101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U212" s="87"/>
    </row>
    <row r="213" spans="2:125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75"/>
      <c r="CT213" s="101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U213" s="87"/>
    </row>
    <row r="214" spans="2:125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75"/>
      <c r="CT214" s="101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U214" s="87"/>
    </row>
    <row r="215" spans="2:125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75"/>
      <c r="CT215" s="101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U215" s="87"/>
    </row>
    <row r="216" spans="2:125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75"/>
      <c r="CT216" s="101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U216" s="87"/>
    </row>
    <row r="217" spans="2:125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75"/>
      <c r="CT217" s="101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U217" s="87"/>
    </row>
    <row r="218" spans="2:125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75"/>
      <c r="CT218" s="101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U218" s="87"/>
    </row>
    <row r="219" spans="2:125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75"/>
      <c r="CT219" s="101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U219" s="87"/>
    </row>
    <row r="220" spans="2:125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75"/>
      <c r="CT220" s="101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U220" s="87"/>
    </row>
    <row r="221" spans="2:125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75"/>
      <c r="CT221" s="101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U221" s="87"/>
    </row>
    <row r="222" spans="2:125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75"/>
      <c r="CT222" s="101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U222" s="87"/>
    </row>
    <row r="223" spans="2:125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75"/>
      <c r="CT223" s="101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U223" s="87"/>
    </row>
    <row r="224" spans="2:125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75"/>
      <c r="CT224" s="101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U224" s="87"/>
    </row>
    <row r="225" spans="2:125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75"/>
      <c r="CT225" s="101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U225" s="87"/>
    </row>
    <row r="226" spans="2:125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75"/>
      <c r="CT226" s="101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U226" s="87"/>
    </row>
    <row r="227" spans="2:125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75"/>
      <c r="CT227" s="101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U227" s="87"/>
    </row>
    <row r="228" spans="2:125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75"/>
      <c r="CT228" s="101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U228" s="87"/>
    </row>
    <row r="229" spans="2:125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75"/>
      <c r="CT229" s="101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U229" s="87"/>
    </row>
    <row r="230" spans="2:125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75"/>
      <c r="CT230" s="101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U230" s="87"/>
    </row>
    <row r="231" spans="2:125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75"/>
      <c r="CT231" s="101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U231" s="87"/>
    </row>
    <row r="232" spans="2:125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75"/>
      <c r="CT232" s="101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U232" s="87"/>
    </row>
    <row r="233" spans="2:125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75"/>
      <c r="CT233" s="101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U233" s="87"/>
    </row>
    <row r="234" spans="2:125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75"/>
      <c r="CT234" s="101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U234" s="87"/>
    </row>
    <row r="235" spans="2:125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75"/>
      <c r="CT235" s="101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U235" s="87"/>
    </row>
    <row r="236" spans="2:125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75"/>
      <c r="CT236" s="101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U236" s="87"/>
    </row>
    <row r="237" spans="2:125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75"/>
      <c r="CT237" s="101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U237" s="87"/>
    </row>
    <row r="238" spans="2:125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75"/>
      <c r="CT238" s="101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U238" s="87"/>
    </row>
    <row r="239" spans="2:125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75"/>
      <c r="CT239" s="101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U239" s="87"/>
    </row>
    <row r="240" spans="2:125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75"/>
      <c r="CT240" s="101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U240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3:CW94 CT100 CW101 CT92:CT94 CT86:CV86 CT88:CT89 CX88 CT95:CT96 CW89 CV88:CV89 CU88:CU89 CU92:CV94 CX92:CX94 CU100:CV100 CX97 CU97:CW97 CT97 CU95:CV96 CX95:CX96 CW9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945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944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833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defaultRowHeight="12.75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946</v>
      </c>
    </row>
    <row r="4" spans="1:5">
      <c r="B4" s="75" t="s">
        <v>3</v>
      </c>
      <c r="C4" s="75" t="s">
        <v>947</v>
      </c>
    </row>
    <row r="5" spans="1:5">
      <c r="B5" s="75" t="s">
        <v>762</v>
      </c>
      <c r="C5" s="75" t="s">
        <v>948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949</v>
      </c>
    </row>
    <row r="9" spans="1:5">
      <c r="E9" s="133" t="s">
        <v>950</v>
      </c>
    </row>
    <row r="13" spans="1:5">
      <c r="C13" s="75" t="s">
        <v>951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893</v>
      </c>
    </row>
    <row r="3" spans="1:3">
      <c r="B3" s="75" t="s">
        <v>758</v>
      </c>
      <c r="C3" s="75" t="s">
        <v>894</v>
      </c>
    </row>
    <row r="4" spans="1:3">
      <c r="B4" s="75" t="s">
        <v>762</v>
      </c>
      <c r="C4" s="75" t="s">
        <v>895</v>
      </c>
    </row>
    <row r="5" spans="1:3">
      <c r="B5" s="75" t="s">
        <v>3</v>
      </c>
      <c r="C5" s="75" t="s">
        <v>896</v>
      </c>
    </row>
    <row r="6" spans="1:3">
      <c r="B6" s="75" t="s">
        <v>268</v>
      </c>
      <c r="C6" s="75" t="s">
        <v>897</v>
      </c>
    </row>
    <row r="7" spans="1:3">
      <c r="B7" s="75" t="s">
        <v>417</v>
      </c>
      <c r="C7" s="75" t="s">
        <v>898</v>
      </c>
    </row>
    <row r="8" spans="1:3">
      <c r="B8" s="75" t="s">
        <v>6</v>
      </c>
      <c r="C8" s="75" t="s">
        <v>899</v>
      </c>
    </row>
    <row r="9" spans="1:3">
      <c r="B9" s="75"/>
      <c r="C9" s="75" t="s">
        <v>900</v>
      </c>
    </row>
    <row r="10" spans="1:3">
      <c r="B10" s="75"/>
      <c r="C10" s="75" t="s">
        <v>901</v>
      </c>
    </row>
    <row r="11" spans="1:3">
      <c r="B11" s="75"/>
      <c r="C11" s="75" t="s">
        <v>902</v>
      </c>
    </row>
    <row r="12" spans="1:3">
      <c r="B12" s="75"/>
      <c r="C12" s="75" t="s">
        <v>903</v>
      </c>
    </row>
    <row r="13" spans="1:3">
      <c r="B13" s="75"/>
      <c r="C13" s="75" t="s">
        <v>904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905</v>
      </c>
    </row>
    <row r="18" spans="3:3">
      <c r="C18" s="18" t="s">
        <v>906</v>
      </c>
    </row>
    <row r="20" spans="3:3">
      <c r="C20" s="18" t="s">
        <v>907</v>
      </c>
    </row>
    <row r="21" spans="3:3">
      <c r="C21" s="75" t="s">
        <v>908</v>
      </c>
    </row>
    <row r="23" spans="3:3">
      <c r="C23" s="18" t="s">
        <v>909</v>
      </c>
    </row>
    <row r="24" spans="3:3">
      <c r="C24" s="75" t="s">
        <v>910</v>
      </c>
    </row>
    <row r="25" spans="3:3">
      <c r="C25" s="75" t="s">
        <v>911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915</v>
      </c>
    </row>
    <row r="3" spans="1:3">
      <c r="B3" s="75" t="s">
        <v>758</v>
      </c>
      <c r="C3" s="75" t="s">
        <v>916</v>
      </c>
    </row>
    <row r="4" spans="1:3">
      <c r="B4" s="75" t="s">
        <v>762</v>
      </c>
      <c r="C4" s="75" t="s">
        <v>917</v>
      </c>
    </row>
    <row r="5" spans="1:3">
      <c r="B5" s="75" t="s">
        <v>3</v>
      </c>
      <c r="C5" s="75" t="s">
        <v>918</v>
      </c>
    </row>
    <row r="6" spans="1:3">
      <c r="B6" s="75" t="s">
        <v>268</v>
      </c>
      <c r="C6" s="75" t="s">
        <v>914</v>
      </c>
    </row>
    <row r="7" spans="1:3">
      <c r="B7" s="75" t="s">
        <v>210</v>
      </c>
    </row>
    <row r="8" spans="1:3">
      <c r="C8" s="18" t="s">
        <v>922</v>
      </c>
    </row>
    <row r="9" spans="1:3">
      <c r="C9" s="75" t="s">
        <v>919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2023-05-08T01:43:16Z</dcterms:modified>
</cp:coreProperties>
</file>