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1E6D75FB-4854-4131-B346-6C68885E3035}" xr6:coauthVersionLast="47" xr6:coauthVersionMax="47" xr10:uidLastSave="{00000000-0000-0000-0000-000000000000}"/>
  <bookViews>
    <workbookView xWindow="8700" yWindow="1215" windowWidth="18975" windowHeight="13935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6" i="1" l="1"/>
  <c r="Z6" i="1"/>
  <c r="Y6" i="1"/>
  <c r="X6" i="1"/>
  <c r="W6" i="1"/>
  <c r="V6" i="1"/>
  <c r="N6" i="1"/>
  <c r="M6" i="1"/>
  <c r="O6" i="1"/>
  <c r="K6" i="1"/>
  <c r="L6" i="1" s="1"/>
  <c r="G6" i="1" l="1"/>
  <c r="E6" i="1"/>
  <c r="F6" i="1" s="1"/>
  <c r="G7" i="1" l="1"/>
  <c r="E7" i="1" l="1"/>
  <c r="F7" i="1" s="1"/>
  <c r="E5" i="1" l="1"/>
  <c r="F5" i="1"/>
  <c r="G5" i="1"/>
  <c r="E8" i="1" l="1"/>
  <c r="E4" i="1" l="1"/>
  <c r="G50" i="1" l="1"/>
  <c r="E50" i="1"/>
  <c r="F50" i="1" s="1"/>
  <c r="H50" i="1" s="1"/>
  <c r="G126" i="1" l="1"/>
  <c r="F126" i="1"/>
  <c r="H126" i="1" l="1"/>
  <c r="G34" i="1"/>
  <c r="F34" i="1"/>
  <c r="H34" i="1" l="1"/>
  <c r="G93" i="1"/>
  <c r="F93" i="1"/>
  <c r="G125" i="1"/>
  <c r="F125" i="1"/>
  <c r="F21" i="1"/>
  <c r="G21" i="1"/>
  <c r="H93" i="1" l="1"/>
  <c r="H125" i="1"/>
  <c r="H21" i="1"/>
  <c r="G22" i="1"/>
  <c r="F22" i="1"/>
  <c r="G43" i="1"/>
  <c r="F43" i="1"/>
  <c r="G141" i="1"/>
  <c r="F141" i="1"/>
  <c r="H43" i="1" l="1"/>
  <c r="H22" i="1"/>
  <c r="H141" i="1"/>
  <c r="F49" i="1"/>
  <c r="G49" i="1"/>
  <c r="G18" i="1"/>
  <c r="F18" i="1"/>
  <c r="H49" i="1" l="1"/>
  <c r="H18" i="1"/>
  <c r="F4" i="1"/>
  <c r="G48" i="1" l="1"/>
  <c r="F48" i="1"/>
  <c r="H48" i="1" l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0" i="1"/>
  <c r="F140" i="1"/>
  <c r="G139" i="1"/>
  <c r="F139" i="1"/>
  <c r="G20" i="1"/>
  <c r="F20" i="1"/>
  <c r="G19" i="1"/>
  <c r="F19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F9" i="1"/>
  <c r="H9" i="1" s="1"/>
  <c r="G8" i="1"/>
  <c r="F8" i="1"/>
  <c r="G4" i="1"/>
  <c r="H4" i="1" s="1"/>
  <c r="H20" i="1" l="1"/>
  <c r="H146" i="1"/>
  <c r="H15" i="1"/>
  <c r="H17" i="1"/>
  <c r="H11" i="1"/>
  <c r="H10" i="1"/>
  <c r="H145" i="1"/>
  <c r="H147" i="1"/>
  <c r="H14" i="1"/>
  <c r="H142" i="1"/>
  <c r="H16" i="1"/>
  <c r="H143" i="1"/>
  <c r="H13" i="1"/>
  <c r="H8" i="1"/>
  <c r="H19" i="1"/>
  <c r="H139" i="1"/>
  <c r="H140" i="1"/>
  <c r="H7" i="1"/>
  <c r="H12" i="1"/>
  <c r="H144" i="1"/>
  <c r="H5" i="1"/>
  <c r="H6" i="1" l="1"/>
  <c r="U6" i="1" l="1"/>
  <c r="R6" i="1"/>
  <c r="Q6" i="1"/>
  <c r="P6" i="1"/>
  <c r="T6" i="1"/>
  <c r="S6" i="1"/>
</calcChain>
</file>

<file path=xl/sharedStrings.xml><?xml version="1.0" encoding="utf-8"?>
<sst xmlns="http://schemas.openxmlformats.org/spreadsheetml/2006/main" count="367" uniqueCount="328">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</sst>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Ponvory"/>
      <sheetName val="Invega"/>
      <sheetName val="Procrit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2631.4018040000001</v>
          </cell>
        </row>
        <row r="5">
          <cell r="R5">
            <v>30388</v>
          </cell>
        </row>
        <row r="6">
          <cell r="R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7">
          <cell r="DC67">
            <v>8.8854650460225582</v>
          </cell>
          <cell r="DD67">
            <v>8.8116701708569245</v>
          </cell>
          <cell r="DE67">
            <v>17.313879580268342</v>
          </cell>
          <cell r="DF67">
            <v>19.878447039056095</v>
          </cell>
          <cell r="DG67">
            <v>23.297348786222955</v>
          </cell>
          <cell r="DH67">
            <v>24.083288683817315</v>
          </cell>
        </row>
        <row r="80">
          <cell r="DM80">
            <v>0.01</v>
          </cell>
        </row>
        <row r="81">
          <cell r="DM81">
            <v>-0.01</v>
          </cell>
        </row>
        <row r="82">
          <cell r="DM82">
            <v>7.0000000000000007E-2</v>
          </cell>
        </row>
        <row r="84">
          <cell r="DM84">
            <v>193.79899328583781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Kadcyla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255.75596100000001</v>
          </cell>
        </row>
        <row r="5">
          <cell r="M5">
            <v>8238.1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9" Type="http://schemas.openxmlformats.org/officeDocument/2006/relationships/hyperlink" Target="VERU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42" Type="http://schemas.openxmlformats.org/officeDocument/2006/relationships/hyperlink" Target="HIK%20LN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41" Type="http://schemas.openxmlformats.org/officeDocument/2006/relationships/hyperlink" Target="SIG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40" Type="http://schemas.openxmlformats.org/officeDocument/2006/relationships/hyperlink" Target="ABCL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LLY.xlsx" TargetMode="External"/><Relationship Id="rId3" Type="http://schemas.openxmlformats.org/officeDocument/2006/relationships/hyperlink" Target="..\..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AB14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1" sqref="E11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4" width="6.7109375" style="3" customWidth="1"/>
    <col min="5" max="5" width="7.42578125" style="3" customWidth="1"/>
    <col min="6" max="15" width="9.140625" style="3"/>
    <col min="16" max="27" width="9.140625" style="4"/>
    <col min="28" max="16384" width="9.140625" style="1"/>
  </cols>
  <sheetData>
    <row r="2" spans="2:28" x14ac:dyDescent="0.2">
      <c r="P2" s="21" t="s">
        <v>322</v>
      </c>
      <c r="Q2" s="21"/>
      <c r="R2" s="21"/>
      <c r="S2" s="21"/>
      <c r="T2" s="21"/>
      <c r="U2" s="21"/>
      <c r="V2" s="21" t="s">
        <v>321</v>
      </c>
      <c r="W2" s="21"/>
      <c r="X2" s="21"/>
      <c r="Y2" s="21"/>
      <c r="Z2" s="21"/>
      <c r="AA2" s="21"/>
    </row>
    <row r="3" spans="2:28" x14ac:dyDescent="0.2">
      <c r="B3" s="1" t="s">
        <v>1</v>
      </c>
      <c r="C3" s="1" t="s">
        <v>8</v>
      </c>
      <c r="D3" s="3" t="s">
        <v>9</v>
      </c>
      <c r="E3" s="3" t="s">
        <v>310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316</v>
      </c>
      <c r="K3" s="3" t="s">
        <v>323</v>
      </c>
      <c r="L3" s="3" t="s">
        <v>325</v>
      </c>
      <c r="M3" s="3" t="s">
        <v>326</v>
      </c>
      <c r="N3" s="3" t="s">
        <v>327</v>
      </c>
      <c r="O3" s="3" t="s">
        <v>324</v>
      </c>
      <c r="P3" s="4">
        <v>2022</v>
      </c>
      <c r="Q3" s="4">
        <v>2023</v>
      </c>
      <c r="R3" s="4">
        <v>2024</v>
      </c>
      <c r="S3" s="4">
        <v>2025</v>
      </c>
      <c r="T3" s="4">
        <v>2026</v>
      </c>
      <c r="U3" s="4">
        <v>2027</v>
      </c>
      <c r="V3" s="4">
        <v>2022</v>
      </c>
      <c r="W3" s="4">
        <v>2023</v>
      </c>
      <c r="X3" s="4">
        <v>2024</v>
      </c>
      <c r="Y3" s="4">
        <v>2025</v>
      </c>
      <c r="Z3" s="4">
        <v>2026</v>
      </c>
      <c r="AA3" s="4">
        <v>2027</v>
      </c>
      <c r="AB3" s="1" t="s">
        <v>2</v>
      </c>
    </row>
    <row r="4" spans="2:28" x14ac:dyDescent="0.2">
      <c r="B4" s="5" t="s">
        <v>14</v>
      </c>
      <c r="C4" s="1" t="s">
        <v>15</v>
      </c>
      <c r="D4" s="3">
        <v>169.99</v>
      </c>
      <c r="E4" s="6">
        <f>+[1]Main!$R$3</f>
        <v>2631.4018040000001</v>
      </c>
      <c r="F4" s="6">
        <f>D4*[1]Main!$R$3</f>
        <v>447311.99266196002</v>
      </c>
      <c r="G4" s="6">
        <f>+[1]Main!$R$5-[1]Main!$R$6</f>
        <v>-2760</v>
      </c>
      <c r="H4" s="6">
        <f>F4-G4</f>
        <v>450071.99266196002</v>
      </c>
      <c r="I4" s="3" t="s">
        <v>16</v>
      </c>
      <c r="J4" s="18">
        <v>44772</v>
      </c>
      <c r="K4" s="18"/>
      <c r="L4" s="18"/>
      <c r="M4" s="18"/>
      <c r="N4" s="18"/>
      <c r="O4" s="18"/>
    </row>
    <row r="5" spans="2:28" x14ac:dyDescent="0.2">
      <c r="B5" s="5" t="s">
        <v>17</v>
      </c>
      <c r="C5" s="1" t="s">
        <v>18</v>
      </c>
      <c r="D5" s="3">
        <v>138.28</v>
      </c>
      <c r="E5" s="6">
        <f>+[2]Main!$K$3</f>
        <v>1778</v>
      </c>
      <c r="F5" s="6">
        <f>+D5*[2]Main!$K$3</f>
        <v>245861.84</v>
      </c>
      <c r="G5" s="6">
        <f>+[2]Main!$K$5-[2]Main!$K$6</f>
        <v>-65642</v>
      </c>
      <c r="H5" s="6">
        <f t="shared" ref="H5:H13" si="0">F5-G5</f>
        <v>311503.83999999997</v>
      </c>
      <c r="I5" s="3" t="s">
        <v>16</v>
      </c>
      <c r="J5" s="18">
        <v>44771</v>
      </c>
      <c r="K5" s="18"/>
      <c r="L5" s="18"/>
      <c r="M5" s="18"/>
      <c r="N5" s="18"/>
      <c r="O5" s="18"/>
    </row>
    <row r="6" spans="2:28" x14ac:dyDescent="0.2">
      <c r="B6" s="5" t="s">
        <v>19</v>
      </c>
      <c r="C6" s="1" t="s">
        <v>20</v>
      </c>
      <c r="D6" s="7">
        <v>290.89999999999998</v>
      </c>
      <c r="E6" s="6">
        <f>+[3]Main!$J$3</f>
        <v>950.15955899999994</v>
      </c>
      <c r="F6" s="6">
        <f>+D6*E6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3" t="s">
        <v>16</v>
      </c>
      <c r="J6" s="18">
        <v>44774</v>
      </c>
      <c r="K6" s="7">
        <f>+[3]Model!$DM$84</f>
        <v>193.79899328583781</v>
      </c>
      <c r="L6" s="22">
        <f>K6/D6-1</f>
        <v>-0.33379514167810986</v>
      </c>
      <c r="M6" s="22">
        <f>[3]Model!$DM$80</f>
        <v>0.01</v>
      </c>
      <c r="N6" s="22">
        <f>[3]Model!$DM$81</f>
        <v>-0.01</v>
      </c>
      <c r="O6" s="22">
        <f>[3]Model!$DM$82</f>
        <v>7.0000000000000007E-2</v>
      </c>
      <c r="P6" s="24">
        <f>($H$6/$E$6)/V6</f>
        <v>34.06702797542119</v>
      </c>
      <c r="Q6" s="24">
        <f>($H$6/$E$6)/W6</f>
        <v>34.35232826787027</v>
      </c>
      <c r="R6" s="24">
        <f>($H$6/$E$6)/X6</f>
        <v>17.483163429324609</v>
      </c>
      <c r="S6" s="24">
        <f>($H$6/$E$6)/Y6</f>
        <v>15.227617414114208</v>
      </c>
      <c r="T6" s="24">
        <f>($H$6/$E$6)/Z6</f>
        <v>12.992954223035117</v>
      </c>
      <c r="U6" s="24">
        <f>($H$6/$E$6)/AA6</f>
        <v>12.568938996312276</v>
      </c>
      <c r="V6" s="23">
        <f>+[3]Model!DC67</f>
        <v>8.8854650460225582</v>
      </c>
      <c r="W6" s="23">
        <f>+[3]Model!DD67</f>
        <v>8.8116701708569245</v>
      </c>
      <c r="X6" s="23">
        <f>+[3]Model!DE67</f>
        <v>17.313879580268342</v>
      </c>
      <c r="Y6" s="23">
        <f>+[3]Model!DF67</f>
        <v>19.878447039056095</v>
      </c>
      <c r="Z6" s="23">
        <f>+[3]Model!DG67</f>
        <v>23.297348786222955</v>
      </c>
      <c r="AA6" s="23">
        <f>+[3]Model!DH67</f>
        <v>24.083288683817315</v>
      </c>
      <c r="AB6" s="1">
        <v>1876</v>
      </c>
    </row>
    <row r="7" spans="2:28" x14ac:dyDescent="0.2">
      <c r="B7" s="5" t="s">
        <v>21</v>
      </c>
      <c r="C7" s="1" t="s">
        <v>22</v>
      </c>
      <c r="D7" s="3">
        <v>303.35000000000002</v>
      </c>
      <c r="E7" s="6">
        <f>+[4]Main!$K$3</f>
        <v>800.40300000000002</v>
      </c>
      <c r="F7" s="6">
        <f>+E7*D7</f>
        <v>242802.25005000003</v>
      </c>
      <c r="G7" s="6">
        <f>+[4]Main!$K$5-[4]Main!$K$6</f>
        <v>-18167</v>
      </c>
      <c r="H7" s="6">
        <f t="shared" si="0"/>
        <v>260969.25005000003</v>
      </c>
      <c r="I7" s="3" t="s">
        <v>23</v>
      </c>
      <c r="J7" s="18">
        <v>44772</v>
      </c>
      <c r="K7" s="18"/>
      <c r="L7" s="18"/>
      <c r="M7" s="18"/>
      <c r="N7" s="18"/>
      <c r="O7" s="18"/>
      <c r="AB7" s="1">
        <v>1896</v>
      </c>
    </row>
    <row r="8" spans="2:28" x14ac:dyDescent="0.2">
      <c r="B8" s="5" t="s">
        <v>24</v>
      </c>
      <c r="C8" s="1" t="s">
        <v>25</v>
      </c>
      <c r="D8" s="3">
        <v>46.53</v>
      </c>
      <c r="E8" s="6">
        <f>+[5]Main!$L$3*1000</f>
        <v>5758</v>
      </c>
      <c r="F8" s="6">
        <f>D8*[5]Main!$L$3*1000</f>
        <v>267919.74</v>
      </c>
      <c r="G8" s="6">
        <f>([5]Main!$L$5-[5]Main!$L$6)*1000</f>
        <v>8332.9999999999909</v>
      </c>
      <c r="H8" s="6">
        <f t="shared" si="0"/>
        <v>259586.74</v>
      </c>
      <c r="I8" s="3" t="s">
        <v>311</v>
      </c>
      <c r="J8" s="18">
        <v>44770</v>
      </c>
      <c r="K8" s="18"/>
      <c r="L8" s="18"/>
      <c r="M8" s="18"/>
      <c r="N8" s="18"/>
      <c r="O8" s="18"/>
    </row>
    <row r="9" spans="2:28" x14ac:dyDescent="0.2">
      <c r="B9" s="5" t="s">
        <v>26</v>
      </c>
      <c r="C9" s="1" t="s">
        <v>27</v>
      </c>
      <c r="D9" s="3">
        <v>105.58</v>
      </c>
      <c r="F9" s="6">
        <f>D9*[6]Main!$K$3</f>
        <v>241070.81400000001</v>
      </c>
      <c r="G9" s="6"/>
      <c r="H9" s="6">
        <f t="shared" si="0"/>
        <v>241070.81400000001</v>
      </c>
      <c r="I9" s="3" t="s">
        <v>16</v>
      </c>
    </row>
    <row r="10" spans="2:28" x14ac:dyDescent="0.2">
      <c r="B10" s="5" t="s">
        <v>28</v>
      </c>
      <c r="C10" s="1" t="s">
        <v>29</v>
      </c>
      <c r="D10" s="3">
        <v>84.62</v>
      </c>
      <c r="F10" s="6">
        <f>D10*[7]Main!$K$3</f>
        <v>213987.48121550001</v>
      </c>
      <c r="G10" s="6">
        <f>[7]Main!$K$5-[7]Main!$K$6</f>
        <v>-22550</v>
      </c>
      <c r="H10" s="6">
        <f t="shared" si="0"/>
        <v>236537.48121550001</v>
      </c>
      <c r="I10" s="3" t="s">
        <v>16</v>
      </c>
    </row>
    <row r="11" spans="2:28" x14ac:dyDescent="0.2">
      <c r="B11" s="5" t="s">
        <v>30</v>
      </c>
      <c r="C11" s="1" t="s">
        <v>31</v>
      </c>
      <c r="D11" s="3">
        <v>81.06</v>
      </c>
      <c r="F11" s="6">
        <f>D11*[8]Main!$L$3</f>
        <v>179352.13207506001</v>
      </c>
      <c r="G11" s="6">
        <f>[8]Main!$L$5-[8]Main!$L$6</f>
        <v>-10678</v>
      </c>
      <c r="H11" s="6">
        <f>F11-G11</f>
        <v>190030.13207506001</v>
      </c>
      <c r="I11" s="3" t="s">
        <v>16</v>
      </c>
    </row>
    <row r="12" spans="2:28" x14ac:dyDescent="0.2">
      <c r="B12" s="5" t="s">
        <v>32</v>
      </c>
      <c r="C12" s="1" t="s">
        <v>33</v>
      </c>
      <c r="D12" s="3">
        <v>73.77</v>
      </c>
      <c r="F12" s="6">
        <f>D12*[9]Main!$L$3</f>
        <v>157061.07127166999</v>
      </c>
      <c r="G12" s="6">
        <f>[9]Main!$L$5-[9]Main!$L$6</f>
        <v>-30004</v>
      </c>
      <c r="H12" s="6">
        <f>F12-G12</f>
        <v>187065.07127166999</v>
      </c>
      <c r="I12" s="3" t="s">
        <v>16</v>
      </c>
    </row>
    <row r="13" spans="2:28" x14ac:dyDescent="0.2">
      <c r="B13" s="5" t="s">
        <v>34</v>
      </c>
      <c r="C13" s="1" t="s">
        <v>35</v>
      </c>
      <c r="D13" s="3">
        <v>246.73</v>
      </c>
      <c r="F13" s="6">
        <f>D13*[10]Main!$K$3</f>
        <v>131753.82</v>
      </c>
      <c r="G13" s="6">
        <f>[10]Main!$K$5-[10]Main!$K$6</f>
        <v>-30310</v>
      </c>
      <c r="H13" s="6">
        <f t="shared" si="0"/>
        <v>162063.82</v>
      </c>
      <c r="I13" s="3" t="s">
        <v>16</v>
      </c>
    </row>
    <row r="14" spans="2:28" x14ac:dyDescent="0.2">
      <c r="B14" s="5" t="s">
        <v>36</v>
      </c>
      <c r="C14" s="1" t="s">
        <v>37</v>
      </c>
      <c r="D14" s="7">
        <v>49.2</v>
      </c>
      <c r="F14" s="6">
        <f>D14*[11]Main!$L$3*2</f>
        <v>123482.16000000002</v>
      </c>
      <c r="G14" s="6">
        <f>([11]Main!$L$5-[11]Main!$L$6)*EUR</f>
        <v>-10384.598400000001</v>
      </c>
      <c r="H14" s="6">
        <f>F14-G14</f>
        <v>133866.75840000002</v>
      </c>
      <c r="I14" s="3" t="s">
        <v>23</v>
      </c>
    </row>
    <row r="15" spans="2:28" x14ac:dyDescent="0.2">
      <c r="B15" s="5" t="s">
        <v>38</v>
      </c>
      <c r="C15" s="1" t="s">
        <v>39</v>
      </c>
      <c r="D15" s="7">
        <v>66</v>
      </c>
      <c r="F15" s="6">
        <f>D15*[12]Main!$L$3</f>
        <v>103026</v>
      </c>
      <c r="G15" s="6">
        <f>[12]Main!$L$5-[12]Main!$L$6</f>
        <v>-25217</v>
      </c>
      <c r="H15" s="6">
        <f t="shared" ref="H15:H19" si="1">F15-G15</f>
        <v>128243</v>
      </c>
      <c r="I15" s="3" t="s">
        <v>16</v>
      </c>
    </row>
    <row r="16" spans="2:28" x14ac:dyDescent="0.2">
      <c r="B16" s="5" t="s">
        <v>40</v>
      </c>
      <c r="C16" s="1" t="s">
        <v>41</v>
      </c>
      <c r="D16" s="3">
        <v>41.27</v>
      </c>
      <c r="F16" s="6">
        <f>D16*[13]Main!$K$4/2</f>
        <v>104578.18000000001</v>
      </c>
      <c r="G16" s="6">
        <f>([13]Main!$K$6-[13]Main!$K$7)*GBP</f>
        <v>-22956.02</v>
      </c>
      <c r="H16" s="6">
        <f t="shared" si="1"/>
        <v>127534.20000000001</v>
      </c>
      <c r="I16" s="3" t="s">
        <v>16</v>
      </c>
    </row>
    <row r="17" spans="2:27" x14ac:dyDescent="0.2">
      <c r="B17" s="5" t="s">
        <v>40</v>
      </c>
      <c r="C17" s="1" t="s">
        <v>42</v>
      </c>
      <c r="D17" s="6">
        <v>1683.8</v>
      </c>
      <c r="F17" s="6">
        <f>D17*[13]Main!$K$4/100*GBP</f>
        <v>100976.8865672</v>
      </c>
      <c r="G17" s="6">
        <f>([13]Main!$K$6-[13]Main!$K$7)*GBP</f>
        <v>-22956.02</v>
      </c>
      <c r="H17" s="6">
        <f t="shared" si="1"/>
        <v>123932.9065672</v>
      </c>
      <c r="I17" s="3" t="s">
        <v>16</v>
      </c>
    </row>
    <row r="18" spans="2:27" x14ac:dyDescent="0.2">
      <c r="B18" s="5" t="s">
        <v>47</v>
      </c>
      <c r="C18" s="1" t="s">
        <v>48</v>
      </c>
      <c r="D18" s="7">
        <v>60.9</v>
      </c>
      <c r="F18" s="6">
        <f>+D18*[14]Main!$J$3</f>
        <v>76855.8</v>
      </c>
      <c r="G18" s="6">
        <f>+[14]Main!$J$5-[14]Main!$J$6</f>
        <v>-19456</v>
      </c>
      <c r="H18" s="6">
        <f>F18-G18</f>
        <v>96311.8</v>
      </c>
      <c r="I18" s="3" t="s">
        <v>46</v>
      </c>
    </row>
    <row r="19" spans="2:27" x14ac:dyDescent="0.2">
      <c r="B19" s="5" t="s">
        <v>43</v>
      </c>
      <c r="C19" s="1" t="s">
        <v>44</v>
      </c>
      <c r="D19" s="7">
        <v>175.1</v>
      </c>
      <c r="F19" s="6">
        <f>D19*[15]Main!$J$3*EUR</f>
        <v>77446.648629173942</v>
      </c>
      <c r="G19" s="6">
        <f>([15]Main!$J$5-[15]Main!$J$6)*EUR</f>
        <v>-9387.644400000001</v>
      </c>
      <c r="H19" s="6">
        <f t="shared" si="1"/>
        <v>86834.293029173947</v>
      </c>
      <c r="I19" s="3" t="s">
        <v>16</v>
      </c>
    </row>
    <row r="20" spans="2:27" x14ac:dyDescent="0.2">
      <c r="B20" s="5" t="s">
        <v>45</v>
      </c>
      <c r="C20" s="1" t="s">
        <v>45</v>
      </c>
      <c r="D20" s="3">
        <v>255.99</v>
      </c>
      <c r="F20" s="6">
        <f>D20*[16]Main!$J$3*AUD</f>
        <v>80031.808981488444</v>
      </c>
      <c r="G20" s="6">
        <f>[16]Main!$J$5-[16]Main!$J$6</f>
        <v>-3998.1000000000004</v>
      </c>
      <c r="H20" s="6">
        <f>F20-G20</f>
        <v>84029.90898148845</v>
      </c>
      <c r="I20" s="3" t="s">
        <v>46</v>
      </c>
    </row>
    <row r="21" spans="2:27" x14ac:dyDescent="0.2">
      <c r="B21" s="13" t="s">
        <v>49</v>
      </c>
      <c r="C21" s="1" t="s">
        <v>50</v>
      </c>
      <c r="D21" s="3">
        <v>263.08999999999997</v>
      </c>
      <c r="F21" s="6">
        <f>+D21*[17]Main!$M$3</f>
        <v>67286.835779489993</v>
      </c>
      <c r="G21" s="6">
        <f>+[17]Main!$M$5-[17]Main!$M$6</f>
        <v>8238.1</v>
      </c>
      <c r="H21" s="6">
        <f>F21-G21</f>
        <v>59048.735779489994</v>
      </c>
      <c r="I21" s="3" t="s">
        <v>16</v>
      </c>
    </row>
    <row r="22" spans="2:27" x14ac:dyDescent="0.2">
      <c r="B22" s="5" t="s">
        <v>77</v>
      </c>
      <c r="C22" s="1" t="s">
        <v>78</v>
      </c>
      <c r="D22" s="3">
        <v>10.46</v>
      </c>
      <c r="F22" s="6">
        <f>D22*[18]Main!$M$3</f>
        <v>12680.93945768</v>
      </c>
      <c r="G22" s="6">
        <f>[18]Main!$M$5-[18]Main!$M$6</f>
        <v>-18665.5</v>
      </c>
      <c r="H22" s="6">
        <f>F22-G22</f>
        <v>31346.43945768</v>
      </c>
      <c r="I22" s="3" t="s">
        <v>16</v>
      </c>
    </row>
    <row r="23" spans="2:27" x14ac:dyDescent="0.2">
      <c r="B23" s="5" t="s">
        <v>53</v>
      </c>
      <c r="C23" s="1" t="s">
        <v>54</v>
      </c>
      <c r="D23" s="3">
        <v>580.95000000000005</v>
      </c>
    </row>
    <row r="24" spans="2:27" x14ac:dyDescent="0.2">
      <c r="B24" s="5" t="s">
        <v>55</v>
      </c>
      <c r="C24" s="1" t="s">
        <v>56</v>
      </c>
      <c r="D24" s="3">
        <v>128.03</v>
      </c>
    </row>
    <row r="25" spans="2:27" x14ac:dyDescent="0.2">
      <c r="B25" s="5" t="s">
        <v>57</v>
      </c>
      <c r="C25" s="1" t="s">
        <v>58</v>
      </c>
      <c r="D25" s="6">
        <v>3311</v>
      </c>
    </row>
    <row r="26" spans="2:27" x14ac:dyDescent="0.2">
      <c r="B26" s="5" t="s">
        <v>59</v>
      </c>
      <c r="C26" s="1" t="s">
        <v>60</v>
      </c>
      <c r="D26" s="3">
        <v>137.09</v>
      </c>
    </row>
    <row r="27" spans="2:27" x14ac:dyDescent="0.2">
      <c r="B27" s="5" t="s">
        <v>63</v>
      </c>
      <c r="C27" s="1" t="s">
        <v>64</v>
      </c>
      <c r="D27" s="3">
        <v>13.12</v>
      </c>
    </row>
    <row r="28" spans="2:27" x14ac:dyDescent="0.2">
      <c r="B28" s="1" t="s">
        <v>264</v>
      </c>
      <c r="C28" s="10" t="s">
        <v>265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x14ac:dyDescent="0.2">
      <c r="B29" s="1" t="s">
        <v>67</v>
      </c>
      <c r="C29" s="1" t="s">
        <v>68</v>
      </c>
      <c r="D29" s="3">
        <v>63.83</v>
      </c>
    </row>
    <row r="30" spans="2:27" x14ac:dyDescent="0.2">
      <c r="B30" s="1" t="s">
        <v>69</v>
      </c>
      <c r="C30" s="1" t="s">
        <v>70</v>
      </c>
      <c r="D30" s="6">
        <v>4360</v>
      </c>
    </row>
    <row r="31" spans="2:27" x14ac:dyDescent="0.2">
      <c r="B31" s="10" t="s">
        <v>272</v>
      </c>
      <c r="C31" s="10" t="s">
        <v>273</v>
      </c>
      <c r="D31" s="6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2:27" x14ac:dyDescent="0.2">
      <c r="B32" s="1" t="s">
        <v>75</v>
      </c>
      <c r="C32" s="1" t="s">
        <v>76</v>
      </c>
      <c r="D32" s="3">
        <v>125.14</v>
      </c>
    </row>
    <row r="33" spans="2:27" x14ac:dyDescent="0.2">
      <c r="B33" s="1" t="s">
        <v>71</v>
      </c>
      <c r="C33" s="1" t="s">
        <v>72</v>
      </c>
      <c r="D33" s="3">
        <v>76.08</v>
      </c>
    </row>
    <row r="34" spans="2:27" x14ac:dyDescent="0.2">
      <c r="B34" s="5" t="s">
        <v>51</v>
      </c>
      <c r="C34" s="1" t="s">
        <v>52</v>
      </c>
      <c r="D34" s="3">
        <v>71.27</v>
      </c>
      <c r="F34" s="6">
        <f>+D34*[19]Main!$K$3</f>
        <v>15786.66213397</v>
      </c>
      <c r="G34" s="6">
        <f>+[19]Main!$K$5-[19]Main!$K$6</f>
        <v>2721</v>
      </c>
      <c r="H34" s="6">
        <f>F34-G34</f>
        <v>13065.66213397</v>
      </c>
      <c r="I34" s="3" t="s">
        <v>16</v>
      </c>
    </row>
    <row r="35" spans="2:27" x14ac:dyDescent="0.2">
      <c r="B35" s="5" t="s">
        <v>61</v>
      </c>
      <c r="C35" s="1" t="s">
        <v>62</v>
      </c>
      <c r="D35" s="3">
        <v>28.54</v>
      </c>
    </row>
    <row r="36" spans="2:27" x14ac:dyDescent="0.2">
      <c r="B36" s="1" t="s">
        <v>65</v>
      </c>
      <c r="C36" s="1" t="s">
        <v>66</v>
      </c>
      <c r="D36" s="3">
        <v>349.96</v>
      </c>
    </row>
    <row r="37" spans="2:27" x14ac:dyDescent="0.2">
      <c r="B37" s="10" t="s">
        <v>268</v>
      </c>
      <c r="C37" s="1" t="s">
        <v>269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2:27" x14ac:dyDescent="0.2">
      <c r="B38" s="10" t="s">
        <v>266</v>
      </c>
      <c r="C38" s="10" t="s">
        <v>267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2:27" x14ac:dyDescent="0.2">
      <c r="B39" s="1" t="s">
        <v>73</v>
      </c>
      <c r="C39" s="1" t="s">
        <v>74</v>
      </c>
      <c r="D39" s="3">
        <v>165.45</v>
      </c>
    </row>
    <row r="40" spans="2:27" x14ac:dyDescent="0.2">
      <c r="B40" s="10" t="s">
        <v>270</v>
      </c>
      <c r="C40" s="10" t="s">
        <v>271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2">
      <c r="B41" s="1" t="s">
        <v>79</v>
      </c>
      <c r="C41" s="1" t="s">
        <v>80</v>
      </c>
      <c r="D41" s="3">
        <v>39.35</v>
      </c>
    </row>
    <row r="42" spans="2:27" x14ac:dyDescent="0.2">
      <c r="B42" s="10" t="s">
        <v>274</v>
      </c>
      <c r="C42" s="10" t="s">
        <v>275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2">
      <c r="B43" s="5" t="s">
        <v>81</v>
      </c>
      <c r="C43" s="1" t="s">
        <v>82</v>
      </c>
      <c r="D43" s="3">
        <v>132.13999999999999</v>
      </c>
      <c r="F43" s="6">
        <f>D43*[20]Main!$L$3</f>
        <v>13539.443113239999</v>
      </c>
      <c r="G43" s="6">
        <f>[20]Main!$L$5-[20]Main!$L$6</f>
        <v>5643.241</v>
      </c>
      <c r="H43" s="6">
        <f>F43-G43</f>
        <v>7896.2021132399987</v>
      </c>
      <c r="I43" s="3" t="s">
        <v>16</v>
      </c>
    </row>
    <row r="44" spans="2:27" x14ac:dyDescent="0.2">
      <c r="B44" s="1" t="s">
        <v>83</v>
      </c>
      <c r="C44" s="1" t="s">
        <v>84</v>
      </c>
      <c r="D44" s="6">
        <v>1978</v>
      </c>
    </row>
    <row r="45" spans="2:27" x14ac:dyDescent="0.2">
      <c r="B45" s="1" t="s">
        <v>85</v>
      </c>
      <c r="C45" s="1" t="s">
        <v>86</v>
      </c>
      <c r="D45" s="6">
        <v>3060</v>
      </c>
    </row>
    <row r="46" spans="2:27" x14ac:dyDescent="0.2">
      <c r="B46" s="1" t="s">
        <v>87</v>
      </c>
      <c r="C46" s="1" t="s">
        <v>88</v>
      </c>
      <c r="D46" s="3">
        <v>11.57</v>
      </c>
    </row>
    <row r="47" spans="2:27" x14ac:dyDescent="0.2">
      <c r="B47" s="1" t="s">
        <v>89</v>
      </c>
      <c r="C47" s="1" t="s">
        <v>90</v>
      </c>
      <c r="D47" s="3">
        <v>145.13999999999999</v>
      </c>
    </row>
    <row r="48" spans="2:27" x14ac:dyDescent="0.2">
      <c r="B48" s="5" t="s">
        <v>91</v>
      </c>
      <c r="C48" s="1" t="s">
        <v>92</v>
      </c>
      <c r="D48" s="3">
        <v>219.38</v>
      </c>
      <c r="F48" s="6">
        <f>D48*[21]Main!$K$3</f>
        <v>10464.426000000001</v>
      </c>
      <c r="G48" s="6">
        <f>[21]Main!$K$5-[21]Main!$K$6</f>
        <v>3027</v>
      </c>
      <c r="H48" s="6">
        <f>F48-G48</f>
        <v>7437.4260000000013</v>
      </c>
      <c r="I48" s="3" t="s">
        <v>16</v>
      </c>
    </row>
    <row r="49" spans="2:27" x14ac:dyDescent="0.2">
      <c r="B49" s="5" t="s">
        <v>137</v>
      </c>
      <c r="C49" s="1" t="s">
        <v>138</v>
      </c>
      <c r="D49" s="7">
        <v>57</v>
      </c>
      <c r="F49" s="6">
        <f>+D49*[22]Main!$L$3</f>
        <v>6071.7436259999995</v>
      </c>
      <c r="G49" s="6">
        <f>+[22]Main!$L$5-[22]Main!$L$6</f>
        <v>776.13</v>
      </c>
      <c r="H49" s="6">
        <f>+F49-G49</f>
        <v>5295.6136259999994</v>
      </c>
      <c r="I49" s="3" t="s">
        <v>16</v>
      </c>
    </row>
    <row r="50" spans="2:27" x14ac:dyDescent="0.2">
      <c r="B50" s="5" t="s">
        <v>306</v>
      </c>
      <c r="C50" s="10" t="s">
        <v>307</v>
      </c>
      <c r="D50" s="7">
        <v>1721.48</v>
      </c>
      <c r="E50" s="6">
        <f>+[23]Main!$K$3</f>
        <v>233</v>
      </c>
      <c r="F50" s="6">
        <f>+D50*E50/100*GBP</f>
        <v>4746.2735717200003</v>
      </c>
      <c r="G50" s="6">
        <f>+[23]Main!$K$5-[23]Main!$K$6</f>
        <v>-337</v>
      </c>
      <c r="H50" s="6">
        <f>+F50-G50</f>
        <v>5083.2735717200003</v>
      </c>
      <c r="I50" s="3" t="s">
        <v>23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2:27" x14ac:dyDescent="0.2">
      <c r="B51" s="1" t="s">
        <v>93</v>
      </c>
      <c r="C51" s="1" t="s">
        <v>94</v>
      </c>
      <c r="D51" s="3">
        <v>93.28</v>
      </c>
    </row>
    <row r="52" spans="2:27" x14ac:dyDescent="0.2">
      <c r="B52" s="1" t="s">
        <v>95</v>
      </c>
      <c r="C52" s="1" t="s">
        <v>96</v>
      </c>
      <c r="D52" s="3">
        <v>142.91</v>
      </c>
    </row>
    <row r="53" spans="2:27" x14ac:dyDescent="0.2">
      <c r="B53" s="10" t="s">
        <v>280</v>
      </c>
      <c r="C53" s="10" t="s">
        <v>280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x14ac:dyDescent="0.2">
      <c r="B54" s="10" t="s">
        <v>287</v>
      </c>
      <c r="C54" s="10" t="s">
        <v>288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x14ac:dyDescent="0.2">
      <c r="B55" s="1" t="s">
        <v>97</v>
      </c>
      <c r="C55" s="1" t="s">
        <v>98</v>
      </c>
      <c r="D55" s="3">
        <v>7.71</v>
      </c>
    </row>
    <row r="56" spans="2:27" x14ac:dyDescent="0.2">
      <c r="B56" s="10" t="s">
        <v>285</v>
      </c>
      <c r="C56" s="10" t="s">
        <v>286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x14ac:dyDescent="0.2">
      <c r="B57" s="10" t="s">
        <v>283</v>
      </c>
      <c r="C57" s="10" t="s">
        <v>284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x14ac:dyDescent="0.2">
      <c r="B58" s="10" t="s">
        <v>281</v>
      </c>
      <c r="C58" s="10" t="s">
        <v>282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x14ac:dyDescent="0.2">
      <c r="B59" s="10" t="s">
        <v>278</v>
      </c>
      <c r="C59" s="10" t="s">
        <v>279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x14ac:dyDescent="0.2">
      <c r="B60" s="10" t="s">
        <v>276</v>
      </c>
      <c r="C60" s="10" t="s">
        <v>277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x14ac:dyDescent="0.2">
      <c r="B61" s="10" t="s">
        <v>262</v>
      </c>
      <c r="C61" s="10" t="s">
        <v>263</v>
      </c>
    </row>
    <row r="62" spans="2:27" x14ac:dyDescent="0.2">
      <c r="B62" s="1" t="s">
        <v>99</v>
      </c>
      <c r="C62" s="1" t="s">
        <v>100</v>
      </c>
      <c r="D62" s="3">
        <v>11.04</v>
      </c>
    </row>
    <row r="63" spans="2:27" x14ac:dyDescent="0.2">
      <c r="B63" s="1" t="s">
        <v>101</v>
      </c>
      <c r="C63" s="1" t="s">
        <v>102</v>
      </c>
      <c r="D63" s="3">
        <v>44.14</v>
      </c>
    </row>
    <row r="64" spans="2:27" x14ac:dyDescent="0.2">
      <c r="B64" s="1" t="s">
        <v>103</v>
      </c>
      <c r="C64" s="1" t="s">
        <v>104</v>
      </c>
      <c r="D64" s="3">
        <v>35.26</v>
      </c>
    </row>
    <row r="65" spans="2:4" x14ac:dyDescent="0.2">
      <c r="B65" s="1" t="s">
        <v>105</v>
      </c>
      <c r="C65" s="1" t="s">
        <v>106</v>
      </c>
      <c r="D65" s="3">
        <v>82.53</v>
      </c>
    </row>
    <row r="66" spans="2:4" x14ac:dyDescent="0.2">
      <c r="B66" s="1" t="s">
        <v>107</v>
      </c>
      <c r="C66" s="1" t="s">
        <v>108</v>
      </c>
      <c r="D66" s="3">
        <v>24.78</v>
      </c>
    </row>
    <row r="67" spans="2:4" x14ac:dyDescent="0.2">
      <c r="B67" s="1" t="s">
        <v>109</v>
      </c>
      <c r="C67" s="1" t="s">
        <v>110</v>
      </c>
      <c r="D67" s="3">
        <v>4.72</v>
      </c>
    </row>
    <row r="68" spans="2:4" x14ac:dyDescent="0.2">
      <c r="B68" s="1" t="s">
        <v>111</v>
      </c>
      <c r="C68" s="1" t="s">
        <v>112</v>
      </c>
      <c r="D68" s="3">
        <v>24.53</v>
      </c>
    </row>
    <row r="69" spans="2:4" x14ac:dyDescent="0.2">
      <c r="B69" s="1" t="s">
        <v>113</v>
      </c>
      <c r="C69" s="1" t="s">
        <v>114</v>
      </c>
      <c r="D69" s="3">
        <v>23.02</v>
      </c>
    </row>
    <row r="70" spans="2:4" x14ac:dyDescent="0.2">
      <c r="B70" s="1" t="s">
        <v>115</v>
      </c>
      <c r="C70" s="1" t="s">
        <v>116</v>
      </c>
      <c r="D70" s="3">
        <v>29.12</v>
      </c>
    </row>
    <row r="71" spans="2:4" x14ac:dyDescent="0.2">
      <c r="B71" s="1" t="s">
        <v>117</v>
      </c>
      <c r="C71" s="1" t="s">
        <v>118</v>
      </c>
      <c r="D71" s="3">
        <v>33.17</v>
      </c>
    </row>
    <row r="72" spans="2:4" x14ac:dyDescent="0.2">
      <c r="B72" s="1" t="s">
        <v>119</v>
      </c>
      <c r="C72" s="1" t="s">
        <v>120</v>
      </c>
      <c r="D72" s="3">
        <v>53.21</v>
      </c>
    </row>
    <row r="73" spans="2:4" x14ac:dyDescent="0.2">
      <c r="B73" s="1" t="s">
        <v>121</v>
      </c>
      <c r="C73" s="1" t="s">
        <v>122</v>
      </c>
      <c r="D73" s="3">
        <v>46.23</v>
      </c>
    </row>
    <row r="74" spans="2:4" x14ac:dyDescent="0.2">
      <c r="B74" s="1" t="s">
        <v>123</v>
      </c>
      <c r="C74" s="1" t="s">
        <v>124</v>
      </c>
      <c r="D74" s="7">
        <v>70</v>
      </c>
    </row>
    <row r="75" spans="2:4" x14ac:dyDescent="0.2">
      <c r="B75" s="1" t="s">
        <v>125</v>
      </c>
      <c r="C75" s="1" t="s">
        <v>126</v>
      </c>
      <c r="D75" s="3">
        <v>18.559999999999999</v>
      </c>
    </row>
    <row r="76" spans="2:4" x14ac:dyDescent="0.2">
      <c r="B76" s="1" t="s">
        <v>127</v>
      </c>
      <c r="C76" s="1" t="s">
        <v>128</v>
      </c>
      <c r="D76" s="3">
        <v>15.75</v>
      </c>
    </row>
    <row r="77" spans="2:4" x14ac:dyDescent="0.2">
      <c r="B77" s="1" t="s">
        <v>129</v>
      </c>
      <c r="C77" s="1" t="s">
        <v>130</v>
      </c>
      <c r="D77" s="3">
        <v>19.510000000000002</v>
      </c>
    </row>
    <row r="78" spans="2:4" x14ac:dyDescent="0.2">
      <c r="B78" s="1" t="s">
        <v>131</v>
      </c>
      <c r="C78" s="1" t="s">
        <v>132</v>
      </c>
      <c r="D78" s="3">
        <v>66.97</v>
      </c>
    </row>
    <row r="79" spans="2:4" x14ac:dyDescent="0.2">
      <c r="B79" s="1" t="s">
        <v>133</v>
      </c>
      <c r="C79" s="1" t="s">
        <v>134</v>
      </c>
      <c r="D79" s="3">
        <v>54.94</v>
      </c>
    </row>
    <row r="80" spans="2:4" x14ac:dyDescent="0.2">
      <c r="B80" s="1" t="s">
        <v>135</v>
      </c>
      <c r="C80" s="1" t="s">
        <v>136</v>
      </c>
      <c r="D80" s="3">
        <v>38.840000000000003</v>
      </c>
    </row>
    <row r="81" spans="2:28" x14ac:dyDescent="0.2">
      <c r="B81" s="1" t="s">
        <v>139</v>
      </c>
      <c r="C81" s="1" t="s">
        <v>140</v>
      </c>
      <c r="D81" s="3">
        <v>28.03</v>
      </c>
    </row>
    <row r="82" spans="2:28" x14ac:dyDescent="0.2">
      <c r="B82" s="1" t="s">
        <v>141</v>
      </c>
      <c r="C82" s="1" t="s">
        <v>142</v>
      </c>
      <c r="D82" s="3">
        <v>83.92</v>
      </c>
    </row>
    <row r="83" spans="2:28" x14ac:dyDescent="0.2">
      <c r="B83" s="1" t="s">
        <v>143</v>
      </c>
      <c r="C83" s="1" t="s">
        <v>144</v>
      </c>
      <c r="D83" s="3">
        <v>60.72</v>
      </c>
    </row>
    <row r="84" spans="2:28" x14ac:dyDescent="0.2">
      <c r="B84" s="1" t="s">
        <v>145</v>
      </c>
      <c r="C84" s="1" t="s">
        <v>146</v>
      </c>
      <c r="D84" s="7">
        <v>12.2</v>
      </c>
    </row>
    <row r="85" spans="2:28" x14ac:dyDescent="0.2">
      <c r="B85" s="1" t="s">
        <v>147</v>
      </c>
      <c r="C85" s="1" t="s">
        <v>148</v>
      </c>
      <c r="D85" s="3">
        <v>2.37</v>
      </c>
    </row>
    <row r="86" spans="2:28" x14ac:dyDescent="0.2">
      <c r="B86" s="10" t="s">
        <v>317</v>
      </c>
      <c r="C86" s="10" t="s">
        <v>318</v>
      </c>
      <c r="D86" s="3">
        <v>4.26</v>
      </c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">
        <v>2011</v>
      </c>
    </row>
    <row r="87" spans="2:28" x14ac:dyDescent="0.2">
      <c r="B87" s="1" t="s">
        <v>149</v>
      </c>
      <c r="C87" s="1" t="s">
        <v>150</v>
      </c>
      <c r="D87" s="3">
        <v>42.98</v>
      </c>
    </row>
    <row r="88" spans="2:28" x14ac:dyDescent="0.2">
      <c r="B88" s="1" t="s">
        <v>151</v>
      </c>
      <c r="C88" s="1" t="s">
        <v>152</v>
      </c>
      <c r="D88" s="3">
        <v>23.92</v>
      </c>
    </row>
    <row r="89" spans="2:28" x14ac:dyDescent="0.2">
      <c r="B89" s="1" t="s">
        <v>153</v>
      </c>
      <c r="C89" s="1" t="s">
        <v>154</v>
      </c>
      <c r="D89" s="3">
        <v>53.29</v>
      </c>
    </row>
    <row r="90" spans="2:28" x14ac:dyDescent="0.2">
      <c r="B90" s="1" t="s">
        <v>155</v>
      </c>
      <c r="C90" s="1" t="s">
        <v>156</v>
      </c>
      <c r="D90" s="3">
        <v>74.459999999999994</v>
      </c>
    </row>
    <row r="91" spans="2:28" x14ac:dyDescent="0.2">
      <c r="B91" s="1" t="s">
        <v>157</v>
      </c>
      <c r="C91" s="1" t="s">
        <v>158</v>
      </c>
      <c r="D91" s="3">
        <v>48.63</v>
      </c>
    </row>
    <row r="92" spans="2:28" x14ac:dyDescent="0.2">
      <c r="B92" s="1" t="s">
        <v>159</v>
      </c>
      <c r="C92" s="1" t="s">
        <v>160</v>
      </c>
      <c r="D92" s="3">
        <v>27.73</v>
      </c>
    </row>
    <row r="93" spans="2:28" x14ac:dyDescent="0.2">
      <c r="B93" s="5" t="s">
        <v>161</v>
      </c>
      <c r="C93" s="1" t="s">
        <v>162</v>
      </c>
      <c r="D93" s="3">
        <v>10.119999999999999</v>
      </c>
      <c r="F93" s="6">
        <f>+D93*[24]Main!$N$3</f>
        <v>3152.1980120399994</v>
      </c>
      <c r="G93" s="6">
        <f>+[24]Main!$N$5-[24]Main!$N$6</f>
        <v>869.93499999999995</v>
      </c>
      <c r="H93" s="6">
        <f>+F93-G93</f>
        <v>2282.2630120399995</v>
      </c>
      <c r="I93" s="3" t="s">
        <v>16</v>
      </c>
    </row>
    <row r="94" spans="2:28" x14ac:dyDescent="0.2">
      <c r="B94" s="1" t="s">
        <v>163</v>
      </c>
      <c r="C94" s="1" t="s">
        <v>164</v>
      </c>
      <c r="D94" s="3">
        <v>35.770000000000003</v>
      </c>
    </row>
    <row r="95" spans="2:28" x14ac:dyDescent="0.2">
      <c r="B95" s="1" t="s">
        <v>165</v>
      </c>
      <c r="C95" s="1" t="s">
        <v>166</v>
      </c>
      <c r="D95" s="3">
        <v>14.27</v>
      </c>
    </row>
    <row r="96" spans="2:28" x14ac:dyDescent="0.2">
      <c r="B96" s="1" t="s">
        <v>167</v>
      </c>
      <c r="C96" s="1" t="s">
        <v>168</v>
      </c>
      <c r="D96" s="3">
        <v>7.36</v>
      </c>
    </row>
    <row r="97" spans="2:27" x14ac:dyDescent="0.2">
      <c r="B97" s="1" t="s">
        <v>169</v>
      </c>
      <c r="C97" s="1" t="s">
        <v>170</v>
      </c>
      <c r="D97" s="3">
        <v>9.35</v>
      </c>
    </row>
    <row r="98" spans="2:27" x14ac:dyDescent="0.2">
      <c r="B98" s="1" t="s">
        <v>171</v>
      </c>
      <c r="C98" s="1" t="s">
        <v>172</v>
      </c>
      <c r="D98" s="3">
        <v>43.98</v>
      </c>
    </row>
    <row r="99" spans="2:27" x14ac:dyDescent="0.2">
      <c r="B99" s="1" t="s">
        <v>173</v>
      </c>
      <c r="C99" s="1" t="s">
        <v>174</v>
      </c>
      <c r="D99" s="3">
        <v>5.18</v>
      </c>
    </row>
    <row r="100" spans="2:27" x14ac:dyDescent="0.2">
      <c r="B100" s="1" t="s">
        <v>175</v>
      </c>
      <c r="C100" s="1" t="s">
        <v>176</v>
      </c>
      <c r="D100" s="3">
        <v>53.72</v>
      </c>
    </row>
    <row r="101" spans="2:27" x14ac:dyDescent="0.2">
      <c r="B101" s="1" t="s">
        <v>177</v>
      </c>
      <c r="C101" s="1" t="s">
        <v>178</v>
      </c>
      <c r="D101" s="3">
        <v>21.04</v>
      </c>
    </row>
    <row r="102" spans="2:27" x14ac:dyDescent="0.2">
      <c r="B102" s="10" t="s">
        <v>319</v>
      </c>
      <c r="C102" s="10" t="s">
        <v>320</v>
      </c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2:27" x14ac:dyDescent="0.2">
      <c r="B103" s="1" t="s">
        <v>179</v>
      </c>
      <c r="C103" s="1" t="s">
        <v>180</v>
      </c>
      <c r="D103" s="7">
        <v>20.7</v>
      </c>
    </row>
    <row r="104" spans="2:27" x14ac:dyDescent="0.2">
      <c r="B104" s="1" t="s">
        <v>181</v>
      </c>
      <c r="C104" s="1" t="s">
        <v>182</v>
      </c>
      <c r="D104" s="3">
        <v>18.579999999999998</v>
      </c>
    </row>
    <row r="105" spans="2:27" x14ac:dyDescent="0.2">
      <c r="B105" s="1" t="s">
        <v>183</v>
      </c>
      <c r="C105" s="1" t="s">
        <v>184</v>
      </c>
      <c r="D105" s="3">
        <v>16.12</v>
      </c>
    </row>
    <row r="106" spans="2:27" x14ac:dyDescent="0.2">
      <c r="B106" s="1" t="s">
        <v>185</v>
      </c>
      <c r="C106" s="1" t="s">
        <v>186</v>
      </c>
      <c r="D106" s="3">
        <v>28.41</v>
      </c>
    </row>
    <row r="107" spans="2:27" x14ac:dyDescent="0.2">
      <c r="B107" s="1" t="s">
        <v>187</v>
      </c>
      <c r="C107" s="1" t="s">
        <v>188</v>
      </c>
      <c r="D107" s="3">
        <v>33.86</v>
      </c>
    </row>
    <row r="108" spans="2:27" x14ac:dyDescent="0.2">
      <c r="B108" s="1" t="s">
        <v>189</v>
      </c>
      <c r="C108" s="1" t="s">
        <v>190</v>
      </c>
      <c r="D108" s="3">
        <v>38.35</v>
      </c>
    </row>
    <row r="109" spans="2:27" x14ac:dyDescent="0.2">
      <c r="B109" s="1" t="s">
        <v>302</v>
      </c>
      <c r="C109" s="1" t="s">
        <v>191</v>
      </c>
      <c r="D109" s="3">
        <v>9.6199999999999992</v>
      </c>
    </row>
    <row r="110" spans="2:27" x14ac:dyDescent="0.2">
      <c r="B110" s="1" t="s">
        <v>192</v>
      </c>
      <c r="C110" s="1" t="s">
        <v>193</v>
      </c>
      <c r="D110" s="3">
        <v>25.49</v>
      </c>
    </row>
    <row r="111" spans="2:27" x14ac:dyDescent="0.2">
      <c r="B111" s="10" t="s">
        <v>300</v>
      </c>
      <c r="C111" s="10" t="s">
        <v>301</v>
      </c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2">
      <c r="B112" s="1" t="s">
        <v>194</v>
      </c>
      <c r="C112" s="1" t="s">
        <v>195</v>
      </c>
      <c r="D112" s="3">
        <v>11.42</v>
      </c>
    </row>
    <row r="113" spans="2:27" x14ac:dyDescent="0.2">
      <c r="B113" s="1" t="s">
        <v>196</v>
      </c>
      <c r="C113" s="1" t="s">
        <v>197</v>
      </c>
      <c r="D113" s="3">
        <v>26.64</v>
      </c>
    </row>
    <row r="114" spans="2:27" x14ac:dyDescent="0.2">
      <c r="B114" s="1" t="s">
        <v>198</v>
      </c>
      <c r="C114" s="1" t="s">
        <v>199</v>
      </c>
      <c r="D114" s="3">
        <v>30.48</v>
      </c>
    </row>
    <row r="115" spans="2:27" x14ac:dyDescent="0.2">
      <c r="B115" s="1" t="s">
        <v>200</v>
      </c>
      <c r="C115" s="1" t="s">
        <v>201</v>
      </c>
      <c r="D115" s="3">
        <v>12.98</v>
      </c>
    </row>
    <row r="116" spans="2:27" x14ac:dyDescent="0.2">
      <c r="B116" s="1" t="s">
        <v>202</v>
      </c>
      <c r="C116" s="1" t="s">
        <v>203</v>
      </c>
      <c r="D116" s="3">
        <v>10.96</v>
      </c>
    </row>
    <row r="117" spans="2:27" x14ac:dyDescent="0.2">
      <c r="B117" s="1" t="s">
        <v>204</v>
      </c>
      <c r="C117" s="1" t="s">
        <v>205</v>
      </c>
      <c r="D117" s="3">
        <v>2.42</v>
      </c>
    </row>
    <row r="118" spans="2:27" x14ac:dyDescent="0.2">
      <c r="B118" s="1" t="s">
        <v>206</v>
      </c>
      <c r="C118" s="1" t="s">
        <v>207</v>
      </c>
      <c r="D118" s="7">
        <v>55.5</v>
      </c>
    </row>
    <row r="119" spans="2:27" x14ac:dyDescent="0.2">
      <c r="B119" s="1" t="s">
        <v>208</v>
      </c>
      <c r="C119" s="1" t="s">
        <v>209</v>
      </c>
      <c r="D119" s="3">
        <v>10.63</v>
      </c>
    </row>
    <row r="120" spans="2:27" x14ac:dyDescent="0.2">
      <c r="B120" s="1" t="s">
        <v>210</v>
      </c>
      <c r="C120" s="1" t="s">
        <v>211</v>
      </c>
      <c r="D120" s="3">
        <v>33.130000000000003</v>
      </c>
    </row>
    <row r="121" spans="2:27" x14ac:dyDescent="0.2">
      <c r="B121" s="1" t="s">
        <v>212</v>
      </c>
      <c r="C121" s="1" t="s">
        <v>213</v>
      </c>
      <c r="D121" s="3">
        <v>31.52</v>
      </c>
    </row>
    <row r="122" spans="2:27" x14ac:dyDescent="0.2">
      <c r="B122" s="1" t="s">
        <v>214</v>
      </c>
      <c r="C122" s="1" t="s">
        <v>215</v>
      </c>
      <c r="D122" s="3">
        <v>7.62</v>
      </c>
    </row>
    <row r="123" spans="2:27" x14ac:dyDescent="0.2">
      <c r="B123" s="1" t="s">
        <v>216</v>
      </c>
      <c r="C123" s="1" t="s">
        <v>217</v>
      </c>
      <c r="D123" s="3">
        <v>28.55</v>
      </c>
    </row>
    <row r="124" spans="2:27" x14ac:dyDescent="0.2">
      <c r="B124" s="1" t="s">
        <v>218</v>
      </c>
      <c r="C124" s="1" t="s">
        <v>219</v>
      </c>
      <c r="D124" s="3">
        <v>27.02</v>
      </c>
    </row>
    <row r="125" spans="2:27" x14ac:dyDescent="0.2">
      <c r="B125" s="5" t="s">
        <v>297</v>
      </c>
      <c r="C125" s="10" t="s">
        <v>298</v>
      </c>
      <c r="D125" s="3">
        <v>15.65</v>
      </c>
      <c r="F125" s="6">
        <f>D125*[25]Main!$L$3</f>
        <v>1253.1559559500001</v>
      </c>
      <c r="G125" s="6">
        <f>+[25]Main!$L$5-[25]Main!$L$6</f>
        <v>112.015</v>
      </c>
      <c r="H125" s="6">
        <f>+F125-G125</f>
        <v>1141.14095595</v>
      </c>
      <c r="I125" s="3" t="s">
        <v>16</v>
      </c>
    </row>
    <row r="126" spans="2:27" x14ac:dyDescent="0.2">
      <c r="B126" s="5" t="s">
        <v>308</v>
      </c>
      <c r="C126" s="10" t="s">
        <v>309</v>
      </c>
      <c r="D126" s="3">
        <v>16.93</v>
      </c>
      <c r="F126" s="6">
        <f>+D126*[26]Main!$L$3</f>
        <v>1228.5485933099999</v>
      </c>
      <c r="G126" s="6">
        <f>+[26]Main!$L$5-[26]Main!$L$6</f>
        <v>153.25991400000001</v>
      </c>
      <c r="H126" s="6">
        <f t="shared" ref="H126" si="2">+F126-G126</f>
        <v>1075.2886793099999</v>
      </c>
      <c r="I126" s="3" t="s">
        <v>16</v>
      </c>
      <c r="J126" s="18">
        <v>44771</v>
      </c>
      <c r="K126" s="18"/>
      <c r="L126" s="18"/>
      <c r="M126" s="18"/>
      <c r="N126" s="18"/>
      <c r="O126" s="18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2:27" x14ac:dyDescent="0.2">
      <c r="B127" s="1" t="s">
        <v>220</v>
      </c>
      <c r="C127" s="1" t="s">
        <v>221</v>
      </c>
      <c r="D127" s="3">
        <v>3.17</v>
      </c>
    </row>
    <row r="128" spans="2:27" x14ac:dyDescent="0.2">
      <c r="B128" s="1" t="s">
        <v>222</v>
      </c>
      <c r="C128" s="1" t="s">
        <v>223</v>
      </c>
      <c r="D128" s="3">
        <v>8.76</v>
      </c>
    </row>
    <row r="129" spans="2:27" x14ac:dyDescent="0.2">
      <c r="B129" s="1" t="s">
        <v>224</v>
      </c>
      <c r="C129" s="1" t="s">
        <v>225</v>
      </c>
      <c r="D129" s="3">
        <v>18.010000000000002</v>
      </c>
    </row>
    <row r="130" spans="2:27" x14ac:dyDescent="0.2">
      <c r="B130" s="10" t="s">
        <v>314</v>
      </c>
      <c r="C130" s="10" t="s">
        <v>315</v>
      </c>
      <c r="D130" s="3">
        <v>3.92</v>
      </c>
      <c r="F130" s="3">
        <v>630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2:27" x14ac:dyDescent="0.2">
      <c r="B131" s="10" t="s">
        <v>312</v>
      </c>
      <c r="C131" s="10" t="s">
        <v>313</v>
      </c>
      <c r="D131" s="3">
        <v>11.93</v>
      </c>
      <c r="F131" s="3">
        <v>516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2:27" x14ac:dyDescent="0.2">
      <c r="B132" s="1" t="s">
        <v>226</v>
      </c>
      <c r="C132" s="1" t="s">
        <v>227</v>
      </c>
      <c r="D132" s="3">
        <v>5.46</v>
      </c>
    </row>
    <row r="133" spans="2:27" x14ac:dyDescent="0.2">
      <c r="B133" s="1" t="s">
        <v>228</v>
      </c>
      <c r="C133" s="1" t="s">
        <v>229</v>
      </c>
      <c r="D133" s="7">
        <v>36.6</v>
      </c>
    </row>
    <row r="134" spans="2:27" x14ac:dyDescent="0.2">
      <c r="B134" s="1" t="s">
        <v>230</v>
      </c>
      <c r="C134" s="1" t="s">
        <v>231</v>
      </c>
      <c r="D134" s="7">
        <v>40.24</v>
      </c>
    </row>
    <row r="135" spans="2:27" x14ac:dyDescent="0.2">
      <c r="B135" s="1" t="s">
        <v>232</v>
      </c>
      <c r="C135" s="1" t="s">
        <v>233</v>
      </c>
      <c r="D135" s="3">
        <v>22.11</v>
      </c>
    </row>
    <row r="136" spans="2:27" x14ac:dyDescent="0.2">
      <c r="B136" s="1" t="s">
        <v>234</v>
      </c>
      <c r="C136" s="1" t="s">
        <v>235</v>
      </c>
      <c r="D136" s="3">
        <v>10.31</v>
      </c>
    </row>
    <row r="137" spans="2:27" x14ac:dyDescent="0.2">
      <c r="B137" s="1" t="s">
        <v>236</v>
      </c>
      <c r="C137" s="1" t="s">
        <v>237</v>
      </c>
      <c r="D137" s="7">
        <v>1.3</v>
      </c>
    </row>
    <row r="138" spans="2:27" x14ac:dyDescent="0.2">
      <c r="B138" s="1" t="s">
        <v>238</v>
      </c>
      <c r="C138" s="1" t="s">
        <v>239</v>
      </c>
      <c r="D138" s="3">
        <v>3.35</v>
      </c>
    </row>
    <row r="139" spans="2:27" x14ac:dyDescent="0.2">
      <c r="B139" s="5" t="s">
        <v>240</v>
      </c>
      <c r="C139" s="1" t="s">
        <v>241</v>
      </c>
      <c r="D139" s="3">
        <v>7.06</v>
      </c>
      <c r="F139" s="6">
        <f>D139*[27]Main!$J$3</f>
        <v>725.62786605999997</v>
      </c>
      <c r="G139" s="6">
        <f>[27]Main!$J$5-[27]Main!$J$6</f>
        <v>197.79600000000002</v>
      </c>
      <c r="H139" s="8">
        <f t="shared" ref="H139:H140" si="3">+F139-G139</f>
        <v>527.83186605999992</v>
      </c>
      <c r="I139" s="3" t="s">
        <v>16</v>
      </c>
    </row>
    <row r="140" spans="2:27" x14ac:dyDescent="0.2">
      <c r="B140" s="5" t="s">
        <v>242</v>
      </c>
      <c r="C140" s="1" t="s">
        <v>243</v>
      </c>
      <c r="D140" s="3">
        <v>14.68</v>
      </c>
      <c r="F140" s="6">
        <f>D140*[28]Main!$L$3</f>
        <v>587.26396075999992</v>
      </c>
      <c r="G140" s="6">
        <f>[28]Main!$L$5-[28]Main!$L$6</f>
        <v>277.88299999999998</v>
      </c>
      <c r="H140" s="8">
        <f t="shared" si="3"/>
        <v>309.38096075999994</v>
      </c>
      <c r="I140" s="3" t="s">
        <v>16</v>
      </c>
    </row>
    <row r="141" spans="2:27" x14ac:dyDescent="0.2">
      <c r="B141" s="5" t="s">
        <v>244</v>
      </c>
      <c r="C141" s="1" t="s">
        <v>245</v>
      </c>
      <c r="D141" s="3">
        <v>4.8600000000000003</v>
      </c>
      <c r="F141" s="6">
        <f>D141*[29]Main!$J$3</f>
        <v>312.71415336000001</v>
      </c>
      <c r="G141" s="8">
        <f>+[29]Main!$J$5-[29]Main!$J$6</f>
        <v>92.317999999999998</v>
      </c>
      <c r="H141" s="8">
        <f>+F141-G141</f>
        <v>220.39615336000003</v>
      </c>
      <c r="I141" s="3" t="s">
        <v>16</v>
      </c>
    </row>
    <row r="142" spans="2:27" x14ac:dyDescent="0.2">
      <c r="B142" s="5" t="s">
        <v>246</v>
      </c>
      <c r="C142" s="1" t="s">
        <v>247</v>
      </c>
      <c r="D142" s="3">
        <v>7.57</v>
      </c>
      <c r="F142" s="6">
        <f>D142*[30]Main!$M$3</f>
        <v>338.45983246000003</v>
      </c>
      <c r="G142" s="6">
        <f>[30]Main!$M$5-[30]Main!$M$6</f>
        <v>120.43700000000001</v>
      </c>
      <c r="H142" s="8">
        <f t="shared" ref="H142:H147" si="4">+F142-G142</f>
        <v>218.02283246000002</v>
      </c>
      <c r="I142" s="3" t="s">
        <v>16</v>
      </c>
    </row>
    <row r="143" spans="2:27" x14ac:dyDescent="0.2">
      <c r="B143" s="5" t="s">
        <v>248</v>
      </c>
      <c r="C143" s="1" t="s">
        <v>249</v>
      </c>
      <c r="D143" s="7">
        <v>0.7</v>
      </c>
      <c r="F143" s="6">
        <f>D143*[31]Main!$M$3</f>
        <v>128.9392503</v>
      </c>
      <c r="G143" s="6">
        <f>[31]Main!$M$5-[31]Main!$M$6</f>
        <v>-59.50200000000001</v>
      </c>
      <c r="H143" s="8">
        <f t="shared" si="4"/>
        <v>188.44125030000001</v>
      </c>
      <c r="I143" s="3" t="s">
        <v>16</v>
      </c>
    </row>
    <row r="144" spans="2:27" x14ac:dyDescent="0.2">
      <c r="B144" s="5" t="s">
        <v>250</v>
      </c>
      <c r="C144" s="1" t="s">
        <v>251</v>
      </c>
      <c r="D144" s="3">
        <v>1.98</v>
      </c>
      <c r="F144" s="6">
        <f>D144*[32]Main!$N$3</f>
        <v>39.757463459999997</v>
      </c>
      <c r="G144" s="6">
        <f>[32]Main!$N$5-[32]Main!$N$6</f>
        <v>15.942</v>
      </c>
      <c r="H144" s="8">
        <f t="shared" si="4"/>
        <v>23.815463459999997</v>
      </c>
      <c r="I144" s="3" t="s">
        <v>16</v>
      </c>
    </row>
    <row r="145" spans="2:9" x14ac:dyDescent="0.2">
      <c r="B145" s="5" t="s">
        <v>252</v>
      </c>
      <c r="C145" s="1" t="s">
        <v>253</v>
      </c>
      <c r="D145" s="3">
        <v>0.62</v>
      </c>
      <c r="F145" s="6">
        <f>D145*[33]Main!$L$3</f>
        <v>30.1881658</v>
      </c>
      <c r="G145" s="6">
        <f>[33]Main!$L$5-[33]Main!$L$6</f>
        <v>13.262999999999998</v>
      </c>
      <c r="H145" s="8">
        <f t="shared" si="4"/>
        <v>16.925165800000002</v>
      </c>
      <c r="I145" s="3" t="s">
        <v>16</v>
      </c>
    </row>
    <row r="146" spans="2:9" x14ac:dyDescent="0.2">
      <c r="B146" s="5" t="s">
        <v>254</v>
      </c>
      <c r="C146" s="1" t="s">
        <v>255</v>
      </c>
      <c r="D146" s="3">
        <v>6.12</v>
      </c>
      <c r="F146" s="6">
        <f>D146*[34]Main!$M$3</f>
        <v>125.46108324000001</v>
      </c>
      <c r="G146" s="6">
        <f>[34]Main!$M$5-[34]Main!$M$6</f>
        <v>131.17699999999999</v>
      </c>
      <c r="H146" s="8">
        <f t="shared" si="4"/>
        <v>-5.7159167599999847</v>
      </c>
      <c r="I146" s="3" t="s">
        <v>16</v>
      </c>
    </row>
    <row r="147" spans="2:9" x14ac:dyDescent="0.2">
      <c r="B147" s="5" t="s">
        <v>256</v>
      </c>
      <c r="C147" s="1" t="s">
        <v>257</v>
      </c>
      <c r="D147" s="3">
        <v>0.98</v>
      </c>
      <c r="F147" s="6">
        <f>D147*[35]Main!$M$3</f>
        <v>20.935517539999999</v>
      </c>
      <c r="G147" s="6">
        <f>[35]Main!$M$5-[35]Main!$M$6</f>
        <v>55.28</v>
      </c>
      <c r="H147" s="8">
        <f t="shared" si="4"/>
        <v>-34.344482460000002</v>
      </c>
      <c r="I147" s="3" t="s">
        <v>16</v>
      </c>
    </row>
    <row r="148" spans="2:9" x14ac:dyDescent="0.2">
      <c r="B148" s="1" t="s">
        <v>258</v>
      </c>
      <c r="C148" s="1" t="s">
        <v>259</v>
      </c>
      <c r="D148" s="3">
        <v>0.61</v>
      </c>
    </row>
    <row r="149" spans="2:9" x14ac:dyDescent="0.2">
      <c r="B149" s="1" t="s">
        <v>260</v>
      </c>
      <c r="C149" s="1" t="s">
        <v>261</v>
      </c>
      <c r="D149" s="3">
        <v>5.55</v>
      </c>
    </row>
  </sheetData>
  <mergeCells count="2">
    <mergeCell ref="P2:U2"/>
    <mergeCell ref="V2:AA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34" r:id="rId18" xr:uid="{6EF35D30-7113-4CE8-9077-C5BE97F74D36}"/>
    <hyperlink ref="B23" r:id="rId19" xr:uid="{1F769FA7-6B90-4B6B-9BCC-7D6679675B06}"/>
    <hyperlink ref="B24" r:id="rId20" xr:uid="{6108C865-F45B-4849-97C5-0C40AD61A72B}"/>
    <hyperlink ref="B25" r:id="rId21" xr:uid="{FBD4E7AC-5982-43A1-83EA-3F3AB2E91655}"/>
    <hyperlink ref="B26" r:id="rId22" xr:uid="{53091BB6-5763-4DDE-A659-5638BD3CADCA}"/>
    <hyperlink ref="B35" r:id="rId23" xr:uid="{10922C8B-4C13-4E76-B998-3ADD8CC60E47}"/>
    <hyperlink ref="B27" r:id="rId24" xr:uid="{61277D68-67DC-475B-9B61-B7E2F3017110}"/>
    <hyperlink ref="B141" r:id="rId25" xr:uid="{14A63DAF-63A6-4B91-A2AF-AE28EA251457}"/>
    <hyperlink ref="B144" r:id="rId26" xr:uid="{4ACA7C7F-E42A-4687-A776-AB8065DB40FF}"/>
    <hyperlink ref="B140" r:id="rId27" xr:uid="{B3421391-7EC0-4253-8F62-5ED45A5BFA02}"/>
    <hyperlink ref="B145" r:id="rId28" xr:uid="{F6A45FC7-B73C-4143-9CAB-B3ADA19B5FD7}"/>
    <hyperlink ref="B142" r:id="rId29" xr:uid="{BBD267CB-7407-4913-9D05-6A6AA380019F}"/>
    <hyperlink ref="B147" r:id="rId30" xr:uid="{85368858-6D0F-4ABE-975C-AE5530342445}"/>
    <hyperlink ref="B139" r:id="rId31" xr:uid="{8B5BC1F5-14D4-45A0-B224-31FAF227EAF3}"/>
    <hyperlink ref="B146" r:id="rId32" xr:uid="{D5FB3BFE-F0A8-4C09-90A1-9F506EF0ADE4}"/>
    <hyperlink ref="B143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  <hyperlink ref="B125" r:id="rId39" xr:uid="{C3A06396-38CD-486E-9F4F-233A79292B4F}"/>
    <hyperlink ref="B93" r:id="rId40" xr:uid="{B83625D8-44D2-4842-9139-F29C8D5F2D8E}"/>
    <hyperlink ref="B126" r:id="rId41" xr:uid="{5FF32E6A-C6C7-4793-8271-BD230B9C7641}"/>
    <hyperlink ref="B50" r:id="rId42" xr:uid="{E5739E03-9FE4-4D05-90C8-36ABF7D078CB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295</v>
      </c>
    </row>
    <row r="2" spans="1:4" x14ac:dyDescent="0.2">
      <c r="B2" t="s">
        <v>1</v>
      </c>
      <c r="C2" t="s">
        <v>2</v>
      </c>
      <c r="D2" t="s">
        <v>293</v>
      </c>
    </row>
    <row r="3" spans="1:4" x14ac:dyDescent="0.2">
      <c r="B3" t="s">
        <v>0</v>
      </c>
    </row>
    <row r="4" spans="1:4" x14ac:dyDescent="0.2">
      <c r="B4" t="s">
        <v>289</v>
      </c>
    </row>
    <row r="5" spans="1:4" x14ac:dyDescent="0.2">
      <c r="B5" t="s">
        <v>290</v>
      </c>
    </row>
    <row r="6" spans="1:4" x14ac:dyDescent="0.2">
      <c r="B6" t="s">
        <v>291</v>
      </c>
      <c r="C6">
        <v>2019</v>
      </c>
      <c r="D6" t="s">
        <v>292</v>
      </c>
    </row>
    <row r="7" spans="1:4" x14ac:dyDescent="0.2">
      <c r="B7" t="s">
        <v>294</v>
      </c>
    </row>
    <row r="8" spans="1:4" x14ac:dyDescent="0.2">
      <c r="B8" t="s">
        <v>296</v>
      </c>
    </row>
    <row r="9" spans="1:4" x14ac:dyDescent="0.2">
      <c r="B9" t="s">
        <v>299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C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3" x14ac:dyDescent="0.2">
      <c r="A1" s="5" t="s">
        <v>295</v>
      </c>
    </row>
    <row r="2" spans="1:3" x14ac:dyDescent="0.2">
      <c r="B2" t="s">
        <v>304</v>
      </c>
      <c r="C2" t="s">
        <v>305</v>
      </c>
    </row>
    <row r="3" spans="1:3" x14ac:dyDescent="0.2">
      <c r="B3" t="s">
        <v>303</v>
      </c>
      <c r="C3" t="s">
        <v>95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2022-08-02T14:08:23Z</dcterms:modified>
</cp:coreProperties>
</file>