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97A29FF7-9E4B-4A98-A2EC-F3B870FB2616}" xr6:coauthVersionLast="47" xr6:coauthVersionMax="47" xr10:uidLastSave="{00000000-0000-0000-0000-000000000000}"/>
  <bookViews>
    <workbookView xWindow="6630" yWindow="1215" windowWidth="21045" windowHeight="13935" activeTab="2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M84" i="2" l="1"/>
  <c r="DM83" i="2"/>
  <c r="DM66" i="2"/>
  <c r="DN66" i="2" s="1"/>
  <c r="DO66" i="2" s="1"/>
  <c r="DP66" i="2" s="1"/>
  <c r="DQ66" i="2" s="1"/>
  <c r="DR66" i="2" s="1"/>
  <c r="DS66" i="2" s="1"/>
  <c r="DT66" i="2" s="1"/>
  <c r="DU66" i="2" s="1"/>
  <c r="DV66" i="2" s="1"/>
  <c r="DW66" i="2" s="1"/>
  <c r="DX66" i="2" s="1"/>
  <c r="DY66" i="2" s="1"/>
  <c r="DZ66" i="2" s="1"/>
  <c r="EA66" i="2" s="1"/>
  <c r="EB66" i="2" s="1"/>
  <c r="EC66" i="2" s="1"/>
  <c r="ED66" i="2" s="1"/>
  <c r="EE66" i="2" s="1"/>
  <c r="EF66" i="2" s="1"/>
  <c r="EG66" i="2" s="1"/>
  <c r="EH66" i="2" s="1"/>
  <c r="EI66" i="2" s="1"/>
  <c r="EJ66" i="2" s="1"/>
  <c r="EK66" i="2" s="1"/>
  <c r="EL66" i="2" s="1"/>
  <c r="EM66" i="2" s="1"/>
  <c r="EN66" i="2" s="1"/>
  <c r="EO66" i="2" s="1"/>
  <c r="EP66" i="2" s="1"/>
  <c r="EQ66" i="2" s="1"/>
  <c r="ER66" i="2" s="1"/>
  <c r="ES66" i="2" s="1"/>
  <c r="ET66" i="2" s="1"/>
  <c r="EU66" i="2" s="1"/>
  <c r="EV66" i="2" s="1"/>
  <c r="EW66" i="2" s="1"/>
  <c r="EX66" i="2" s="1"/>
  <c r="EY66" i="2" s="1"/>
  <c r="EZ66" i="2" s="1"/>
  <c r="FA66" i="2" s="1"/>
  <c r="FB66" i="2" s="1"/>
  <c r="FC66" i="2" s="1"/>
  <c r="FD66" i="2" s="1"/>
  <c r="FE66" i="2" s="1"/>
  <c r="FF66" i="2" s="1"/>
  <c r="FG66" i="2" s="1"/>
  <c r="FH66" i="2" s="1"/>
  <c r="FI66" i="2" s="1"/>
  <c r="FJ66" i="2" s="1"/>
  <c r="FK66" i="2" s="1"/>
  <c r="FL66" i="2" s="1"/>
  <c r="FM66" i="2" s="1"/>
  <c r="FN66" i="2" s="1"/>
  <c r="FO66" i="2" s="1"/>
  <c r="FP66" i="2" s="1"/>
  <c r="FQ66" i="2" s="1"/>
  <c r="FR66" i="2" s="1"/>
  <c r="FS66" i="2" s="1"/>
  <c r="FT66" i="2" s="1"/>
  <c r="FU66" i="2" s="1"/>
  <c r="FV66" i="2" s="1"/>
  <c r="FW66" i="2" s="1"/>
  <c r="FX66" i="2" s="1"/>
  <c r="FY66" i="2" s="1"/>
  <c r="FZ66" i="2" s="1"/>
  <c r="GA66" i="2" s="1"/>
  <c r="GB66" i="2" s="1"/>
  <c r="GC66" i="2" s="1"/>
  <c r="GD66" i="2" s="1"/>
  <c r="GE66" i="2" s="1"/>
  <c r="GF66" i="2" s="1"/>
  <c r="GG66" i="2" s="1"/>
  <c r="GH66" i="2" s="1"/>
  <c r="GI66" i="2" s="1"/>
  <c r="GJ66" i="2" s="1"/>
  <c r="GK66" i="2" s="1"/>
  <c r="DL66" i="2"/>
  <c r="DK66" i="2"/>
  <c r="DJ66" i="2"/>
  <c r="DF63" i="2"/>
  <c r="DF64" i="2" s="1"/>
  <c r="DE63" i="2"/>
  <c r="DD65" i="2"/>
  <c r="DF68" i="2"/>
  <c r="DG68" i="2" s="1"/>
  <c r="DH68" i="2" s="1"/>
  <c r="DI68" i="2" s="1"/>
  <c r="DJ68" i="2" s="1"/>
  <c r="DK68" i="2" s="1"/>
  <c r="DE68" i="2"/>
  <c r="DC67" i="2"/>
  <c r="DD68" i="2"/>
  <c r="DC68" i="2"/>
  <c r="DB68" i="2"/>
  <c r="DC82" i="2"/>
  <c r="DD80" i="2"/>
  <c r="DC80" i="2"/>
  <c r="DK78" i="2"/>
  <c r="DJ78" i="2"/>
  <c r="DI78" i="2"/>
  <c r="DH78" i="2"/>
  <c r="DG78" i="2"/>
  <c r="DF78" i="2"/>
  <c r="DE78" i="2"/>
  <c r="DD78" i="2"/>
  <c r="DC78" i="2"/>
  <c r="DB78" i="2"/>
  <c r="DK77" i="2"/>
  <c r="DJ77" i="2"/>
  <c r="DI77" i="2"/>
  <c r="DH77" i="2"/>
  <c r="DG77" i="2"/>
  <c r="DF77" i="2"/>
  <c r="DE77" i="2"/>
  <c r="DD77" i="2"/>
  <c r="DC77" i="2"/>
  <c r="DB77" i="2"/>
  <c r="DA77" i="2"/>
  <c r="DK70" i="2"/>
  <c r="DJ70" i="2"/>
  <c r="DI70" i="2"/>
  <c r="DH70" i="2"/>
  <c r="DG70" i="2"/>
  <c r="DF70" i="2"/>
  <c r="DE70" i="2"/>
  <c r="DD70" i="2"/>
  <c r="DC70" i="2"/>
  <c r="DD66" i="2"/>
  <c r="DD82" i="2" s="1"/>
  <c r="DC66" i="2"/>
  <c r="DC65" i="2"/>
  <c r="DE64" i="2"/>
  <c r="DD64" i="2"/>
  <c r="DC64" i="2"/>
  <c r="DK59" i="2"/>
  <c r="DJ59" i="2"/>
  <c r="DI59" i="2"/>
  <c r="DH59" i="2"/>
  <c r="DG59" i="2"/>
  <c r="DF59" i="2"/>
  <c r="DE59" i="2"/>
  <c r="DK61" i="2"/>
  <c r="DJ61" i="2"/>
  <c r="DI61" i="2"/>
  <c r="DH61" i="2"/>
  <c r="DG61" i="2"/>
  <c r="DF61" i="2"/>
  <c r="DE61" i="2"/>
  <c r="DK58" i="2"/>
  <c r="DJ58" i="2"/>
  <c r="DI58" i="2"/>
  <c r="DH58" i="2"/>
  <c r="DG58" i="2"/>
  <c r="DF58" i="2"/>
  <c r="DE58" i="2"/>
  <c r="DK57" i="2"/>
  <c r="DJ57" i="2"/>
  <c r="DI57" i="2"/>
  <c r="DH57" i="2"/>
  <c r="DG57" i="2"/>
  <c r="DF57" i="2"/>
  <c r="DE57" i="2"/>
  <c r="DK8" i="2"/>
  <c r="DJ8" i="2"/>
  <c r="DI8" i="2"/>
  <c r="DH8" i="2"/>
  <c r="DG8" i="2"/>
  <c r="DF8" i="2"/>
  <c r="DE8" i="2"/>
  <c r="DK9" i="2"/>
  <c r="DJ9" i="2"/>
  <c r="DI9" i="2"/>
  <c r="DH9" i="2"/>
  <c r="DG9" i="2"/>
  <c r="DF9" i="2"/>
  <c r="DE9" i="2"/>
  <c r="DK12" i="2"/>
  <c r="DF12" i="2"/>
  <c r="DG12" i="2" s="1"/>
  <c r="DH12" i="2" s="1"/>
  <c r="DI12" i="2" s="1"/>
  <c r="DJ12" i="2" s="1"/>
  <c r="DE12" i="2"/>
  <c r="DK29" i="2"/>
  <c r="DF29" i="2"/>
  <c r="DG29" i="2" s="1"/>
  <c r="DH29" i="2" s="1"/>
  <c r="DI29" i="2" s="1"/>
  <c r="DJ29" i="2" s="1"/>
  <c r="DE29" i="2"/>
  <c r="DK27" i="2"/>
  <c r="DJ27" i="2"/>
  <c r="DI27" i="2"/>
  <c r="DH27" i="2"/>
  <c r="DG27" i="2"/>
  <c r="DF27" i="2"/>
  <c r="DE27" i="2"/>
  <c r="DE26" i="2"/>
  <c r="DF26" i="2" s="1"/>
  <c r="DG26" i="2" s="1"/>
  <c r="DH26" i="2" s="1"/>
  <c r="DI26" i="2" s="1"/>
  <c r="DJ26" i="2" s="1"/>
  <c r="DK26" i="2" s="1"/>
  <c r="DE25" i="2"/>
  <c r="DF25" i="2" s="1"/>
  <c r="DG25" i="2" s="1"/>
  <c r="DH25" i="2" s="1"/>
  <c r="DI25" i="2" s="1"/>
  <c r="DJ25" i="2" s="1"/>
  <c r="DK25" i="2" s="1"/>
  <c r="DE24" i="2"/>
  <c r="DF24" i="2" s="1"/>
  <c r="DG24" i="2" s="1"/>
  <c r="DH24" i="2" s="1"/>
  <c r="DI24" i="2" s="1"/>
  <c r="DJ24" i="2" s="1"/>
  <c r="DK24" i="2" s="1"/>
  <c r="DE23" i="2"/>
  <c r="DF23" i="2" s="1"/>
  <c r="DG23" i="2" s="1"/>
  <c r="DH23" i="2" s="1"/>
  <c r="DI23" i="2" s="1"/>
  <c r="DJ23" i="2" s="1"/>
  <c r="DK23" i="2" s="1"/>
  <c r="DE22" i="2"/>
  <c r="DF22" i="2" s="1"/>
  <c r="DG22" i="2" s="1"/>
  <c r="DH22" i="2" s="1"/>
  <c r="DI22" i="2" s="1"/>
  <c r="DJ22" i="2" s="1"/>
  <c r="DK22" i="2" s="1"/>
  <c r="DE21" i="2"/>
  <c r="DF21" i="2" s="1"/>
  <c r="DG21" i="2" s="1"/>
  <c r="DH21" i="2" s="1"/>
  <c r="DI21" i="2" s="1"/>
  <c r="DJ21" i="2" s="1"/>
  <c r="DK21" i="2" s="1"/>
  <c r="DE20" i="2"/>
  <c r="DF20" i="2" s="1"/>
  <c r="DG20" i="2" s="1"/>
  <c r="DH20" i="2" s="1"/>
  <c r="DI20" i="2" s="1"/>
  <c r="DJ20" i="2" s="1"/>
  <c r="DK20" i="2" s="1"/>
  <c r="DE19" i="2"/>
  <c r="DF19" i="2" s="1"/>
  <c r="DG19" i="2" s="1"/>
  <c r="DH19" i="2" s="1"/>
  <c r="DI19" i="2" s="1"/>
  <c r="DJ19" i="2" s="1"/>
  <c r="DK19" i="2" s="1"/>
  <c r="DE18" i="2"/>
  <c r="DF18" i="2" s="1"/>
  <c r="DG18" i="2" s="1"/>
  <c r="DH18" i="2" s="1"/>
  <c r="DI18" i="2" s="1"/>
  <c r="DJ18" i="2" s="1"/>
  <c r="DK18" i="2" s="1"/>
  <c r="DF17" i="2"/>
  <c r="DG17" i="2" s="1"/>
  <c r="DH17" i="2" s="1"/>
  <c r="DI17" i="2" s="1"/>
  <c r="DJ17" i="2" s="1"/>
  <c r="DK17" i="2" s="1"/>
  <c r="DE17" i="2"/>
  <c r="DK16" i="2"/>
  <c r="DJ16" i="2"/>
  <c r="DI16" i="2"/>
  <c r="DH16" i="2"/>
  <c r="DG16" i="2"/>
  <c r="DF16" i="2"/>
  <c r="DE16" i="2"/>
  <c r="DK15" i="2"/>
  <c r="DJ15" i="2"/>
  <c r="DI15" i="2"/>
  <c r="DH15" i="2"/>
  <c r="DG15" i="2"/>
  <c r="DF15" i="2"/>
  <c r="DE15" i="2"/>
  <c r="DK14" i="2"/>
  <c r="DJ14" i="2"/>
  <c r="DI14" i="2"/>
  <c r="DH14" i="2"/>
  <c r="DG14" i="2"/>
  <c r="DF14" i="2"/>
  <c r="DE14" i="2"/>
  <c r="DK13" i="2"/>
  <c r="DJ13" i="2"/>
  <c r="DI13" i="2"/>
  <c r="DH13" i="2"/>
  <c r="DG13" i="2"/>
  <c r="DF13" i="2"/>
  <c r="DE13" i="2"/>
  <c r="DK11" i="2"/>
  <c r="DJ11" i="2"/>
  <c r="DI11" i="2"/>
  <c r="DH11" i="2"/>
  <c r="DG11" i="2"/>
  <c r="DF11" i="2"/>
  <c r="DE11" i="2"/>
  <c r="DK7" i="2"/>
  <c r="DJ7" i="2"/>
  <c r="DI7" i="2"/>
  <c r="DH7" i="2"/>
  <c r="DG7" i="2"/>
  <c r="DF7" i="2"/>
  <c r="DE7" i="2"/>
  <c r="DF10" i="2"/>
  <c r="DG10" i="2" s="1"/>
  <c r="DH10" i="2" s="1"/>
  <c r="DI10" i="2" s="1"/>
  <c r="DJ10" i="2" s="1"/>
  <c r="DK10" i="2" s="1"/>
  <c r="DE10" i="2"/>
  <c r="DF6" i="2"/>
  <c r="DG6" i="2" s="1"/>
  <c r="DE6" i="2"/>
  <c r="DK3" i="2"/>
  <c r="DK4" i="2"/>
  <c r="DJ4" i="2"/>
  <c r="DJ3" i="2"/>
  <c r="DI4" i="2"/>
  <c r="DI3" i="2"/>
  <c r="DH3" i="2"/>
  <c r="DG3" i="2"/>
  <c r="DF3" i="2"/>
  <c r="DE3" i="2"/>
  <c r="DB60" i="2"/>
  <c r="DB61" i="2" s="1"/>
  <c r="DA60" i="2"/>
  <c r="DA61" i="2" s="1"/>
  <c r="DB59" i="2"/>
  <c r="DA59" i="2"/>
  <c r="DB57" i="2"/>
  <c r="DA57" i="2"/>
  <c r="DD43" i="2"/>
  <c r="DC43" i="2"/>
  <c r="DB43" i="2"/>
  <c r="DA43" i="2"/>
  <c r="DD32" i="2"/>
  <c r="DC32" i="2"/>
  <c r="DB32" i="2"/>
  <c r="DA32" i="2"/>
  <c r="DD31" i="2"/>
  <c r="DC31" i="2"/>
  <c r="DB31" i="2"/>
  <c r="DA31" i="2"/>
  <c r="DD30" i="2"/>
  <c r="DC30" i="2"/>
  <c r="DB30" i="2"/>
  <c r="DA30" i="2"/>
  <c r="DA29" i="2"/>
  <c r="DB28" i="2"/>
  <c r="DA28" i="2"/>
  <c r="DB27" i="2"/>
  <c r="DA27" i="2"/>
  <c r="DB26" i="2"/>
  <c r="DA26" i="2"/>
  <c r="DD25" i="2"/>
  <c r="DC25" i="2"/>
  <c r="DB25" i="2"/>
  <c r="DA25" i="2"/>
  <c r="DB23" i="2"/>
  <c r="DA23" i="2"/>
  <c r="DB21" i="2"/>
  <c r="DA21" i="2"/>
  <c r="DD20" i="2"/>
  <c r="DC20" i="2"/>
  <c r="DB20" i="2"/>
  <c r="DA20" i="2"/>
  <c r="DB19" i="2"/>
  <c r="DA19" i="2"/>
  <c r="DD18" i="2"/>
  <c r="DB17" i="2"/>
  <c r="DA17" i="2"/>
  <c r="DB16" i="2"/>
  <c r="DA16" i="2"/>
  <c r="DB15" i="2"/>
  <c r="DA15" i="2"/>
  <c r="DB13" i="2"/>
  <c r="DA13" i="2"/>
  <c r="DB12" i="2"/>
  <c r="DA12" i="2"/>
  <c r="DA11" i="2"/>
  <c r="DB10" i="2"/>
  <c r="DA10" i="2"/>
  <c r="DB9" i="2"/>
  <c r="DA9" i="2"/>
  <c r="DB8" i="2"/>
  <c r="DA8" i="2"/>
  <c r="DB7" i="2"/>
  <c r="DA7" i="2"/>
  <c r="DA6" i="2"/>
  <c r="DD5" i="2"/>
  <c r="DC5" i="2"/>
  <c r="DB5" i="2"/>
  <c r="DA5" i="2"/>
  <c r="DA3" i="2"/>
  <c r="BX68" i="2"/>
  <c r="BY68" i="2" s="1"/>
  <c r="BZ68" i="2" s="1"/>
  <c r="CA68" i="2" s="1"/>
  <c r="CB68" i="2" s="1"/>
  <c r="CC68" i="2" s="1"/>
  <c r="CD68" i="2" s="1"/>
  <c r="CD61" i="2"/>
  <c r="CC61" i="2"/>
  <c r="CB61" i="2"/>
  <c r="CA61" i="2"/>
  <c r="CA60" i="2"/>
  <c r="DD60" i="2" s="1"/>
  <c r="BZ60" i="2"/>
  <c r="CD60" i="2" s="1"/>
  <c r="BY60" i="2"/>
  <c r="CC60" i="2" s="1"/>
  <c r="BX60" i="2"/>
  <c r="CB60" i="2" s="1"/>
  <c r="CB59" i="2"/>
  <c r="CA59" i="2"/>
  <c r="DD59" i="2" s="1"/>
  <c r="BZ59" i="2"/>
  <c r="CD59" i="2" s="1"/>
  <c r="BY59" i="2"/>
  <c r="CC59" i="2" s="1"/>
  <c r="BX59" i="2"/>
  <c r="BX61" i="2" s="1"/>
  <c r="BX3" i="2"/>
  <c r="BY20" i="2"/>
  <c r="BZ20" i="2" s="1"/>
  <c r="CA20" i="2" s="1"/>
  <c r="CB20" i="2" s="1"/>
  <c r="CC20" i="2" s="1"/>
  <c r="CD20" i="2" s="1"/>
  <c r="BY18" i="2"/>
  <c r="BZ18" i="2" s="1"/>
  <c r="CA18" i="2" s="1"/>
  <c r="CB18" i="2" s="1"/>
  <c r="CC18" i="2" s="1"/>
  <c r="CD18" i="2" s="1"/>
  <c r="BY17" i="2"/>
  <c r="BZ17" i="2" s="1"/>
  <c r="CA17" i="2" s="1"/>
  <c r="CB17" i="2" s="1"/>
  <c r="CC17" i="2" s="1"/>
  <c r="CD17" i="2" s="1"/>
  <c r="BX29" i="2"/>
  <c r="BY29" i="2" s="1"/>
  <c r="BZ29" i="2" s="1"/>
  <c r="CA29" i="2" s="1"/>
  <c r="BX28" i="2"/>
  <c r="BY28" i="2" s="1"/>
  <c r="BZ28" i="2" s="1"/>
  <c r="CA28" i="2" s="1"/>
  <c r="BX27" i="2"/>
  <c r="BY27" i="2" s="1"/>
  <c r="BZ27" i="2" s="1"/>
  <c r="CA27" i="2" s="1"/>
  <c r="BX26" i="2"/>
  <c r="BY26" i="2" s="1"/>
  <c r="BX24" i="2"/>
  <c r="BX23" i="2"/>
  <c r="BX22" i="2"/>
  <c r="BX21" i="2"/>
  <c r="BY21" i="2" s="1"/>
  <c r="BZ21" i="2" s="1"/>
  <c r="CA21" i="2" s="1"/>
  <c r="BX20" i="2"/>
  <c r="BX18" i="2"/>
  <c r="DC18" i="2" s="1"/>
  <c r="BX17" i="2"/>
  <c r="DC17" i="2" s="1"/>
  <c r="BO56" i="2"/>
  <c r="BQ56" i="2"/>
  <c r="BP56" i="2"/>
  <c r="DF65" i="2" l="1"/>
  <c r="DF80" i="2" s="1"/>
  <c r="DF66" i="2"/>
  <c r="DF67" i="2" s="1"/>
  <c r="DE65" i="2"/>
  <c r="DE80" i="2" s="1"/>
  <c r="DD67" i="2"/>
  <c r="DF62" i="2"/>
  <c r="DG62" i="2"/>
  <c r="DJ62" i="2"/>
  <c r="DH62" i="2"/>
  <c r="DI62" i="2"/>
  <c r="DK62" i="2"/>
  <c r="DE62" i="2"/>
  <c r="DE56" i="2"/>
  <c r="DH6" i="2"/>
  <c r="DG56" i="2"/>
  <c r="DF56" i="2"/>
  <c r="CB28" i="2"/>
  <c r="CC28" i="2" s="1"/>
  <c r="CD28" i="2" s="1"/>
  <c r="DD28" i="2"/>
  <c r="CB29" i="2"/>
  <c r="CC29" i="2" s="1"/>
  <c r="CD29" i="2" s="1"/>
  <c r="DD29" i="2"/>
  <c r="DD61" i="2"/>
  <c r="CB21" i="2"/>
  <c r="CC21" i="2" s="1"/>
  <c r="CD21" i="2" s="1"/>
  <c r="DD21" i="2"/>
  <c r="DC24" i="2"/>
  <c r="BZ26" i="2"/>
  <c r="CA26" i="2" s="1"/>
  <c r="DC26" i="2"/>
  <c r="CB27" i="2"/>
  <c r="CC27" i="2" s="1"/>
  <c r="CD27" i="2" s="1"/>
  <c r="DD27" i="2"/>
  <c r="DC21" i="2"/>
  <c r="DC59" i="2"/>
  <c r="BY22" i="2"/>
  <c r="BZ22" i="2" s="1"/>
  <c r="CA22" i="2" s="1"/>
  <c r="BY23" i="2"/>
  <c r="BZ23" i="2" s="1"/>
  <c r="CA23" i="2" s="1"/>
  <c r="DC28" i="2"/>
  <c r="DC60" i="2"/>
  <c r="DC27" i="2"/>
  <c r="BY24" i="2"/>
  <c r="BZ24" i="2" s="1"/>
  <c r="CA24" i="2" s="1"/>
  <c r="DC29" i="2"/>
  <c r="BY61" i="2"/>
  <c r="DD17" i="2"/>
  <c r="BZ61" i="2"/>
  <c r="CA16" i="2"/>
  <c r="BZ16" i="2"/>
  <c r="CD16" i="2" s="1"/>
  <c r="BY16" i="2"/>
  <c r="CC16" i="2" s="1"/>
  <c r="BX16" i="2"/>
  <c r="CD15" i="2"/>
  <c r="CC15" i="2"/>
  <c r="CB15" i="2"/>
  <c r="CA15" i="2"/>
  <c r="BZ15" i="2"/>
  <c r="BY15" i="2"/>
  <c r="BX15" i="2"/>
  <c r="DC15" i="2" s="1"/>
  <c r="BU56" i="2"/>
  <c r="BT56" i="2"/>
  <c r="BR24" i="2"/>
  <c r="DA24" i="2" s="1"/>
  <c r="BR22" i="2"/>
  <c r="DA22" i="2" s="1"/>
  <c r="BR18" i="2"/>
  <c r="DA18" i="2" s="1"/>
  <c r="BR14" i="2"/>
  <c r="BS131" i="2"/>
  <c r="BS123" i="2"/>
  <c r="BS122" i="2"/>
  <c r="BS125" i="2" s="1"/>
  <c r="BS119" i="2"/>
  <c r="BS105" i="2"/>
  <c r="BS97" i="2"/>
  <c r="BS90" i="2"/>
  <c r="BS84" i="2"/>
  <c r="BT105" i="2"/>
  <c r="BT97" i="2"/>
  <c r="BT108" i="2" s="1"/>
  <c r="BT90" i="2"/>
  <c r="BT84" i="2"/>
  <c r="BU105" i="2"/>
  <c r="BU97" i="2"/>
  <c r="BU90" i="2"/>
  <c r="BU84" i="2"/>
  <c r="BW19" i="2"/>
  <c r="BV29" i="2"/>
  <c r="DB29" i="2" s="1"/>
  <c r="BV105" i="2"/>
  <c r="BV97" i="2"/>
  <c r="BV90" i="2"/>
  <c r="BV84" i="2"/>
  <c r="BV24" i="2"/>
  <c r="DB24" i="2" s="1"/>
  <c r="BV22" i="2"/>
  <c r="DB22" i="2" s="1"/>
  <c r="BV18" i="2"/>
  <c r="DB18" i="2" s="1"/>
  <c r="BV14" i="2"/>
  <c r="DB14" i="2" s="1"/>
  <c r="DB3" i="2"/>
  <c r="CB13" i="2"/>
  <c r="CA13" i="2"/>
  <c r="BZ13" i="2"/>
  <c r="BY13" i="2"/>
  <c r="CD13" i="2" s="1"/>
  <c r="BX13" i="2"/>
  <c r="CA12" i="2"/>
  <c r="BZ12" i="2"/>
  <c r="CD12" i="2" s="1"/>
  <c r="BX12" i="2"/>
  <c r="BY12" i="2"/>
  <c r="CC12" i="2" s="1"/>
  <c r="CA9" i="2"/>
  <c r="BZ9" i="2"/>
  <c r="CD9" i="2" s="1"/>
  <c r="CD74" i="2" s="1"/>
  <c r="BY9" i="2"/>
  <c r="BY74" i="2" s="1"/>
  <c r="BX9" i="2"/>
  <c r="CA74" i="2"/>
  <c r="CA8" i="2"/>
  <c r="BZ8" i="2"/>
  <c r="CD8" i="2" s="1"/>
  <c r="CD73" i="2" s="1"/>
  <c r="BY8" i="2"/>
  <c r="CC8" i="2" s="1"/>
  <c r="CC73" i="2" s="1"/>
  <c r="BX8" i="2"/>
  <c r="BW74" i="2"/>
  <c r="BV74" i="2"/>
  <c r="BU74" i="2"/>
  <c r="BT74" i="2"/>
  <c r="BS74" i="2"/>
  <c r="BR74" i="2"/>
  <c r="BQ74" i="2"/>
  <c r="BP74" i="2"/>
  <c r="BO74" i="2"/>
  <c r="BW73" i="2"/>
  <c r="BV73" i="2"/>
  <c r="BU73" i="2"/>
  <c r="BT73" i="2"/>
  <c r="BS73" i="2"/>
  <c r="BR73" i="2"/>
  <c r="BQ73" i="2"/>
  <c r="BP73" i="2"/>
  <c r="BO73" i="2"/>
  <c r="BX10" i="2"/>
  <c r="CA7" i="2"/>
  <c r="BZ7" i="2"/>
  <c r="CD7" i="2" s="1"/>
  <c r="CD72" i="2" s="1"/>
  <c r="BY7" i="2"/>
  <c r="CC7" i="2" s="1"/>
  <c r="CC72" i="2" s="1"/>
  <c r="BX7" i="2"/>
  <c r="BV72" i="2"/>
  <c r="BU72" i="2"/>
  <c r="BT72" i="2"/>
  <c r="BS72" i="2"/>
  <c r="BR72" i="2"/>
  <c r="BQ72" i="2"/>
  <c r="BP72" i="2"/>
  <c r="BO72" i="2"/>
  <c r="BW72" i="2"/>
  <c r="DE66" i="2" l="1"/>
  <c r="DI6" i="2"/>
  <c r="DH56" i="2"/>
  <c r="DC16" i="2"/>
  <c r="CB22" i="2"/>
  <c r="CC22" i="2" s="1"/>
  <c r="CD22" i="2" s="1"/>
  <c r="DD22" i="2"/>
  <c r="DC23" i="2"/>
  <c r="BX14" i="2"/>
  <c r="CB23" i="2"/>
  <c r="CC23" i="2" s="1"/>
  <c r="CD23" i="2" s="1"/>
  <c r="DD23" i="2"/>
  <c r="CB16" i="2"/>
  <c r="BV56" i="2"/>
  <c r="BY10" i="2"/>
  <c r="BZ10" i="2" s="1"/>
  <c r="CA10" i="2" s="1"/>
  <c r="BY14" i="2"/>
  <c r="DC22" i="2"/>
  <c r="CB26" i="2"/>
  <c r="CC26" i="2" s="1"/>
  <c r="CD26" i="2" s="1"/>
  <c r="DD26" i="2"/>
  <c r="CB7" i="2"/>
  <c r="CB72" i="2" s="1"/>
  <c r="DC7" i="2"/>
  <c r="CA72" i="2"/>
  <c r="DD7" i="2"/>
  <c r="CB24" i="2"/>
  <c r="CC24" i="2" s="1"/>
  <c r="CD24" i="2" s="1"/>
  <c r="DC61" i="2"/>
  <c r="BX73" i="2"/>
  <c r="DC8" i="2"/>
  <c r="BX19" i="2"/>
  <c r="BY19" i="2" s="1"/>
  <c r="BZ19" i="2" s="1"/>
  <c r="CA19" i="2" s="1"/>
  <c r="DC19" i="2"/>
  <c r="CB9" i="2"/>
  <c r="CB74" i="2" s="1"/>
  <c r="DC9" i="2"/>
  <c r="BU82" i="2"/>
  <c r="BR56" i="2"/>
  <c r="DA14" i="2"/>
  <c r="DA56" i="2" s="1"/>
  <c r="DA58" i="2" s="1"/>
  <c r="DA62" i="2" s="1"/>
  <c r="CA73" i="2"/>
  <c r="CB12" i="2"/>
  <c r="DC12" i="2"/>
  <c r="BT82" i="2"/>
  <c r="DD12" i="2"/>
  <c r="CC13" i="2"/>
  <c r="DD13" i="2" s="1"/>
  <c r="DC13" i="2"/>
  <c r="DD16" i="2"/>
  <c r="DD15" i="2"/>
  <c r="BZ14" i="2"/>
  <c r="BV82" i="2"/>
  <c r="BZ74" i="2"/>
  <c r="BV95" i="2"/>
  <c r="BS134" i="2"/>
  <c r="BV108" i="2"/>
  <c r="BU95" i="2"/>
  <c r="BZ73" i="2"/>
  <c r="BT95" i="2"/>
  <c r="BX74" i="2"/>
  <c r="CC9" i="2"/>
  <c r="CC74" i="2" s="1"/>
  <c r="BU108" i="2"/>
  <c r="BY72" i="2"/>
  <c r="BY73" i="2"/>
  <c r="BS108" i="2"/>
  <c r="BS82" i="2"/>
  <c r="BS95" i="2"/>
  <c r="CB8" i="2"/>
  <c r="CB73" i="2" s="1"/>
  <c r="BX72" i="2"/>
  <c r="BZ72" i="2"/>
  <c r="DE67" i="2" l="1"/>
  <c r="DE82" i="2"/>
  <c r="DF82" i="2" s="1"/>
  <c r="DJ6" i="2"/>
  <c r="DI56" i="2"/>
  <c r="CB10" i="2"/>
  <c r="CC10" i="2" s="1"/>
  <c r="CD10" i="2" s="1"/>
  <c r="DD10" i="2"/>
  <c r="DC14" i="2"/>
  <c r="DD8" i="2"/>
  <c r="DD9" i="2"/>
  <c r="DC10" i="2"/>
  <c r="CB19" i="2"/>
  <c r="CC19" i="2" s="1"/>
  <c r="CD19" i="2" s="1"/>
  <c r="DD19" i="2" s="1"/>
  <c r="CA14" i="2"/>
  <c r="DD24" i="2"/>
  <c r="BZ11" i="2"/>
  <c r="BY11" i="2"/>
  <c r="CC11" i="2" s="1"/>
  <c r="BX11" i="2"/>
  <c r="CB11" i="2" s="1"/>
  <c r="BZ6" i="2"/>
  <c r="CD6" i="2" s="1"/>
  <c r="BY6" i="2"/>
  <c r="CC6" i="2" s="1"/>
  <c r="BX6" i="2"/>
  <c r="CA3" i="2"/>
  <c r="BZ3" i="2"/>
  <c r="BY3" i="2"/>
  <c r="DC3" i="2" s="1"/>
  <c r="BW128" i="2"/>
  <c r="BW131" i="2" s="1"/>
  <c r="BW122" i="2"/>
  <c r="BW125" i="2" s="1"/>
  <c r="BW119" i="2"/>
  <c r="BW105" i="2"/>
  <c r="BW97" i="2"/>
  <c r="BW90" i="2"/>
  <c r="BW84" i="2"/>
  <c r="BV71" i="2"/>
  <c r="BU71" i="2"/>
  <c r="BT71" i="2"/>
  <c r="BS71" i="2"/>
  <c r="BR71" i="2"/>
  <c r="BQ71" i="2"/>
  <c r="BP71" i="2"/>
  <c r="BO71" i="2"/>
  <c r="BW71" i="2"/>
  <c r="BK61" i="2"/>
  <c r="BL61" i="2"/>
  <c r="BM61" i="2"/>
  <c r="BN61" i="2"/>
  <c r="BO61" i="2"/>
  <c r="DG63" i="2" l="1"/>
  <c r="DG64" i="2" s="1"/>
  <c r="DK6" i="2"/>
  <c r="DK56" i="2" s="1"/>
  <c r="DJ56" i="2"/>
  <c r="CB6" i="2"/>
  <c r="BX56" i="2"/>
  <c r="CB14" i="2"/>
  <c r="CC14" i="2" s="1"/>
  <c r="CD14" i="2" s="1"/>
  <c r="DD14" i="2"/>
  <c r="BW82" i="2"/>
  <c r="BW95" i="2"/>
  <c r="BZ56" i="2"/>
  <c r="BY56" i="2"/>
  <c r="CA71" i="2"/>
  <c r="CD11" i="2"/>
  <c r="CC3" i="2"/>
  <c r="BY71" i="2"/>
  <c r="BX71" i="2"/>
  <c r="CD3" i="2"/>
  <c r="BZ71" i="2"/>
  <c r="BW134" i="2"/>
  <c r="CB3" i="2"/>
  <c r="DD3" i="2" s="1"/>
  <c r="BW108" i="2"/>
  <c r="BP61" i="2"/>
  <c r="BT61" i="2"/>
  <c r="BU78" i="2"/>
  <c r="BT78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E55" i="2"/>
  <c r="AE56" i="2" s="1"/>
  <c r="Z55" i="2"/>
  <c r="Z56" i="2" s="1"/>
  <c r="AA55" i="2"/>
  <c r="AA56" i="2" s="1"/>
  <c r="V55" i="2"/>
  <c r="V56" i="2" s="1"/>
  <c r="BQ61" i="2"/>
  <c r="BU61" i="2"/>
  <c r="BR61" i="2"/>
  <c r="BV61" i="2"/>
  <c r="J6" i="1"/>
  <c r="J5" i="1"/>
  <c r="BS61" i="2"/>
  <c r="BW61" i="2"/>
  <c r="BV78" i="2"/>
  <c r="BS6" i="2"/>
  <c r="BW6" i="2"/>
  <c r="DC6" i="2" s="1"/>
  <c r="BS11" i="2"/>
  <c r="DB11" i="2" s="1"/>
  <c r="BW11" i="2"/>
  <c r="DG65" i="2" l="1"/>
  <c r="DG80" i="2" s="1"/>
  <c r="DG66" i="2"/>
  <c r="CA11" i="2"/>
  <c r="DD11" i="2" s="1"/>
  <c r="DC11" i="2"/>
  <c r="DC56" i="2" s="1"/>
  <c r="BY58" i="2"/>
  <c r="BY57" i="2"/>
  <c r="BY79" i="2"/>
  <c r="BY78" i="2"/>
  <c r="BX58" i="2"/>
  <c r="BX79" i="2"/>
  <c r="BX57" i="2"/>
  <c r="BX78" i="2"/>
  <c r="DB6" i="2"/>
  <c r="DB56" i="2" s="1"/>
  <c r="BS56" i="2"/>
  <c r="BZ79" i="2"/>
  <c r="BZ58" i="2"/>
  <c r="BZ78" i="2"/>
  <c r="CD56" i="2"/>
  <c r="CD71" i="2"/>
  <c r="CB56" i="2"/>
  <c r="CB71" i="2"/>
  <c r="BZ70" i="2"/>
  <c r="BX70" i="2"/>
  <c r="BY70" i="2"/>
  <c r="CC56" i="2"/>
  <c r="CC71" i="2"/>
  <c r="BW56" i="2"/>
  <c r="CA6" i="2"/>
  <c r="BM79" i="2"/>
  <c r="BM78" i="2"/>
  <c r="BM58" i="2"/>
  <c r="BO70" i="2"/>
  <c r="BV79" i="2"/>
  <c r="BP58" i="2"/>
  <c r="BP77" i="2" s="1"/>
  <c r="BP70" i="2"/>
  <c r="BK79" i="2"/>
  <c r="BK58" i="2"/>
  <c r="BK78" i="2"/>
  <c r="BL79" i="2"/>
  <c r="BL78" i="2"/>
  <c r="BL58" i="2"/>
  <c r="BQ58" i="2"/>
  <c r="BQ62" i="2" s="1"/>
  <c r="BQ64" i="2" s="1"/>
  <c r="BQ66" i="2" s="1"/>
  <c r="BQ67" i="2" s="1"/>
  <c r="BQ70" i="2"/>
  <c r="BP79" i="2"/>
  <c r="BO78" i="2"/>
  <c r="BO58" i="2"/>
  <c r="BO79" i="2"/>
  <c r="BT70" i="2"/>
  <c r="BP78" i="2"/>
  <c r="BR70" i="2"/>
  <c r="BU70" i="2"/>
  <c r="BU79" i="2"/>
  <c r="BV70" i="2"/>
  <c r="BR58" i="2"/>
  <c r="BR77" i="2" s="1"/>
  <c r="BQ78" i="2"/>
  <c r="BN58" i="2"/>
  <c r="BN79" i="2"/>
  <c r="BN78" i="2"/>
  <c r="BQ79" i="2"/>
  <c r="BR79" i="2"/>
  <c r="BT79" i="2"/>
  <c r="BR78" i="2"/>
  <c r="BV58" i="2"/>
  <c r="BV77" i="2" s="1"/>
  <c r="BU58" i="2"/>
  <c r="BU77" i="2" s="1"/>
  <c r="BT58" i="2"/>
  <c r="BT77" i="2" s="1"/>
  <c r="CY2" i="2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CQ68" i="2"/>
  <c r="CQ65" i="2"/>
  <c r="CQ60" i="2"/>
  <c r="CQ59" i="2"/>
  <c r="CQ57" i="2"/>
  <c r="CR57" i="2"/>
  <c r="CR65" i="2"/>
  <c r="CP65" i="2"/>
  <c r="CO65" i="2"/>
  <c r="CR60" i="2"/>
  <c r="CR59" i="2"/>
  <c r="AO57" i="2"/>
  <c r="AN57" i="2"/>
  <c r="AM57" i="2"/>
  <c r="AO60" i="2"/>
  <c r="AN60" i="2"/>
  <c r="AM60" i="2"/>
  <c r="AO59" i="2"/>
  <c r="AN59" i="2"/>
  <c r="AM59" i="2"/>
  <c r="AL59" i="2"/>
  <c r="AP59" i="2" s="1"/>
  <c r="AL60" i="2"/>
  <c r="CS60" i="2" s="1"/>
  <c r="AH56" i="2"/>
  <c r="AH79" i="2" s="1"/>
  <c r="AL68" i="2"/>
  <c r="CS68" i="2" s="1"/>
  <c r="AL63" i="2"/>
  <c r="AP63" i="2" s="1"/>
  <c r="AL57" i="2"/>
  <c r="AP57" i="2" s="1"/>
  <c r="CR18" i="2"/>
  <c r="CQ18" i="2"/>
  <c r="AN21" i="2"/>
  <c r="AM21" i="2"/>
  <c r="AL21" i="2"/>
  <c r="AP21" i="2" s="1"/>
  <c r="CS36" i="2"/>
  <c r="CR35" i="2"/>
  <c r="CR36" i="2"/>
  <c r="CR34" i="2"/>
  <c r="CR33" i="2"/>
  <c r="CR20" i="2"/>
  <c r="CR32" i="2"/>
  <c r="CR10" i="2"/>
  <c r="CR11" i="2"/>
  <c r="CR49" i="2"/>
  <c r="CR14" i="2"/>
  <c r="CR6" i="2"/>
  <c r="CR22" i="2"/>
  <c r="CR24" i="2"/>
  <c r="AL34" i="2"/>
  <c r="AM34" i="2" s="1"/>
  <c r="AN34" i="2" s="1"/>
  <c r="AO34" i="2" s="1"/>
  <c r="AP34" i="2" s="1"/>
  <c r="AL35" i="2"/>
  <c r="AM35" i="2" s="1"/>
  <c r="AN35" i="2" s="1"/>
  <c r="AO35" i="2" s="1"/>
  <c r="AP35" i="2" s="1"/>
  <c r="AL18" i="2"/>
  <c r="AM18" i="2" s="1"/>
  <c r="AN18" i="2" s="1"/>
  <c r="AO18" i="2" s="1"/>
  <c r="AP18" i="2" s="1"/>
  <c r="AL33" i="2"/>
  <c r="AM33" i="2" s="1"/>
  <c r="AN33" i="2" s="1"/>
  <c r="AO33" i="2" s="1"/>
  <c r="AP33" i="2" s="1"/>
  <c r="AL20" i="2"/>
  <c r="AM20" i="2" s="1"/>
  <c r="AN20" i="2" s="1"/>
  <c r="AO20" i="2" s="1"/>
  <c r="AP20" i="2" s="1"/>
  <c r="AL32" i="2"/>
  <c r="AM32" i="2" s="1"/>
  <c r="AN32" i="2" s="1"/>
  <c r="AO32" i="2" s="1"/>
  <c r="AP32" i="2" s="1"/>
  <c r="AL10" i="2"/>
  <c r="AM10" i="2" s="1"/>
  <c r="AN10" i="2" s="1"/>
  <c r="AO10" i="2" s="1"/>
  <c r="AP10" i="2" s="1"/>
  <c r="AL11" i="2"/>
  <c r="AM11" i="2" s="1"/>
  <c r="AN11" i="2" s="1"/>
  <c r="AO11" i="2" s="1"/>
  <c r="AP11" i="2" s="1"/>
  <c r="AL49" i="2"/>
  <c r="AM49" i="2" s="1"/>
  <c r="AN49" i="2" s="1"/>
  <c r="AO49" i="2" s="1"/>
  <c r="AP49" i="2" s="1"/>
  <c r="AL14" i="2"/>
  <c r="CS14" i="2" s="1"/>
  <c r="AL6" i="2"/>
  <c r="AM6" i="2" s="1"/>
  <c r="AN6" i="2" s="1"/>
  <c r="AO6" i="2" s="1"/>
  <c r="AP6" i="2" s="1"/>
  <c r="AL22" i="2"/>
  <c r="AM22" i="2" s="1"/>
  <c r="AN22" i="2" s="1"/>
  <c r="AO22" i="2" s="1"/>
  <c r="AP22" i="2" s="1"/>
  <c r="AL24" i="2"/>
  <c r="AM24" i="2" s="1"/>
  <c r="AN24" i="2" s="1"/>
  <c r="AO24" i="2" s="1"/>
  <c r="AP24" i="2" s="1"/>
  <c r="AF119" i="2"/>
  <c r="AG119" i="2" s="1"/>
  <c r="AH119" i="2" s="1"/>
  <c r="AF97" i="2"/>
  <c r="AF108" i="2" s="1"/>
  <c r="AF84" i="2"/>
  <c r="AF61" i="2"/>
  <c r="AF56" i="2"/>
  <c r="AF58" i="2" s="1"/>
  <c r="AG97" i="2"/>
  <c r="AG108" i="2" s="1"/>
  <c r="AG84" i="2"/>
  <c r="AG95" i="2" s="1"/>
  <c r="AH97" i="2"/>
  <c r="AH108" i="2" s="1"/>
  <c r="AH84" i="2"/>
  <c r="AH95" i="2" s="1"/>
  <c r="AH61" i="2"/>
  <c r="AJ56" i="2"/>
  <c r="AJ58" i="2" s="1"/>
  <c r="AJ77" i="2" s="1"/>
  <c r="AI56" i="2"/>
  <c r="AI78" i="2" s="1"/>
  <c r="AI97" i="2"/>
  <c r="AI108" i="2" s="1"/>
  <c r="AI84" i="2"/>
  <c r="AI95" i="2" s="1"/>
  <c r="AJ119" i="2"/>
  <c r="AK119" i="2" s="1"/>
  <c r="AJ97" i="2"/>
  <c r="AJ108" i="2" s="1"/>
  <c r="AJ84" i="2"/>
  <c r="AJ95" i="2" s="1"/>
  <c r="AK97" i="2"/>
  <c r="AK108" i="2" s="1"/>
  <c r="AK84" i="2"/>
  <c r="AI63" i="2"/>
  <c r="AI61" i="2"/>
  <c r="AJ63" i="2"/>
  <c r="AN63" i="2" s="1"/>
  <c r="AJ61" i="2"/>
  <c r="AG63" i="2"/>
  <c r="CR63" i="2" s="1"/>
  <c r="AG61" i="2"/>
  <c r="P56" i="2"/>
  <c r="AD56" i="2"/>
  <c r="AK63" i="2"/>
  <c r="AO63" i="2" s="1"/>
  <c r="AK61" i="2"/>
  <c r="AK21" i="2"/>
  <c r="AK56" i="2" s="1"/>
  <c r="DG67" i="2" l="1"/>
  <c r="DG82" i="2"/>
  <c r="CD70" i="2"/>
  <c r="CD79" i="2"/>
  <c r="CD58" i="2"/>
  <c r="CD57" i="2" s="1"/>
  <c r="CD78" i="2"/>
  <c r="CB70" i="2"/>
  <c r="CB58" i="2"/>
  <c r="CB57" i="2" s="1"/>
  <c r="CB79" i="2"/>
  <c r="CB78" i="2"/>
  <c r="BZ77" i="2"/>
  <c r="BZ62" i="2"/>
  <c r="BZ64" i="2" s="1"/>
  <c r="BZ57" i="2"/>
  <c r="CA56" i="2"/>
  <c r="DD6" i="2"/>
  <c r="DD56" i="2" s="1"/>
  <c r="BY77" i="2"/>
  <c r="BY62" i="2"/>
  <c r="BY64" i="2" s="1"/>
  <c r="DB70" i="2"/>
  <c r="DB58" i="2"/>
  <c r="DB62" i="2" s="1"/>
  <c r="DC57" i="2"/>
  <c r="DC58" i="2" s="1"/>
  <c r="DC62" i="2" s="1"/>
  <c r="CC70" i="2"/>
  <c r="CC57" i="2"/>
  <c r="CC79" i="2"/>
  <c r="CC58" i="2"/>
  <c r="CC78" i="2"/>
  <c r="BX77" i="2"/>
  <c r="BX62" i="2"/>
  <c r="BX64" i="2" s="1"/>
  <c r="BU62" i="2"/>
  <c r="BU64" i="2" s="1"/>
  <c r="BU66" i="2" s="1"/>
  <c r="BU67" i="2" s="1"/>
  <c r="BT62" i="2"/>
  <c r="BT64" i="2" s="1"/>
  <c r="BT66" i="2" s="1"/>
  <c r="BT67" i="2" s="1"/>
  <c r="BP62" i="2"/>
  <c r="BP64" i="2" s="1"/>
  <c r="BP80" i="2" s="1"/>
  <c r="BQ80" i="2"/>
  <c r="BL77" i="2"/>
  <c r="BL62" i="2"/>
  <c r="BL64" i="2" s="1"/>
  <c r="BK77" i="2"/>
  <c r="BK62" i="2"/>
  <c r="BK64" i="2" s="1"/>
  <c r="BM77" i="2"/>
  <c r="BM62" i="2"/>
  <c r="BM64" i="2" s="1"/>
  <c r="BQ77" i="2"/>
  <c r="BV62" i="2"/>
  <c r="BV64" i="2" s="1"/>
  <c r="BV66" i="2" s="1"/>
  <c r="BV67" i="2" s="1"/>
  <c r="BN77" i="2"/>
  <c r="BN62" i="2"/>
  <c r="BN64" i="2" s="1"/>
  <c r="BR62" i="2"/>
  <c r="BR64" i="2" s="1"/>
  <c r="BW79" i="2"/>
  <c r="BW78" i="2"/>
  <c r="BO77" i="2"/>
  <c r="BO62" i="2"/>
  <c r="BO64" i="2" s="1"/>
  <c r="BS58" i="2"/>
  <c r="BS70" i="2"/>
  <c r="BS78" i="2"/>
  <c r="BS79" i="2"/>
  <c r="BW58" i="2"/>
  <c r="BW70" i="2"/>
  <c r="CQ61" i="2"/>
  <c r="AN61" i="2"/>
  <c r="CR61" i="2"/>
  <c r="CS59" i="2"/>
  <c r="CS61" i="2" s="1"/>
  <c r="CS63" i="2"/>
  <c r="CS22" i="2"/>
  <c r="CT22" i="2" s="1"/>
  <c r="CS18" i="2"/>
  <c r="AJ82" i="2"/>
  <c r="AH58" i="2"/>
  <c r="AH62" i="2" s="1"/>
  <c r="AM14" i="2"/>
  <c r="AN14" i="2" s="1"/>
  <c r="AO14" i="2" s="1"/>
  <c r="AP14" i="2" s="1"/>
  <c r="AP56" i="2" s="1"/>
  <c r="CS49" i="2"/>
  <c r="CS33" i="2"/>
  <c r="AM63" i="2"/>
  <c r="AP60" i="2"/>
  <c r="AK82" i="2"/>
  <c r="CS24" i="2"/>
  <c r="CT24" i="2" s="1"/>
  <c r="CS10" i="2"/>
  <c r="CS34" i="2"/>
  <c r="AO21" i="2"/>
  <c r="AL61" i="2"/>
  <c r="AM68" i="2"/>
  <c r="AN68" i="2" s="1"/>
  <c r="AO68" i="2" s="1"/>
  <c r="AP68" i="2" s="1"/>
  <c r="AM61" i="2"/>
  <c r="CS32" i="2"/>
  <c r="CS21" i="2"/>
  <c r="CS11" i="2"/>
  <c r="CT11" i="2" s="1"/>
  <c r="CU11" i="2" s="1"/>
  <c r="CV11" i="2" s="1"/>
  <c r="CW11" i="2" s="1"/>
  <c r="AF82" i="2"/>
  <c r="CS20" i="2"/>
  <c r="CS6" i="2"/>
  <c r="CT6" i="2" s="1"/>
  <c r="AL56" i="2"/>
  <c r="AL58" i="2" s="1"/>
  <c r="AL77" i="2" s="1"/>
  <c r="CS57" i="2"/>
  <c r="AO61" i="2"/>
  <c r="CS35" i="2"/>
  <c r="AH78" i="2"/>
  <c r="AH70" i="2"/>
  <c r="AF78" i="2"/>
  <c r="AJ78" i="2"/>
  <c r="AF77" i="2"/>
  <c r="AF62" i="2"/>
  <c r="AF64" i="2" s="1"/>
  <c r="AK78" i="2"/>
  <c r="AK79" i="2"/>
  <c r="AI79" i="2"/>
  <c r="AH82" i="2"/>
  <c r="AF79" i="2"/>
  <c r="AJ79" i="2"/>
  <c r="AK95" i="2"/>
  <c r="AF95" i="2"/>
  <c r="AG82" i="2"/>
  <c r="AI82" i="2"/>
  <c r="AI58" i="2"/>
  <c r="AI77" i="2" s="1"/>
  <c r="AJ62" i="2"/>
  <c r="AJ64" i="2" s="1"/>
  <c r="AJ80" i="2" s="1"/>
  <c r="AE97" i="2"/>
  <c r="AE108" i="2" s="1"/>
  <c r="AE84" i="2"/>
  <c r="AE95" i="2" s="1"/>
  <c r="AE61" i="2"/>
  <c r="DH63" i="2" l="1"/>
  <c r="DH64" i="2" s="1"/>
  <c r="BY65" i="2"/>
  <c r="BY80" i="2" s="1"/>
  <c r="CA78" i="2"/>
  <c r="CA58" i="2"/>
  <c r="CA57" i="2"/>
  <c r="DD57" i="2" s="1"/>
  <c r="CA79" i="2"/>
  <c r="BZ65" i="2"/>
  <c r="BZ80" i="2" s="1"/>
  <c r="DD58" i="2"/>
  <c r="DD62" i="2" s="1"/>
  <c r="BU80" i="2"/>
  <c r="CD77" i="2"/>
  <c r="CD62" i="2"/>
  <c r="CD64" i="2" s="1"/>
  <c r="CC77" i="2"/>
  <c r="CC62" i="2"/>
  <c r="CC64" i="2" s="1"/>
  <c r="CB77" i="2"/>
  <c r="CB62" i="2"/>
  <c r="CB64" i="2" s="1"/>
  <c r="CA70" i="2"/>
  <c r="BX65" i="2"/>
  <c r="BX80" i="2" s="1"/>
  <c r="BX66" i="2"/>
  <c r="BU75" i="2"/>
  <c r="BV80" i="2"/>
  <c r="BP66" i="2"/>
  <c r="BP67" i="2" s="1"/>
  <c r="BT75" i="2" s="1"/>
  <c r="BT80" i="2"/>
  <c r="BL66" i="2"/>
  <c r="BL67" i="2" s="1"/>
  <c r="BL80" i="2"/>
  <c r="BM80" i="2"/>
  <c r="BM66" i="2"/>
  <c r="BM67" i="2" s="1"/>
  <c r="BQ75" i="2" s="1"/>
  <c r="BK66" i="2"/>
  <c r="BK67" i="2" s="1"/>
  <c r="BK80" i="2"/>
  <c r="BS77" i="2"/>
  <c r="BS62" i="2"/>
  <c r="BS64" i="2" s="1"/>
  <c r="BO80" i="2"/>
  <c r="BO66" i="2"/>
  <c r="BO67" i="2" s="1"/>
  <c r="BO75" i="2" s="1"/>
  <c r="BR66" i="2"/>
  <c r="BR67" i="2" s="1"/>
  <c r="BV75" i="2" s="1"/>
  <c r="BR80" i="2"/>
  <c r="BN80" i="2"/>
  <c r="BN66" i="2"/>
  <c r="BN67" i="2" s="1"/>
  <c r="BW62" i="2"/>
  <c r="BW64" i="2" s="1"/>
  <c r="BW77" i="2"/>
  <c r="AM56" i="2"/>
  <c r="AM70" i="2" s="1"/>
  <c r="AO56" i="2"/>
  <c r="AO58" i="2" s="1"/>
  <c r="AO77" i="2" s="1"/>
  <c r="AH77" i="2"/>
  <c r="AP78" i="2"/>
  <c r="AP58" i="2"/>
  <c r="AP77" i="2" s="1"/>
  <c r="AN56" i="2"/>
  <c r="AN58" i="2" s="1"/>
  <c r="AP70" i="2"/>
  <c r="CU6" i="2"/>
  <c r="AL78" i="2"/>
  <c r="AL79" i="2"/>
  <c r="AL70" i="2"/>
  <c r="AL62" i="2"/>
  <c r="AL64" i="2" s="1"/>
  <c r="AP61" i="2"/>
  <c r="AP79" i="2"/>
  <c r="AF66" i="2"/>
  <c r="AF67" i="2" s="1"/>
  <c r="AF80" i="2"/>
  <c r="AI62" i="2"/>
  <c r="AI64" i="2" s="1"/>
  <c r="AI80" i="2" s="1"/>
  <c r="AJ66" i="2"/>
  <c r="AJ67" i="2" s="1"/>
  <c r="AE82" i="2"/>
  <c r="CQ34" i="2"/>
  <c r="CP34" i="2"/>
  <c r="DH65" i="2" l="1"/>
  <c r="DH80" i="2" s="1"/>
  <c r="DH66" i="2"/>
  <c r="CC65" i="2"/>
  <c r="CC80" i="2" s="1"/>
  <c r="BX67" i="2"/>
  <c r="BX75" i="2" s="1"/>
  <c r="BX82" i="2"/>
  <c r="CD65" i="2"/>
  <c r="CD80" i="2" s="1"/>
  <c r="CD66" i="2"/>
  <c r="CD67" i="2" s="1"/>
  <c r="CA77" i="2"/>
  <c r="CA62" i="2"/>
  <c r="CA64" i="2" s="1"/>
  <c r="CB65" i="2"/>
  <c r="CB80" i="2" s="1"/>
  <c r="BZ66" i="2"/>
  <c r="BZ67" i="2" s="1"/>
  <c r="BZ75" i="2" s="1"/>
  <c r="BY66" i="2"/>
  <c r="BY67" i="2" s="1"/>
  <c r="BY75" i="2" s="1"/>
  <c r="BR75" i="2"/>
  <c r="BP75" i="2"/>
  <c r="BW66" i="2"/>
  <c r="BW80" i="2"/>
  <c r="BS66" i="2"/>
  <c r="BS80" i="2"/>
  <c r="AM79" i="2"/>
  <c r="AM78" i="2"/>
  <c r="AM58" i="2"/>
  <c r="AM62" i="2" s="1"/>
  <c r="AM64" i="2" s="1"/>
  <c r="AP62" i="2"/>
  <c r="AP64" i="2" s="1"/>
  <c r="AP65" i="2" s="1"/>
  <c r="AP80" i="2" s="1"/>
  <c r="AO78" i="2"/>
  <c r="AO79" i="2"/>
  <c r="AO70" i="2"/>
  <c r="AN70" i="2"/>
  <c r="AO62" i="2"/>
  <c r="AO64" i="2" s="1"/>
  <c r="AO65" i="2" s="1"/>
  <c r="AO80" i="2" s="1"/>
  <c r="AN78" i="2"/>
  <c r="AN79" i="2"/>
  <c r="AN77" i="2"/>
  <c r="AN62" i="2"/>
  <c r="AN64" i="2" s="1"/>
  <c r="AL65" i="2"/>
  <c r="AL66" i="2" s="1"/>
  <c r="AI66" i="2"/>
  <c r="AI67" i="2" s="1"/>
  <c r="CH78" i="2"/>
  <c r="DH67" i="2" l="1"/>
  <c r="DH82" i="2"/>
  <c r="AM77" i="2"/>
  <c r="CA65" i="2"/>
  <c r="CA80" i="2" s="1"/>
  <c r="BY82" i="2"/>
  <c r="BZ82" i="2" s="1"/>
  <c r="CB66" i="2"/>
  <c r="CB67" i="2" s="1"/>
  <c r="CB75" i="2" s="1"/>
  <c r="CD75" i="2"/>
  <c r="CC66" i="2"/>
  <c r="CC67" i="2" s="1"/>
  <c r="CC75" i="2" s="1"/>
  <c r="BS67" i="2"/>
  <c r="BS75" i="2" s="1"/>
  <c r="BS110" i="2"/>
  <c r="BW67" i="2"/>
  <c r="BW110" i="2"/>
  <c r="AP66" i="2"/>
  <c r="AP67" i="2" s="1"/>
  <c r="AO66" i="2"/>
  <c r="AO67" i="2" s="1"/>
  <c r="AM65" i="2"/>
  <c r="AM80" i="2" s="1"/>
  <c r="AL67" i="2"/>
  <c r="AL82" i="2"/>
  <c r="AN65" i="2"/>
  <c r="AN80" i="2" s="1"/>
  <c r="AL80" i="2"/>
  <c r="CS65" i="2"/>
  <c r="CO68" i="2"/>
  <c r="CO63" i="2"/>
  <c r="CO60" i="2"/>
  <c r="CO59" i="2"/>
  <c r="CP68" i="2"/>
  <c r="AD97" i="2"/>
  <c r="AD108" i="2" s="1"/>
  <c r="AD84" i="2"/>
  <c r="AD95" i="2" s="1"/>
  <c r="CQ24" i="2"/>
  <c r="AD58" i="2"/>
  <c r="AD61" i="2"/>
  <c r="CQ36" i="2"/>
  <c r="CT36" i="2" s="1"/>
  <c r="CU36" i="2" s="1"/>
  <c r="CV36" i="2" s="1"/>
  <c r="CW36" i="2" s="1"/>
  <c r="CX36" i="2" s="1"/>
  <c r="CT59" i="2"/>
  <c r="CT61" i="2" s="1"/>
  <c r="CT18" i="2"/>
  <c r="CU18" i="2" s="1"/>
  <c r="CQ33" i="2"/>
  <c r="CT33" i="2" s="1"/>
  <c r="CU33" i="2" s="1"/>
  <c r="CV33" i="2" s="1"/>
  <c r="CW33" i="2" s="1"/>
  <c r="CQ20" i="2"/>
  <c r="CT20" i="2" s="1"/>
  <c r="CU20" i="2" s="1"/>
  <c r="CV20" i="2" s="1"/>
  <c r="CW20" i="2" s="1"/>
  <c r="CQ32" i="2"/>
  <c r="CT32" i="2" s="1"/>
  <c r="CU32" i="2" s="1"/>
  <c r="CV32" i="2" s="1"/>
  <c r="CW32" i="2" s="1"/>
  <c r="CQ10" i="2"/>
  <c r="CT10" i="2" s="1"/>
  <c r="CU10" i="2" s="1"/>
  <c r="CV10" i="2" s="1"/>
  <c r="CW10" i="2" s="1"/>
  <c r="CQ11" i="2"/>
  <c r="CQ49" i="2"/>
  <c r="CT49" i="2" s="1"/>
  <c r="CQ14" i="2"/>
  <c r="CT14" i="2" s="1"/>
  <c r="CQ6" i="2"/>
  <c r="CQ35" i="2"/>
  <c r="CQ22" i="2"/>
  <c r="AC63" i="2"/>
  <c r="AC61" i="2"/>
  <c r="AB63" i="2"/>
  <c r="CT34" i="2"/>
  <c r="CU34" i="2" s="1"/>
  <c r="CV34" i="2" s="1"/>
  <c r="AB61" i="2"/>
  <c r="Z82" i="2"/>
  <c r="CN21" i="2"/>
  <c r="CM21" i="2"/>
  <c r="CL21" i="2"/>
  <c r="CL56" i="2" s="1"/>
  <c r="CK21" i="2"/>
  <c r="CJ21" i="2"/>
  <c r="CJ56" i="2" s="1"/>
  <c r="CI21" i="2"/>
  <c r="Z61" i="2"/>
  <c r="CM61" i="2"/>
  <c r="CL61" i="2"/>
  <c r="CK61" i="2"/>
  <c r="CJ61" i="2"/>
  <c r="CI61" i="2"/>
  <c r="CH61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P36" i="2"/>
  <c r="CO36" i="2"/>
  <c r="CP60" i="2"/>
  <c r="CP59" i="2"/>
  <c r="CP18" i="2"/>
  <c r="CP33" i="2"/>
  <c r="CP20" i="2"/>
  <c r="CP32" i="2"/>
  <c r="CP10" i="2"/>
  <c r="CP11" i="2"/>
  <c r="CP49" i="2"/>
  <c r="CP14" i="2"/>
  <c r="CP6" i="2"/>
  <c r="CP35" i="2"/>
  <c r="CP24" i="2"/>
  <c r="Y63" i="2"/>
  <c r="CP63" i="2" s="1"/>
  <c r="Y61" i="2"/>
  <c r="X61" i="2"/>
  <c r="CP22" i="2"/>
  <c r="CO10" i="2"/>
  <c r="CN10" i="2"/>
  <c r="CO33" i="2"/>
  <c r="CO20" i="2"/>
  <c r="CO47" i="2"/>
  <c r="CO32" i="2"/>
  <c r="CO11" i="2"/>
  <c r="CO49" i="2"/>
  <c r="CO14" i="2"/>
  <c r="CO6" i="2"/>
  <c r="CN47" i="2"/>
  <c r="CN32" i="2"/>
  <c r="CN11" i="2"/>
  <c r="CN49" i="2"/>
  <c r="CN14" i="2"/>
  <c r="CM49" i="2"/>
  <c r="CM6" i="2"/>
  <c r="CM35" i="2"/>
  <c r="CN6" i="2"/>
  <c r="CO35" i="2"/>
  <c r="CO24" i="2"/>
  <c r="CN35" i="2"/>
  <c r="CM22" i="2"/>
  <c r="CN22" i="2"/>
  <c r="CO22" i="2"/>
  <c r="V61" i="2"/>
  <c r="W61" i="2"/>
  <c r="CN24" i="2"/>
  <c r="CN20" i="2"/>
  <c r="CN33" i="2"/>
  <c r="CN37" i="2"/>
  <c r="CN38" i="2"/>
  <c r="CO38" i="2" s="1"/>
  <c r="CN43" i="2"/>
  <c r="CO43" i="2" s="1"/>
  <c r="CP43" i="2" s="1"/>
  <c r="CN36" i="2"/>
  <c r="CN45" i="2"/>
  <c r="CO45" i="2" s="1"/>
  <c r="CP45" i="2" s="1"/>
  <c r="CN59" i="2"/>
  <c r="CN60" i="2"/>
  <c r="CN40" i="2"/>
  <c r="CO40" i="2" s="1"/>
  <c r="CN42" i="2"/>
  <c r="CO42" i="2" s="1"/>
  <c r="CP42" i="2" s="1"/>
  <c r="CN48" i="2"/>
  <c r="CO48" i="2" s="1"/>
  <c r="CP48" i="2" s="1"/>
  <c r="O37" i="2"/>
  <c r="P58" i="2"/>
  <c r="P62" i="2" s="1"/>
  <c r="P64" i="2" s="1"/>
  <c r="P80" i="2" s="1"/>
  <c r="N47" i="2"/>
  <c r="N36" i="2"/>
  <c r="P79" i="2"/>
  <c r="P78" i="2"/>
  <c r="CM24" i="2"/>
  <c r="J4" i="1"/>
  <c r="J7" i="1" s="1"/>
  <c r="C23" i="3"/>
  <c r="C22" i="3"/>
  <c r="C26" i="5"/>
  <c r="P68" i="2"/>
  <c r="CN68" i="2" s="1"/>
  <c r="CH58" i="2"/>
  <c r="CH62" i="2" s="1"/>
  <c r="CH64" i="2" s="1"/>
  <c r="CH66" i="2" s="1"/>
  <c r="CH67" i="2" s="1"/>
  <c r="F48" i="2"/>
  <c r="G33" i="2"/>
  <c r="I6" i="2"/>
  <c r="I47" i="2"/>
  <c r="AA61" i="2"/>
  <c r="DI63" i="2" l="1"/>
  <c r="DI64" i="2" s="1"/>
  <c r="CA66" i="2"/>
  <c r="CA67" i="2" s="1"/>
  <c r="BW75" i="2"/>
  <c r="CA75" i="2"/>
  <c r="AM66" i="2"/>
  <c r="AM67" i="2" s="1"/>
  <c r="AM75" i="2" s="1"/>
  <c r="CN61" i="2"/>
  <c r="CQ63" i="2"/>
  <c r="AN66" i="2"/>
  <c r="AN67" i="2" s="1"/>
  <c r="AN75" i="2" s="1"/>
  <c r="CP56" i="2"/>
  <c r="CP78" i="2" s="1"/>
  <c r="CU14" i="2"/>
  <c r="CV14" i="2" s="1"/>
  <c r="CW14" i="2" s="1"/>
  <c r="CX14" i="2" s="1"/>
  <c r="CN56" i="2"/>
  <c r="CN78" i="2" s="1"/>
  <c r="AP75" i="2"/>
  <c r="CK56" i="2"/>
  <c r="CK78" i="2" s="1"/>
  <c r="CI56" i="2"/>
  <c r="CI78" i="2" s="1"/>
  <c r="CM56" i="2"/>
  <c r="CO56" i="2"/>
  <c r="CW34" i="2"/>
  <c r="CX34" i="2" s="1"/>
  <c r="CY34" i="2" s="1"/>
  <c r="AG56" i="2"/>
  <c r="O56" i="2"/>
  <c r="O79" i="2" s="1"/>
  <c r="CP61" i="2"/>
  <c r="AD77" i="2"/>
  <c r="AD62" i="2"/>
  <c r="AD64" i="2" s="1"/>
  <c r="P77" i="2"/>
  <c r="CJ78" i="2"/>
  <c r="CJ58" i="2"/>
  <c r="CJ62" i="2" s="1"/>
  <c r="CJ64" i="2" s="1"/>
  <c r="CJ66" i="2" s="1"/>
  <c r="CJ67" i="2" s="1"/>
  <c r="P66" i="2"/>
  <c r="P67" i="2" s="1"/>
  <c r="CL78" i="2"/>
  <c r="CL58" i="2"/>
  <c r="AD79" i="2"/>
  <c r="AD78" i="2"/>
  <c r="CU59" i="2"/>
  <c r="CO61" i="2"/>
  <c r="CR68" i="2"/>
  <c r="CT35" i="2"/>
  <c r="CU35" i="2" s="1"/>
  <c r="DI65" i="2" l="1"/>
  <c r="DI80" i="2" s="1"/>
  <c r="DI66" i="2"/>
  <c r="CA82" i="2"/>
  <c r="CB82" i="2" s="1"/>
  <c r="CC82" i="2" s="1"/>
  <c r="CD82" i="2" s="1"/>
  <c r="AM82" i="2"/>
  <c r="AN82" i="2" s="1"/>
  <c r="AO82" i="2" s="1"/>
  <c r="AP82" i="2" s="1"/>
  <c r="CI58" i="2"/>
  <c r="CI62" i="2" s="1"/>
  <c r="CI64" i="2" s="1"/>
  <c r="CI66" i="2" s="1"/>
  <c r="CI67" i="2" s="1"/>
  <c r="CI75" i="2" s="1"/>
  <c r="CL70" i="2"/>
  <c r="CK58" i="2"/>
  <c r="CK62" i="2" s="1"/>
  <c r="CK64" i="2" s="1"/>
  <c r="CK66" i="2" s="1"/>
  <c r="CK67" i="2" s="1"/>
  <c r="CK75" i="2" s="1"/>
  <c r="CT68" i="2"/>
  <c r="CU68" i="2" s="1"/>
  <c r="CV68" i="2" s="1"/>
  <c r="CW68" i="2" s="1"/>
  <c r="CX68" i="2" s="1"/>
  <c r="CY68" i="2" s="1"/>
  <c r="CZ68" i="2" s="1"/>
  <c r="DA68" i="2" s="1"/>
  <c r="CT21" i="2"/>
  <c r="CT56" i="2" s="1"/>
  <c r="CT78" i="2" s="1"/>
  <c r="CS56" i="2"/>
  <c r="CS58" i="2" s="1"/>
  <c r="CP70" i="2"/>
  <c r="AG79" i="2"/>
  <c r="AG58" i="2"/>
  <c r="AG77" i="2" s="1"/>
  <c r="AG78" i="2"/>
  <c r="O58" i="2"/>
  <c r="O62" i="2" s="1"/>
  <c r="O64" i="2" s="1"/>
  <c r="AH64" i="2"/>
  <c r="AH80" i="2" s="1"/>
  <c r="O78" i="2"/>
  <c r="AJ70" i="2"/>
  <c r="CM78" i="2"/>
  <c r="CM70" i="2"/>
  <c r="CM58" i="2"/>
  <c r="AD80" i="2"/>
  <c r="AD66" i="2"/>
  <c r="AD67" i="2" s="1"/>
  <c r="CN70" i="2"/>
  <c r="CU24" i="2"/>
  <c r="CV59" i="2"/>
  <c r="CU61" i="2"/>
  <c r="CL77" i="2"/>
  <c r="CL62" i="2"/>
  <c r="CL64" i="2" s="1"/>
  <c r="CL66" i="2" s="1"/>
  <c r="CL67" i="2" s="1"/>
  <c r="CO78" i="2"/>
  <c r="CN58" i="2"/>
  <c r="CO70" i="2"/>
  <c r="CU22" i="2"/>
  <c r="DI67" i="2" l="1"/>
  <c r="DI82" i="2"/>
  <c r="CL75" i="2"/>
  <c r="CJ75" i="2"/>
  <c r="CS77" i="2"/>
  <c r="CS62" i="2"/>
  <c r="CS64" i="2" s="1"/>
  <c r="CU21" i="2"/>
  <c r="AG62" i="2"/>
  <c r="AG64" i="2" s="1"/>
  <c r="O77" i="2"/>
  <c r="O66" i="2"/>
  <c r="O67" i="2" s="1"/>
  <c r="O80" i="2"/>
  <c r="CV24" i="2"/>
  <c r="CW59" i="2"/>
  <c r="CV61" i="2"/>
  <c r="CM62" i="2"/>
  <c r="CM64" i="2" s="1"/>
  <c r="CM66" i="2" s="1"/>
  <c r="CM67" i="2" s="1"/>
  <c r="CM75" i="2" s="1"/>
  <c r="CM77" i="2"/>
  <c r="CS78" i="2"/>
  <c r="CN62" i="2"/>
  <c r="CN64" i="2" s="1"/>
  <c r="CN65" i="2" s="1"/>
  <c r="CN66" i="2" s="1"/>
  <c r="CN67" i="2" s="1"/>
  <c r="CN57" i="2"/>
  <c r="AH66" i="2"/>
  <c r="AH67" i="2" s="1"/>
  <c r="CT70" i="2"/>
  <c r="CV22" i="2"/>
  <c r="DJ63" i="2" l="1"/>
  <c r="DJ64" i="2" s="1"/>
  <c r="AH75" i="2"/>
  <c r="AL75" i="2"/>
  <c r="CV21" i="2"/>
  <c r="CU56" i="2"/>
  <c r="CU78" i="2" s="1"/>
  <c r="AG80" i="2"/>
  <c r="AG66" i="2"/>
  <c r="AG67" i="2" s="1"/>
  <c r="CS66" i="2"/>
  <c r="CX59" i="2"/>
  <c r="CW61" i="2"/>
  <c r="CW24" i="2"/>
  <c r="CN75" i="2"/>
  <c r="CW22" i="2"/>
  <c r="DJ65" i="2" l="1"/>
  <c r="DJ80" i="2" s="1"/>
  <c r="CX61" i="2"/>
  <c r="CY59" i="2"/>
  <c r="CU58" i="2"/>
  <c r="CU62" i="2" s="1"/>
  <c r="CU64" i="2" s="1"/>
  <c r="CU70" i="2"/>
  <c r="CW21" i="2"/>
  <c r="CV56" i="2"/>
  <c r="CV78" i="2" s="1"/>
  <c r="AJ75" i="2"/>
  <c r="CS67" i="2"/>
  <c r="CX24" i="2"/>
  <c r="CX22" i="2"/>
  <c r="CZ59" i="2" l="1"/>
  <c r="CY61" i="2"/>
  <c r="CU57" i="2"/>
  <c r="CV58" i="2"/>
  <c r="CV62" i="2" s="1"/>
  <c r="CV64" i="2" s="1"/>
  <c r="CX21" i="2"/>
  <c r="CW56" i="2"/>
  <c r="CW78" i="2" s="1"/>
  <c r="CV70" i="2"/>
  <c r="DJ67" i="2" l="1"/>
  <c r="DJ82" i="2"/>
  <c r="CV57" i="2"/>
  <c r="CX56" i="2"/>
  <c r="CX78" i="2" s="1"/>
  <c r="CY21" i="2"/>
  <c r="CZ61" i="2"/>
  <c r="CW58" i="2"/>
  <c r="CW62" i="2" s="1"/>
  <c r="CW64" i="2" s="1"/>
  <c r="CW70" i="2"/>
  <c r="CU65" i="2"/>
  <c r="CU66" i="2" s="1"/>
  <c r="DK63" i="2" l="1"/>
  <c r="DK64" i="2" s="1"/>
  <c r="CX58" i="2"/>
  <c r="CX57" i="2" s="1"/>
  <c r="CX70" i="2"/>
  <c r="CY56" i="2"/>
  <c r="CW57" i="2"/>
  <c r="CU67" i="2"/>
  <c r="DK65" i="2" l="1"/>
  <c r="DK80" i="2" s="1"/>
  <c r="CX62" i="2"/>
  <c r="CX64" i="2" s="1"/>
  <c r="CX65" i="2" s="1"/>
  <c r="CZ56" i="2"/>
  <c r="CY58" i="2"/>
  <c r="CY62" i="2" s="1"/>
  <c r="CY64" i="2" s="1"/>
  <c r="CY70" i="2"/>
  <c r="CY78" i="2"/>
  <c r="CV65" i="2"/>
  <c r="CV66" i="2" s="1"/>
  <c r="DK67" i="2" l="1"/>
  <c r="DK82" i="2"/>
  <c r="CY65" i="2"/>
  <c r="CY66" i="2" s="1"/>
  <c r="CY67" i="2" s="1"/>
  <c r="CZ58" i="2"/>
  <c r="CZ62" i="2" s="1"/>
  <c r="CZ64" i="2" s="1"/>
  <c r="CZ65" i="2" s="1"/>
  <c r="CZ66" i="2" s="1"/>
  <c r="CZ67" i="2" s="1"/>
  <c r="CZ70" i="2"/>
  <c r="CZ78" i="2"/>
  <c r="CY57" i="2"/>
  <c r="CV67" i="2"/>
  <c r="CV75" i="2" s="1"/>
  <c r="CZ57" i="2" l="1"/>
  <c r="CZ75" i="2"/>
  <c r="DB64" i="2"/>
  <c r="DB65" i="2" s="1"/>
  <c r="DB66" i="2" s="1"/>
  <c r="DB67" i="2" s="1"/>
  <c r="DA64" i="2"/>
  <c r="DA65" i="2" s="1"/>
  <c r="DA66" i="2" s="1"/>
  <c r="DA67" i="2" s="1"/>
  <c r="DA75" i="2" s="1"/>
  <c r="DA70" i="2"/>
  <c r="DA78" i="2"/>
  <c r="CW65" i="2"/>
  <c r="CW66" i="2" s="1"/>
  <c r="DB75" i="2" l="1"/>
  <c r="CW67" i="2"/>
  <c r="CW75" i="2" s="1"/>
  <c r="CX66" i="2" l="1"/>
  <c r="CX67" i="2" l="1"/>
  <c r="CX75" i="2" l="1"/>
  <c r="CY75" i="2"/>
  <c r="L56" i="2" l="1"/>
  <c r="L79" i="2" s="1"/>
  <c r="L78" i="2" l="1"/>
  <c r="AK70" i="2"/>
  <c r="AK58" i="2"/>
  <c r="L58" i="2"/>
  <c r="AK77" i="2" l="1"/>
  <c r="AK62" i="2"/>
  <c r="AK64" i="2" s="1"/>
  <c r="AK80" i="2" s="1"/>
  <c r="L62" i="2"/>
  <c r="L64" i="2" s="1"/>
  <c r="L77" i="2"/>
  <c r="H56" i="2"/>
  <c r="H79" i="2" s="1"/>
  <c r="L66" i="2" l="1"/>
  <c r="L67" i="2" s="1"/>
  <c r="P75" i="2" s="1"/>
  <c r="L80" i="2"/>
  <c r="AK66" i="2"/>
  <c r="AK67" i="2" s="1"/>
  <c r="H78" i="2"/>
  <c r="H58" i="2"/>
  <c r="AK75" i="2" l="1"/>
  <c r="AO75" i="2"/>
  <c r="H62" i="2"/>
  <c r="H64" i="2" s="1"/>
  <c r="H77" i="2"/>
  <c r="H66" i="2" l="1"/>
  <c r="H67" i="2" s="1"/>
  <c r="L75" i="2" s="1"/>
  <c r="H80" i="2"/>
  <c r="I56" i="2"/>
  <c r="I78" i="2" s="1"/>
  <c r="I79" i="2" l="1"/>
  <c r="I58" i="2"/>
  <c r="I77" i="2" l="1"/>
  <c r="I62" i="2"/>
  <c r="I64" i="2" s="1"/>
  <c r="I80" i="2" l="1"/>
  <c r="I66" i="2"/>
  <c r="I67" i="2" s="1"/>
  <c r="G56" i="2"/>
  <c r="G79" i="2" s="1"/>
  <c r="G58" i="2" l="1"/>
  <c r="G78" i="2"/>
  <c r="G62" i="2" l="1"/>
  <c r="G64" i="2" s="1"/>
  <c r="G77" i="2"/>
  <c r="G80" i="2" l="1"/>
  <c r="G66" i="2"/>
  <c r="G67" i="2" s="1"/>
  <c r="K56" i="2"/>
  <c r="K79" i="2" s="1"/>
  <c r="K78" i="2" l="1"/>
  <c r="K58" i="2"/>
  <c r="K77" i="2" l="1"/>
  <c r="K62" i="2"/>
  <c r="K64" i="2" s="1"/>
  <c r="M56" i="2"/>
  <c r="M78" i="2" s="1"/>
  <c r="M58" i="2" l="1"/>
  <c r="M77" i="2" s="1"/>
  <c r="K66" i="2"/>
  <c r="K67" i="2" s="1"/>
  <c r="K80" i="2"/>
  <c r="M79" i="2"/>
  <c r="M62" i="2" l="1"/>
  <c r="M64" i="2" s="1"/>
  <c r="K75" i="2"/>
  <c r="O75" i="2"/>
  <c r="F56" i="2"/>
  <c r="F79" i="2" s="1"/>
  <c r="M80" i="2" l="1"/>
  <c r="M66" i="2"/>
  <c r="M67" i="2" s="1"/>
  <c r="F78" i="2"/>
  <c r="F58" i="2"/>
  <c r="M75" i="2" l="1"/>
  <c r="F62" i="2"/>
  <c r="F64" i="2" s="1"/>
  <c r="F77" i="2"/>
  <c r="F80" i="2" l="1"/>
  <c r="F66" i="2"/>
  <c r="F67" i="2" s="1"/>
  <c r="J56" i="2"/>
  <c r="J78" i="2" s="1"/>
  <c r="J79" i="2" l="1"/>
  <c r="J58" i="2"/>
  <c r="J77" i="2" l="1"/>
  <c r="J62" i="2"/>
  <c r="J64" i="2" s="1"/>
  <c r="J80" i="2" l="1"/>
  <c r="J66" i="2"/>
  <c r="J67" i="2" s="1"/>
  <c r="CT58" i="2"/>
  <c r="CT62" i="2" s="1"/>
  <c r="CT64" i="2" s="1"/>
  <c r="CT65" i="2" l="1"/>
  <c r="CT66" i="2" s="1"/>
  <c r="CT57" i="2"/>
  <c r="CT67" i="2" l="1"/>
  <c r="CU75" i="2" l="1"/>
  <c r="CT75" i="2"/>
  <c r="S21" i="2" l="1"/>
  <c r="S56" i="2" s="1"/>
  <c r="S58" i="2" s="1"/>
  <c r="U21" i="2"/>
  <c r="U56" i="2" s="1"/>
  <c r="T21" i="2"/>
  <c r="T56" i="2" s="1"/>
  <c r="T79" i="2" s="1"/>
  <c r="N21" i="2"/>
  <c r="N56" i="2" s="1"/>
  <c r="R21" i="2"/>
  <c r="R56" i="2" s="1"/>
  <c r="R79" i="2" s="1"/>
  <c r="Q21" i="2"/>
  <c r="Q56" i="2" s="1"/>
  <c r="Q58" i="2" s="1"/>
  <c r="Q79" i="2" l="1"/>
  <c r="Q78" i="2"/>
  <c r="R58" i="2"/>
  <c r="R77" i="2" s="1"/>
  <c r="N78" i="2"/>
  <c r="N79" i="2"/>
  <c r="N58" i="2"/>
  <c r="U58" i="2"/>
  <c r="U62" i="2" s="1"/>
  <c r="U64" i="2" s="1"/>
  <c r="U66" i="2" s="1"/>
  <c r="U67" i="2" s="1"/>
  <c r="U70" i="2"/>
  <c r="U78" i="2"/>
  <c r="U79" i="2"/>
  <c r="S62" i="2"/>
  <c r="S64" i="2" s="1"/>
  <c r="S66" i="2" s="1"/>
  <c r="S67" i="2" s="1"/>
  <c r="S75" i="2" s="1"/>
  <c r="Q62" i="2"/>
  <c r="Q64" i="2" s="1"/>
  <c r="Q77" i="2"/>
  <c r="T70" i="2"/>
  <c r="S78" i="2"/>
  <c r="R78" i="2"/>
  <c r="T78" i="2"/>
  <c r="S79" i="2"/>
  <c r="T58" i="2"/>
  <c r="T62" i="2" s="1"/>
  <c r="T64" i="2" s="1"/>
  <c r="T66" i="2" s="1"/>
  <c r="T67" i="2" s="1"/>
  <c r="T75" i="2" s="1"/>
  <c r="R62" i="2" l="1"/>
  <c r="R64" i="2" s="1"/>
  <c r="R80" i="2" s="1"/>
  <c r="Q66" i="2"/>
  <c r="Q67" i="2" s="1"/>
  <c r="Q75" i="2" s="1"/>
  <c r="Q80" i="2"/>
  <c r="N77" i="2"/>
  <c r="N62" i="2"/>
  <c r="N64" i="2" s="1"/>
  <c r="U75" i="2" l="1"/>
  <c r="R66" i="2"/>
  <c r="R67" i="2" s="1"/>
  <c r="N80" i="2"/>
  <c r="N66" i="2"/>
  <c r="N67" i="2" s="1"/>
  <c r="N75" i="2" s="1"/>
  <c r="R75" i="2" l="1"/>
  <c r="V70" i="2" l="1"/>
  <c r="V79" i="2"/>
  <c r="V78" i="2"/>
  <c r="V58" i="2"/>
  <c r="V62" i="2" s="1"/>
  <c r="V64" i="2" s="1"/>
  <c r="V66" i="2" s="1"/>
  <c r="V67" i="2" s="1"/>
  <c r="V75" i="2" s="1"/>
  <c r="CO58" i="2" l="1"/>
  <c r="CO77" i="2" s="1"/>
  <c r="CO57" i="2" l="1"/>
  <c r="CO62" i="2"/>
  <c r="CO64" i="2" s="1"/>
  <c r="CO66" i="2" s="1"/>
  <c r="CO67" i="2" s="1"/>
  <c r="CO75" i="2" s="1"/>
  <c r="AA79" i="2" l="1"/>
  <c r="AA78" i="2"/>
  <c r="AA58" i="2"/>
  <c r="AA77" i="2" l="1"/>
  <c r="AA62" i="2"/>
  <c r="AA64" i="2" s="1"/>
  <c r="AA66" i="2" l="1"/>
  <c r="AA80" i="2"/>
  <c r="AA82" i="2" l="1"/>
  <c r="AA67" i="2"/>
  <c r="Y55" i="2"/>
  <c r="Y56" i="2" s="1"/>
  <c r="Y79" i="2" s="1"/>
  <c r="Y58" i="2" l="1"/>
  <c r="Y78" i="2"/>
  <c r="Y70" i="2"/>
  <c r="Y62" i="2" l="1"/>
  <c r="Y64" i="2" s="1"/>
  <c r="Y77" i="2"/>
  <c r="Y66" i="2" l="1"/>
  <c r="Y67" i="2" s="1"/>
  <c r="Y75" i="2" s="1"/>
  <c r="Y80" i="2"/>
  <c r="Z58" i="2"/>
  <c r="Z62" i="2" s="1"/>
  <c r="Z64" i="2" s="1"/>
  <c r="Z70" i="2"/>
  <c r="AD70" i="2"/>
  <c r="Z78" i="2"/>
  <c r="Z79" i="2"/>
  <c r="Z66" i="2" l="1"/>
  <c r="Z67" i="2" s="1"/>
  <c r="Z80" i="2"/>
  <c r="Z77" i="2"/>
  <c r="Z75" i="2" l="1"/>
  <c r="AD75" i="2"/>
  <c r="CR21" i="2"/>
  <c r="CR56" i="2" s="1"/>
  <c r="CS70" i="2" l="1"/>
  <c r="CR58" i="2"/>
  <c r="CR78" i="2"/>
  <c r="AE79" i="2"/>
  <c r="AE78" i="2"/>
  <c r="AE70" i="2"/>
  <c r="AI70" i="2"/>
  <c r="AE58" i="2"/>
  <c r="AE77" i="2" l="1"/>
  <c r="AE62" i="2"/>
  <c r="AE64" i="2" s="1"/>
  <c r="CR77" i="2"/>
  <c r="CR62" i="2"/>
  <c r="CR64" i="2" s="1"/>
  <c r="CR66" i="2" s="1"/>
  <c r="CR67" i="2" l="1"/>
  <c r="AE80" i="2"/>
  <c r="AE66" i="2"/>
  <c r="AE67" i="2" s="1"/>
  <c r="CS75" i="2" l="1"/>
  <c r="AE75" i="2"/>
  <c r="AI75" i="2"/>
  <c r="W55" i="2"/>
  <c r="W56" i="2" s="1"/>
  <c r="W79" i="2" s="1"/>
  <c r="W58" i="2" l="1"/>
  <c r="W77" i="2" s="1"/>
  <c r="AA70" i="2"/>
  <c r="W78" i="2"/>
  <c r="W70" i="2"/>
  <c r="W62" i="2" l="1"/>
  <c r="W64" i="2" s="1"/>
  <c r="W80" i="2"/>
  <c r="W66" i="2"/>
  <c r="W67" i="2" s="1"/>
  <c r="W75" i="2" l="1"/>
  <c r="AA75" i="2"/>
  <c r="X55" i="2"/>
  <c r="X56" i="2" s="1"/>
  <c r="X79" i="2" s="1"/>
  <c r="X58" i="2" l="1"/>
  <c r="X77" i="2" s="1"/>
  <c r="CP58" i="2"/>
  <c r="CP77" i="2" s="1"/>
  <c r="X78" i="2"/>
  <c r="X70" i="2"/>
  <c r="X62" i="2" l="1"/>
  <c r="X64" i="2" s="1"/>
  <c r="CP57" i="2"/>
  <c r="CP62" i="2"/>
  <c r="CP64" i="2" s="1"/>
  <c r="CP66" i="2" s="1"/>
  <c r="CP67" i="2" s="1"/>
  <c r="CP75" i="2" s="1"/>
  <c r="AC55" i="2"/>
  <c r="AC56" i="2" s="1"/>
  <c r="AC70" i="2" s="1"/>
  <c r="X66" i="2" l="1"/>
  <c r="X67" i="2" s="1"/>
  <c r="X75" i="2" s="1"/>
  <c r="X80" i="2"/>
  <c r="AG70" i="2"/>
  <c r="AC58" i="2"/>
  <c r="AC78" i="2"/>
  <c r="AC79" i="2"/>
  <c r="AC62" i="2" l="1"/>
  <c r="AC64" i="2" s="1"/>
  <c r="AC77" i="2"/>
  <c r="AC66" i="2" l="1"/>
  <c r="AC67" i="2" s="1"/>
  <c r="AC80" i="2"/>
  <c r="AG75" i="2" l="1"/>
  <c r="AC75" i="2"/>
  <c r="CQ21" i="2"/>
  <c r="CQ56" i="2"/>
  <c r="CQ58" i="2" s="1"/>
  <c r="AB55" i="2"/>
  <c r="AB56" i="2" s="1"/>
  <c r="AB58" i="2" s="1"/>
  <c r="AB77" i="2" l="1"/>
  <c r="AB62" i="2"/>
  <c r="AB64" i="2" s="1"/>
  <c r="AB66" i="2" s="1"/>
  <c r="AB67" i="2" s="1"/>
  <c r="AB79" i="2"/>
  <c r="CQ62" i="2"/>
  <c r="CQ64" i="2" s="1"/>
  <c r="CQ66" i="2" s="1"/>
  <c r="CQ67" i="2" s="1"/>
  <c r="CQ77" i="2"/>
  <c r="AF75" i="2"/>
  <c r="AB75" i="2"/>
  <c r="CQ70" i="2"/>
  <c r="CQ78" i="2"/>
  <c r="CR70" i="2"/>
  <c r="AB80" i="2"/>
  <c r="AB70" i="2"/>
  <c r="AF70" i="2"/>
  <c r="AB78" i="2"/>
  <c r="CQ75" i="2" l="1"/>
  <c r="CR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Lane Nussbaum</author>
    <author>tc={00F4491F-C819-44C1-AC45-2ABA1B7BE593}</author>
    <author>tc={8874A794-CB8F-4280-B6A0-27B01371D863}</author>
    <author>Bloomberg</author>
  </authors>
  <commentList>
    <comment ref="Q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E6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E10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CW10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1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O14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E14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E2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N22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A2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E2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H2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N22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R2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S2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Q2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T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R25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V25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T29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E3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CW3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O3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E35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Q35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E4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S4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E56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56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P56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Q56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R56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S56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T56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U56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V56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M56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N56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O56" authorId="1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P56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Q5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P62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Q62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N63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N63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N65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O65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P65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Q65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S66" authorId="16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BW66" authorId="17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M67" authorId="1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P67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R67" authorId="1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E67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M67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N67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O67" authorId="1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Q67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R67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N77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<sst xmlns="http://schemas.openxmlformats.org/spreadsheetml/2006/main" count="706" uniqueCount="512">
  <si>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</si>
  <si>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</si>
  <si>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</si>
  <si>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</si>
  <si>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</si>
  <si>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</si>
  <si>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</si>
  <si>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</si>
  <si>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</si>
  <si>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</si>
  <si>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</si>
  <si>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</si>
  <si>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</si>
  <si>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</si>
  <si>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</si>
  <si>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</si>
  <si>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</si>
  <si>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</si>
  <si>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</si>
  <si>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</si>
  <si>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</si>
  <si>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</si>
  <si>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</si>
  <si>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</si>
  <si>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</si>
  <si>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</si>
  <si>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</si>
  <si>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</si>
  <si>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</si>
  <si>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</si>
  <si>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</si>
  <si>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</si>
  <si>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</si>
  <si>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</si>
  <si>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</si>
  <si>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</si>
  <si>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</si>
  <si>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</si>
  <si>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</si>
  <si>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</si>
  <si>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</si>
  <si>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</si>
  <si>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</si>
  <si>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</si>
  <si>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</si>
  <si>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</si>
  <si>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</si>
  <si>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</si>
  <si>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</si>
  <si>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</si>
  <si>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</si>
  <si>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</si>
  <si>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</si>
  <si>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</si>
  <si>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</si>
  <si>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</si>
  <si>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</si>
  <si>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</si>
  <si>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</si>
  <si>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</si>
  <si>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</si>
  <si>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</si>
  <si>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</si>
  <si>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</si>
  <si>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</si>
  <si>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</si>
  <si>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</si>
  <si>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</si>
  <si>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</si>
  <si>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</si>
  <si>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</si>
  <si>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</si>
  <si>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</si>
  <si>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</si>
  <si>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</si>
  <si>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</si>
  <si>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</si>
  <si>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</si>
  <si>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</si>
  <si>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</si>
  <si>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</si>
  <si>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</si>
  <si>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</si>
  <si>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</si>
  <si>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</si>
  <si>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</si>
  <si>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</si>
  <si>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</si>
  <si>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</si>
  <si>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</si>
  <si>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</si>
  <si>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</si>
  <si>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</si>
  <si>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</si>
  <si>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</si>
  <si>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</si>
  <si>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</si>
  <si>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</si>
  <si>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</si>
  <si>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</si>
  <si>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</si>
  <si>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</si>
  <si>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</si>
  <si>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</si>
  <si>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</si>
  <si>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</si>
  <si>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</si>
  <si>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</si>
  <si>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</si>
  <si>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</si>
  <si>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</si>
  <si>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</si>
  <si>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</si>
  <si>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</si>
  <si>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</si>
  <si>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</si>
  <si>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</si>
  <si>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</si>
  <si>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</si>
  <si>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</si>
  <si>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</si>
  <si>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</si>
  <si>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</si>
  <si>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</si>
  <si>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</si>
  <si>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</si>
  <si>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</si>
  <si>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</si>
  <si>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</si>
  <si>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</si>
  <si>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</si>
  <si>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</si>
  <si>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</si>
  <si>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</si>
  <si>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</si>
  <si>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</si>
  <si>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</si>
  <si>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</si>
  <si>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</si>
  <si>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</si>
  <si>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</si>
  <si>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</si>
  <si>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</si>
  <si>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</si>
  <si>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</si>
  <si>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</si>
  <si>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</si>
  <si>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</si>
  <si>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</si>
  <si>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</si>
  <si>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</si>
  <si>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</si>
  <si>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</si>
  <si>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</si>
  <si>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</si>
  <si>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</si>
  <si>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</si>
  <si>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</si>
  <si>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</si>
  <si>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</si>
  <si>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5-HT2A ant.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</si>
  <si>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</si>
  <si>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</si>
  <si>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</si>
  <si>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</si>
  <si>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</si>
  <si>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</si>
  <si>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</si>
  <si>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</si>
  <si>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</si>
  <si>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</si>
  <si>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</si>
  <si>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</si>
  <si>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</si>
  <si>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</si>
  <si>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</si>
  <si>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</si>
  <si>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</si>
  <si>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</si>
  <si>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</si>
  <si>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</si>
  <si>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</si>
  <si>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</si>
  <si>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</si>
  <si>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</si>
  <si>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</si>
  <si>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</si>
  <si>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</si>
  <si>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</si>
  <si>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</si>
  <si>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</si>
  <si>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</si>
  <si>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</si>
  <si>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</si>
  <si>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</si>
  <si>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</si>
  <si>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</si>
  <si>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</si>
  <si>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</si>
  <si>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</si>
  <si>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</si>
  <si>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</si>
  <si>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</si>
  <si>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</si>
  <si>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</si>
  <si>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</si>
  <si>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</si>
  <si>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</si>
  <si>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</si>
  <si>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</si>
  <si>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</si>
  <si>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</si>
  <si>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</si>
  <si>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</si>
  <si>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</si>
  <si>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</si>
  <si>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</si>
  <si>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</si>
  <si>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</si>
  <si>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</si>
  <si>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</si>
  <si>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</si>
  <si>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</si>
  <si>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</si>
  <si>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</si>
  <si>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</si>
  <si>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</si>
  <si>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</si>
  <si>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</si>
  <si>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</si>
  <si>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</si>
  <si>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</si>
  <si>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</si>
  <si>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</si>
  <si>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</si>
  <si>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</si>
  <si>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</si>
  <si>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</si>
  <si>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</si>
  <si>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</si>
  <si>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</si>
  <si>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</si>
  <si>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</si>
  <si>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</si>
  <si>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</si>
  <si>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</si>
  <si>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</si>
  <si>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</si>
  <si>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</si>
  <si>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</si>
  <si>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</si>
  <si>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</si>
  <si>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</si>
  <si>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</si>
  <si>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</si>
  <si>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</si>
  <si>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</si>
  <si>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</si>
  <si>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</si>
  <si>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</si>
  <si>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</si>
  <si>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</si>
  <si>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</si>
  <si>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</si>
  <si>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</si>
  <si>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</si>
  <si>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</si>
  <si>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</si>
  <si>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</si>
  <si>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</si>
  <si>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</si>
  <si>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</si>
  <si>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</si>
  <si>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</si>
  <si>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</si>
  <si>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</si>
  <si>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</si>
  <si>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</si>
  <si>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</si>
  <si>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</si>
  <si>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</si>
  <si>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</si>
  <si>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</si>
  <si>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</si>
  <si>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</si>
  <si>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</si>
  <si>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</si>
  <si>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</si>
  <si>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</si>
  <si>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</si>
  <si>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</si>
  <si>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</si>
  <si>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</si>
  <si>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</si>
  <si>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</si>
  <si>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</si>
  <si>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</si>
  <si>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</si>
  <si>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</si>
  <si>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</si>
  <si>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</si>
  <si>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</si>
  <si>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</si>
  <si>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</si>
  <si>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</si>
  <si>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</si>
  <si>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</si>
  <si>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</si>
  <si>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</si>
  <si>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</si>
  <si>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</si>
  <si>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</si>
  <si>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</si>
  <si>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</si>
  <si>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</si>
  <si>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</si>
  <si>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</si>
  <si>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</si>
  <si>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</si>
  <si>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</si>
  <si>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</si>
  <si>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</si>
  <si>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</si>
  <si>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</si>
  <si>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</si>
  <si>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</si>
  <si>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Tradjenta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</si>
  <si>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</si>
  <si>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</si>
  <si>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</si>
  <si>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</si>
  <si>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</si>
  <si>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</si>
  <si>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</si>
  <si>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</si>
  <si>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</si>
  <si>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</si>
  <si>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</si>
  <si>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</si>
  <si>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</si>
  <si>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</si>
  <si>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</si>
  <si>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</si>
  <si>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</si>
  <si>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</si>
  <si>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</si>
  <si>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</si>
  <si>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</si>
  <si>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</si>
  <si>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</si>
  <si>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</si>
  <si>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</si>
  <si>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</si>
  <si>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</si>
  <si>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</si>
  <si>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</si>
  <si>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</si>
  <si>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</si>
  <si>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</si>
  <si>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</si>
  <si>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</si>
  <si>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</si>
  <si>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</si>
  <si>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</si>
  <si>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</si>
  <si>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</si>
  <si>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</si>
  <si>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</si>
  <si>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</si>
  <si>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</si>
  <si>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</si>
  <si>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</si>
  <si>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</si>
  <si>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</si>
  <si>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</si>
  <si>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</si>
  <si>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</si>
  <si>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</si>
  <si>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</si>
  <si>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</si>
  <si>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</si>
  <si>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</si>
  <si>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</si>
  <si>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</si>
  <si>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</si>
  <si>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</si>
  <si>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</si>
  <si>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</si>
  <si>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</si>
  <si>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</si>
  <si>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</si>
  <si>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</si>
  <si>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</si>
  <si>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</si>
  <si>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</si>
  <si>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</si>
  <si>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</si>
  <si>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</si>
  <si>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</si>
  <si>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</si>
  <si>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</si>
  <si>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</si>
  <si>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</si>
  <si>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</si>
  <si>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</si>
  <si>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</si>
  <si>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</si>
  <si>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</si>
  <si>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</si>
  <si>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</si>
  <si>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</si>
  <si>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</si>
  <si>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</si>
  <si>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</si>
  <si>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</si>
  <si>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</si>
  <si>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</si>
  <si>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</si>
  <si>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</si>
  <si>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</si>
  <si>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</si>
  <si>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</si>
  <si>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</si>
  <si>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</si>
  <si>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</si>
  <si>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</si>
  <si>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</si>
  <si>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</si>
  <si>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</si>
  <si>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</si>
  <si>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</si>
  <si>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</si>
  <si>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</si>
  <si>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</si>
  <si>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</si>
  <si>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</si>
  <si>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</si>
  <si>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</si>
  <si>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</si>
  <si>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</si>
  <si>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</si>
  <si>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</si>
  <si>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</si>
  <si>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</si>
  <si>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</si>
  <si>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</si>
  <si>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</si>
  <si>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</si>
  <si>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</si>
  <si>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</si>
  <si>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</si>
  <si>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</si>
  <si>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</si>
  <si>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</si>
  <si>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</si>
  <si>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</si>
  <si>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</si>
  <si>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</si>
  <si>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</si>
  <si>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</si>
  <si>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</si>
  <si>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</si>
  <si>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tirzepatide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</si>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</sst>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3" fillId="2" borderId="0" xfId="0" applyFont="1" applyFill="1" applyBorder="1"/>
    <xf numFmtId="0" fontId="0" fillId="2" borderId="11" xfId="0" applyFill="1" applyBorder="1"/>
    <xf numFmtId="0" fontId="1" fillId="2" borderId="0" xfId="1" applyFont="1" applyFill="1" applyAlignment="1" applyProtection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Border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right"/>
    </xf>
    <xf numFmtId="3" fontId="0" fillId="0" borderId="0" xfId="0" applyNumberFormat="1" applyFill="1"/>
    <xf numFmtId="3" fontId="4" fillId="0" borderId="0" xfId="0" applyNumberFormat="1" applyFont="1" applyFill="1"/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3" fillId="0" borderId="0" xfId="0" applyFont="1" applyFill="1"/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/>
    <xf numFmtId="0" fontId="4" fillId="0" borderId="0" xfId="0" applyFont="1" applyFill="1" applyBorder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2" fontId="3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57150</xdr:colOff>
      <xdr:row>0</xdr:row>
      <xdr:rowOff>0</xdr:rowOff>
    </xdr:from>
    <xdr:to>
      <xdr:col>75</xdr:col>
      <xdr:colOff>57150</xdr:colOff>
      <xdr:row>143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5718750" y="0"/>
          <a:ext cx="0" cy="15220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106</xdr:col>
      <xdr:colOff>19050</xdr:colOff>
      <xdr:row>0</xdr:row>
      <xdr:rowOff>0</xdr:rowOff>
    </xdr:from>
    <xdr:to>
      <xdr:col>106</xdr:col>
      <xdr:colOff>19050</xdr:colOff>
      <xdr:row>102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25" dT="2022-08-02T13:03:18.23" personId="{13399233-BA81-4949-9BE8-57EDDD85014C}" id="{C53B26C9-8602-47A2-80EC-A28651A52E20}">
    <text>359m as per 2021 10-K</text>
  </threadedComment>
  <threadedComment ref="BV25" dT="2022-08-01T18:27:07.85" personId="{13399233-BA81-4949-9BE8-57EDDD85014C}" id="{63959650-84D7-46CF-829F-FD9E350BCC20}">
    <text>372.5m</text>
  </threadedComment>
  <threadedComment ref="BT29" dT="2022-08-02T13:15:28.62" personId="{13399233-BA81-4949-9BE8-57EDDD85014C}" id="{A9214E8B-BB63-4C5A-81B6-161440AC7FDE}">
    <text>last quarter of Qbrexza</text>
  </threadedComment>
  <threadedComment ref="BO56" dT="2022-08-01T19:29:14.28" personId="{13399233-BA81-4949-9BE8-57EDDD85014C}" id="{E60352B4-4A0D-4646-997E-29633AD2D222}">
    <text>5859.8m reported revenue</text>
  </threadedComment>
  <threadedComment ref="BP56" dT="2022-08-01T19:13:29.91" personId="{13399233-BA81-4949-9BE8-57EDDD85014C}" id="{D23219C3-585B-4401-96E4-A54AA852CF63}">
    <text>5499.4m reported revenue</text>
  </threadedComment>
  <threadedComment ref="BQ56" dT="2022-08-01T19:08:14.14" personId="{13399233-BA81-4949-9BE8-57EDDD85014C}" id="{A2E464E0-CBDF-4ECE-9C4E-FC1B4BA053F8}">
    <text>5740.6 reported revenue</text>
  </threadedComment>
  <threadedComment ref="BR56" dT="2022-08-01T18:51:30.86" personId="{13399233-BA81-4949-9BE8-57EDDD85014C}" id="{F1B0E7D4-F86C-4460-9BB2-30549C72BA4D}">
    <text>7440.0 actual reported</text>
  </threadedComment>
  <threadedComment ref="BS56" dT="2022-08-01T19:28:46.54" personId="{13399233-BA81-4949-9BE8-57EDDD85014C}" id="{27F9AA8E-4F00-4838-B3AE-5C359EA80361}">
    <text>6805.6 reported</text>
  </threadedComment>
  <threadedComment ref="BT56" dT="2022-08-01T19:13:16.67" personId="{13399233-BA81-4949-9BE8-57EDDD85014C}" id="{AFC9B85C-9AC1-4E0B-A0FD-4EC0747D6C85}">
    <text>6740 reported revenue</text>
  </threadedComment>
  <threadedComment ref="BU56" dT="2022-08-01T19:08:01.93" personId="{13399233-BA81-4949-9BE8-57EDDD85014C}" id="{3630D8DA-CEAE-49F9-B57E-A7443096F4CE}">
    <text>6772.8 reported revenue</text>
  </threadedComment>
  <threadedComment ref="BV56" dT="2022-08-01T18:31:56.86" personId="{13399233-BA81-4949-9BE8-57EDDD85014C}" id="{D7A857CD-B43A-4E52-BA69-3F839DE07274}">
    <text>Actual reported 7999.9</text>
  </threadedComment>
  <threadedComment ref="BS66" dT="2022-08-01T18:07:16.89" personId="{13399233-BA81-4949-9BE8-57EDDD85014C}" id="{00F4491F-C819-44C1-AC45-2ABA1B7BE593}">
    <text>actual adjusted 1465.5</text>
  </threadedComment>
  <threadedComment ref="BW66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5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2" sqref="E22"/>
    </sheetView>
  </sheetViews>
  <sheetFormatPr defaultRowHeight="12.75"/>
  <cols>
    <col min="1" max="1" width="5" bestFit="1" customWidth="1"/>
    <col min="2" max="2" width="13.5703125" customWidth="1"/>
  </cols>
  <sheetData>
    <row r="1" spans="1:8">
      <c r="A1" s="15" t="s">
        <v>6</v>
      </c>
    </row>
    <row r="2" spans="1:8">
      <c r="B2" s="43" t="s">
        <v>407</v>
      </c>
      <c r="C2" s="43" t="s">
        <v>408</v>
      </c>
      <c r="D2" s="43" t="s">
        <v>1</v>
      </c>
      <c r="E2" s="43" t="s">
        <v>410</v>
      </c>
      <c r="F2" s="43" t="s">
        <v>2</v>
      </c>
      <c r="G2" s="43" t="s">
        <v>384</v>
      </c>
      <c r="H2" s="43" t="s">
        <v>509</v>
      </c>
    </row>
    <row r="3" spans="1:8">
      <c r="B3" s="43" t="s">
        <v>19</v>
      </c>
      <c r="C3" s="43" t="s">
        <v>230</v>
      </c>
      <c r="D3" s="43"/>
      <c r="E3" s="43"/>
      <c r="F3" s="43"/>
      <c r="G3" s="43"/>
    </row>
    <row r="4" spans="1:8">
      <c r="B4" s="43" t="s">
        <v>281</v>
      </c>
      <c r="C4" s="43"/>
      <c r="D4" s="43"/>
      <c r="E4" s="43"/>
    </row>
    <row r="5" spans="1:8">
      <c r="B5" s="43" t="s">
        <v>459</v>
      </c>
      <c r="C5" s="43" t="s">
        <v>478</v>
      </c>
      <c r="D5" s="43"/>
      <c r="E5" s="43"/>
    </row>
    <row r="6" spans="1:8">
      <c r="B6" s="43" t="s">
        <v>486</v>
      </c>
      <c r="C6" s="43" t="s">
        <v>487</v>
      </c>
      <c r="D6" s="43"/>
      <c r="E6" s="43"/>
      <c r="F6" t="s">
        <v>278</v>
      </c>
    </row>
    <row r="7" spans="1:8">
      <c r="B7" s="43" t="s">
        <v>14</v>
      </c>
      <c r="C7" s="43" t="s">
        <v>409</v>
      </c>
      <c r="D7" s="43" t="s">
        <v>411</v>
      </c>
      <c r="E7" s="43" t="s">
        <v>107</v>
      </c>
    </row>
    <row r="8" spans="1:8">
      <c r="B8" s="43" t="s">
        <v>375</v>
      </c>
      <c r="C8" s="43"/>
      <c r="D8" s="43"/>
      <c r="E8" s="43"/>
    </row>
    <row r="9" spans="1:8">
      <c r="B9" s="43" t="s">
        <v>264</v>
      </c>
      <c r="C9" s="43" t="s">
        <v>440</v>
      </c>
      <c r="D9" s="43" t="s">
        <v>93</v>
      </c>
      <c r="E9" s="43" t="s">
        <v>90</v>
      </c>
      <c r="F9" s="43" t="s">
        <v>441</v>
      </c>
    </row>
    <row r="10" spans="1:8">
      <c r="B10" s="43" t="s">
        <v>380</v>
      </c>
      <c r="C10" s="43"/>
      <c r="D10" s="43"/>
      <c r="E10" s="43"/>
      <c r="F10" s="43"/>
    </row>
    <row r="11" spans="1:8">
      <c r="B11" s="43" t="s">
        <v>17</v>
      </c>
      <c r="C11" s="43"/>
      <c r="D11" s="43" t="s">
        <v>111</v>
      </c>
      <c r="E11" s="43" t="s">
        <v>110</v>
      </c>
    </row>
    <row r="12" spans="1:8">
      <c r="B12" s="43" t="s">
        <v>55</v>
      </c>
      <c r="C12" s="43" t="s">
        <v>442</v>
      </c>
      <c r="D12" s="43"/>
      <c r="E12" s="43"/>
    </row>
    <row r="13" spans="1:8">
      <c r="B13" s="43" t="s">
        <v>507</v>
      </c>
      <c r="C13" s="43"/>
      <c r="D13" s="43"/>
      <c r="E13" s="43"/>
    </row>
    <row r="14" spans="1:8">
      <c r="B14" s="43" t="s">
        <v>54</v>
      </c>
      <c r="C14" s="43"/>
      <c r="D14" s="43"/>
      <c r="E14" s="43"/>
    </row>
    <row r="15" spans="1:8">
      <c r="B15" s="43" t="s">
        <v>57</v>
      </c>
      <c r="C15" s="43"/>
      <c r="D15" s="43"/>
      <c r="E15" s="43"/>
    </row>
    <row r="16" spans="1:8">
      <c r="B16" s="43" t="s">
        <v>373</v>
      </c>
      <c r="C16" s="43"/>
      <c r="D16" s="43"/>
      <c r="E16" s="43"/>
    </row>
    <row r="17" spans="2:10">
      <c r="B17" s="43" t="s">
        <v>412</v>
      </c>
      <c r="C17" s="43" t="s">
        <v>413</v>
      </c>
      <c r="D17" s="43" t="s">
        <v>414</v>
      </c>
      <c r="E17" s="43" t="s">
        <v>268</v>
      </c>
      <c r="F17" s="43" t="s">
        <v>269</v>
      </c>
    </row>
    <row r="18" spans="2:10">
      <c r="B18" s="43" t="s">
        <v>445</v>
      </c>
      <c r="C18" s="43" t="s">
        <v>446</v>
      </c>
      <c r="D18" s="43" t="s">
        <v>241</v>
      </c>
      <c r="E18" s="43" t="s">
        <v>270</v>
      </c>
      <c r="F18" s="43" t="s">
        <v>271</v>
      </c>
    </row>
    <row r="19" spans="2:10">
      <c r="B19" s="43" t="s">
        <v>423</v>
      </c>
      <c r="C19" s="43"/>
      <c r="D19" s="43"/>
      <c r="E19" s="43"/>
      <c r="F19" s="43"/>
      <c r="G19" s="24" t="s">
        <v>424</v>
      </c>
    </row>
    <row r="20" spans="2:10">
      <c r="B20" s="43" t="s">
        <v>508</v>
      </c>
      <c r="C20" s="43"/>
      <c r="D20" s="43"/>
      <c r="E20" s="43"/>
      <c r="F20" s="43"/>
      <c r="G20" s="24"/>
      <c r="H20" s="43" t="s">
        <v>510</v>
      </c>
    </row>
    <row r="21" spans="2:10">
      <c r="B21" s="43" t="s">
        <v>382</v>
      </c>
      <c r="C21" s="43"/>
      <c r="D21" s="43"/>
      <c r="E21" s="43"/>
      <c r="F21" s="43"/>
      <c r="G21" s="24"/>
    </row>
    <row r="22" spans="2:10">
      <c r="B22" s="43" t="s">
        <v>460</v>
      </c>
      <c r="C22" s="43" t="s">
        <v>511</v>
      </c>
      <c r="D22" s="43" t="s">
        <v>458</v>
      </c>
      <c r="E22" s="43"/>
      <c r="F22" s="43"/>
      <c r="G22" s="24"/>
    </row>
    <row r="23" spans="2:10">
      <c r="B23" s="43" t="s">
        <v>15</v>
      </c>
      <c r="C23" s="43" t="s">
        <v>415</v>
      </c>
      <c r="D23" s="43" t="s">
        <v>38</v>
      </c>
      <c r="J23" s="18"/>
    </row>
    <row r="24" spans="2:10">
      <c r="B24" s="43" t="s">
        <v>41</v>
      </c>
      <c r="C24" s="43"/>
      <c r="D24" s="43" t="s">
        <v>419</v>
      </c>
    </row>
    <row r="25" spans="2:10">
      <c r="B25" s="43" t="s">
        <v>448</v>
      </c>
      <c r="C25" s="43" t="s">
        <v>449</v>
      </c>
      <c r="D25" s="43" t="s">
        <v>241</v>
      </c>
      <c r="E25" s="43" t="s">
        <v>447</v>
      </c>
      <c r="F25" s="89">
        <v>1</v>
      </c>
    </row>
    <row r="26" spans="2:10">
      <c r="B26" s="43" t="s">
        <v>504</v>
      </c>
      <c r="C26" s="43"/>
      <c r="D26" s="43"/>
      <c r="E26" s="43"/>
      <c r="F26" s="89"/>
    </row>
    <row r="27" spans="2:10">
      <c r="B27" s="43" t="s">
        <v>470</v>
      </c>
      <c r="C27" s="43" t="s">
        <v>469</v>
      </c>
      <c r="D27" s="43" t="s">
        <v>36</v>
      </c>
      <c r="E27" s="43" t="s">
        <v>118</v>
      </c>
      <c r="F27" s="89"/>
    </row>
    <row r="28" spans="2:10">
      <c r="B28" s="43" t="s">
        <v>374</v>
      </c>
      <c r="C28" s="43"/>
      <c r="D28" s="43"/>
      <c r="E28" s="43"/>
      <c r="F28" s="89"/>
    </row>
    <row r="29" spans="2:10">
      <c r="B29" s="43" t="s">
        <v>421</v>
      </c>
      <c r="C29" s="43"/>
      <c r="D29" s="43"/>
      <c r="G29" s="24" t="s">
        <v>422</v>
      </c>
    </row>
    <row r="30" spans="2:10">
      <c r="B30" s="43" t="s">
        <v>7</v>
      </c>
      <c r="C30" s="43" t="s">
        <v>85</v>
      </c>
      <c r="D30" s="43" t="s">
        <v>416</v>
      </c>
      <c r="E30" s="43" t="s">
        <v>417</v>
      </c>
      <c r="G30" s="24" t="s">
        <v>420</v>
      </c>
    </row>
    <row r="32" spans="2:10">
      <c r="J32" s="24"/>
    </row>
    <row r="39" spans="2:8">
      <c r="B39" s="43" t="s">
        <v>407</v>
      </c>
      <c r="C39" s="43" t="s">
        <v>408</v>
      </c>
      <c r="D39" s="43" t="s">
        <v>1</v>
      </c>
      <c r="E39" s="43" t="s">
        <v>410</v>
      </c>
      <c r="F39" s="43" t="s">
        <v>2</v>
      </c>
      <c r="G39" s="43" t="s">
        <v>5</v>
      </c>
      <c r="H39" s="43" t="s">
        <v>482</v>
      </c>
    </row>
    <row r="40" spans="2:8">
      <c r="B40" s="43"/>
      <c r="C40" s="43" t="s">
        <v>490</v>
      </c>
      <c r="D40" s="43" t="s">
        <v>120</v>
      </c>
      <c r="E40" s="43" t="s">
        <v>492</v>
      </c>
      <c r="F40" s="43"/>
      <c r="G40" s="43"/>
      <c r="H40" s="43"/>
    </row>
    <row r="41" spans="2:8">
      <c r="B41" s="67"/>
      <c r="C41" s="65" t="s">
        <v>409</v>
      </c>
      <c r="D41" s="65" t="s">
        <v>39</v>
      </c>
      <c r="E41" s="67"/>
      <c r="F41" s="67"/>
      <c r="G41" s="67"/>
    </row>
    <row r="42" spans="2:8">
      <c r="B42" s="67"/>
      <c r="C42" s="65" t="s">
        <v>49</v>
      </c>
      <c r="D42" s="65" t="s">
        <v>121</v>
      </c>
      <c r="E42" s="65" t="s">
        <v>461</v>
      </c>
      <c r="F42" s="67"/>
      <c r="G42" s="67"/>
    </row>
    <row r="43" spans="2:8">
      <c r="B43" s="67" t="s">
        <v>25</v>
      </c>
      <c r="C43" s="67"/>
      <c r="D43" s="80" t="s">
        <v>116</v>
      </c>
      <c r="E43" s="80" t="s">
        <v>192</v>
      </c>
      <c r="F43" s="81" t="s">
        <v>193</v>
      </c>
      <c r="G43" s="80" t="s">
        <v>105</v>
      </c>
    </row>
    <row r="44" spans="2:8">
      <c r="C44" s="43" t="s">
        <v>327</v>
      </c>
      <c r="D44" s="43" t="s">
        <v>37</v>
      </c>
      <c r="E44" s="43" t="s">
        <v>194</v>
      </c>
    </row>
    <row r="45" spans="2:8">
      <c r="B45" s="65"/>
      <c r="C45" s="65" t="s">
        <v>328</v>
      </c>
      <c r="D45" s="82" t="s">
        <v>330</v>
      </c>
      <c r="E45" s="82" t="s">
        <v>329</v>
      </c>
      <c r="F45" s="81">
        <v>1</v>
      </c>
      <c r="G45" s="82" t="s">
        <v>47</v>
      </c>
    </row>
    <row r="46" spans="2:8">
      <c r="B46" s="65" t="s">
        <v>428</v>
      </c>
      <c r="C46" s="67"/>
      <c r="D46" s="67"/>
      <c r="E46" s="67"/>
      <c r="F46" s="67"/>
      <c r="G46" s="67"/>
    </row>
    <row r="47" spans="2:8">
      <c r="B47" s="65" t="s">
        <v>437</v>
      </c>
      <c r="C47" s="67"/>
      <c r="D47" s="83" t="s">
        <v>120</v>
      </c>
      <c r="E47" s="65" t="s">
        <v>436</v>
      </c>
      <c r="F47" s="67"/>
      <c r="G47" s="67"/>
    </row>
    <row r="48" spans="2:8">
      <c r="B48" s="65" t="s">
        <v>429</v>
      </c>
      <c r="C48" s="67"/>
      <c r="D48" s="67"/>
      <c r="E48" s="67"/>
      <c r="F48" s="67"/>
      <c r="G48" s="67"/>
    </row>
    <row r="49" spans="2:8">
      <c r="B49" s="65" t="s">
        <v>430</v>
      </c>
      <c r="C49" s="67"/>
      <c r="D49" s="67"/>
      <c r="E49" s="67"/>
      <c r="F49" s="67"/>
      <c r="G49" s="67"/>
    </row>
    <row r="50" spans="2:8">
      <c r="C50" s="65" t="s">
        <v>481</v>
      </c>
      <c r="D50" s="67"/>
      <c r="E50" s="67"/>
      <c r="F50" s="67"/>
      <c r="G50" s="67"/>
      <c r="H50" t="s">
        <v>483</v>
      </c>
    </row>
    <row r="51" spans="2:8">
      <c r="B51" s="43" t="s">
        <v>431</v>
      </c>
    </row>
    <row r="52" spans="2:8">
      <c r="B52" s="43" t="s">
        <v>432</v>
      </c>
    </row>
    <row r="53" spans="2:8">
      <c r="B53" s="43"/>
      <c r="C53" t="s">
        <v>484</v>
      </c>
      <c r="G53" t="s">
        <v>485</v>
      </c>
    </row>
    <row r="54" spans="2:8">
      <c r="B54" s="43" t="s">
        <v>433</v>
      </c>
    </row>
    <row r="55" spans="2:8">
      <c r="B55" s="43"/>
      <c r="C55" s="43" t="s">
        <v>435</v>
      </c>
    </row>
    <row r="56" spans="2:8">
      <c r="B56" s="65"/>
      <c r="C56" s="67" t="s">
        <v>427</v>
      </c>
      <c r="D56" s="67"/>
      <c r="E56" s="67"/>
      <c r="F56" s="67"/>
      <c r="G56" s="67"/>
    </row>
    <row r="57" spans="2:8">
      <c r="B57" s="65"/>
      <c r="C57" s="67" t="s">
        <v>491</v>
      </c>
      <c r="D57" s="67" t="s">
        <v>120</v>
      </c>
      <c r="E57" s="67" t="s">
        <v>492</v>
      </c>
      <c r="F57" s="67"/>
      <c r="G57" s="67"/>
    </row>
    <row r="58" spans="2:8">
      <c r="B58" s="65" t="s">
        <v>240</v>
      </c>
      <c r="C58" s="67" t="s">
        <v>471</v>
      </c>
      <c r="D58" s="67" t="s">
        <v>472</v>
      </c>
      <c r="E58" s="67" t="s">
        <v>473</v>
      </c>
      <c r="F58" s="67"/>
      <c r="G58" s="67"/>
    </row>
    <row r="59" spans="2:8">
      <c r="C59" s="43" t="s">
        <v>434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G30"/>
  <sheetViews>
    <sheetView workbookViewId="0"/>
  </sheetViews>
  <sheetFormatPr defaultRowHeight="12.75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>
      <c r="A1" s="33" t="s">
        <v>6</v>
      </c>
    </row>
    <row r="2" spans="1:3">
      <c r="B2" s="1" t="s">
        <v>50</v>
      </c>
      <c r="C2" s="1" t="s">
        <v>55</v>
      </c>
    </row>
    <row r="3" spans="1:3">
      <c r="B3" s="1" t="s">
        <v>48</v>
      </c>
      <c r="C3" s="1" t="s">
        <v>135</v>
      </c>
    </row>
    <row r="4" spans="1:3">
      <c r="B4" s="1" t="s">
        <v>1</v>
      </c>
    </row>
    <row r="5" spans="1:3">
      <c r="B5" s="1" t="s">
        <v>51</v>
      </c>
    </row>
    <row r="6" spans="1:3">
      <c r="B6" s="1" t="s">
        <v>137</v>
      </c>
    </row>
    <row r="7" spans="1:3">
      <c r="B7" s="1" t="s">
        <v>4</v>
      </c>
      <c r="C7" s="1" t="s">
        <v>222</v>
      </c>
    </row>
    <row r="8" spans="1:3">
      <c r="B8" s="1" t="s">
        <v>2</v>
      </c>
    </row>
    <row r="9" spans="1:3">
      <c r="B9" s="1" t="s">
        <v>136</v>
      </c>
    </row>
    <row r="10" spans="1:3">
      <c r="C10" s="18" t="s">
        <v>218</v>
      </c>
    </row>
    <row r="11" spans="1:3">
      <c r="C11" s="1" t="s">
        <v>219</v>
      </c>
    </row>
    <row r="12" spans="1:3">
      <c r="C12" s="1" t="s">
        <v>220</v>
      </c>
    </row>
    <row r="16" spans="1:3">
      <c r="C16" s="18" t="s">
        <v>158</v>
      </c>
    </row>
    <row r="17" spans="2:7" ht="13.5" thickBot="1"/>
    <row r="18" spans="2:7">
      <c r="B18" s="2"/>
      <c r="C18" s="29"/>
      <c r="D18" s="27" t="s">
        <v>55</v>
      </c>
      <c r="E18" s="27" t="s">
        <v>138</v>
      </c>
      <c r="F18" s="27" t="s">
        <v>148</v>
      </c>
      <c r="G18" s="2"/>
    </row>
    <row r="19" spans="2:7">
      <c r="B19" s="2"/>
      <c r="C19" s="30" t="s">
        <v>157</v>
      </c>
      <c r="D19" s="25">
        <v>63</v>
      </c>
      <c r="E19" s="25">
        <v>63</v>
      </c>
      <c r="F19" s="25"/>
      <c r="G19" s="2"/>
    </row>
    <row r="20" spans="2:7">
      <c r="B20" s="2"/>
      <c r="C20" s="2" t="s">
        <v>139</v>
      </c>
      <c r="D20" s="26">
        <v>0.71399999999999997</v>
      </c>
      <c r="E20" s="26">
        <v>0.76200000000000001</v>
      </c>
      <c r="F20" s="8"/>
      <c r="G20" s="2"/>
    </row>
    <row r="21" spans="2:7">
      <c r="B21" s="2"/>
      <c r="C21" s="2" t="s">
        <v>141</v>
      </c>
      <c r="D21" s="26">
        <v>0.222</v>
      </c>
      <c r="E21" s="26">
        <v>4.8000000000000001E-2</v>
      </c>
      <c r="F21" s="8">
        <v>4.0000000000000001E-3</v>
      </c>
      <c r="G21" s="2"/>
    </row>
    <row r="22" spans="2:7">
      <c r="B22" s="2"/>
      <c r="C22" s="2"/>
      <c r="D22" s="8"/>
      <c r="E22" s="8"/>
      <c r="F22" s="8"/>
      <c r="G22" s="2"/>
    </row>
    <row r="23" spans="2:7">
      <c r="B23" s="2"/>
      <c r="C23" s="31" t="s">
        <v>140</v>
      </c>
      <c r="D23" s="8" t="s">
        <v>149</v>
      </c>
      <c r="E23" s="8" t="s">
        <v>151</v>
      </c>
      <c r="F23" s="8">
        <v>8.9999999999999998E-4</v>
      </c>
      <c r="G23" s="2"/>
    </row>
    <row r="24" spans="2:7">
      <c r="B24" s="2"/>
      <c r="C24" s="2" t="s">
        <v>142</v>
      </c>
      <c r="D24" s="13">
        <v>0.46</v>
      </c>
      <c r="E24" s="13">
        <v>0.28999999999999998</v>
      </c>
      <c r="F24" s="8"/>
      <c r="G24" s="2"/>
    </row>
    <row r="25" spans="2:7">
      <c r="B25" s="2"/>
      <c r="C25" s="2" t="s">
        <v>143</v>
      </c>
      <c r="D25" s="13">
        <v>0.24</v>
      </c>
      <c r="E25" s="13">
        <v>0.05</v>
      </c>
      <c r="F25" s="8"/>
      <c r="G25" s="2"/>
    </row>
    <row r="26" spans="2:7">
      <c r="B26" s="2"/>
      <c r="C26" s="2" t="s">
        <v>144</v>
      </c>
      <c r="D26" s="13">
        <v>0.18</v>
      </c>
      <c r="E26" s="13">
        <v>0.02</v>
      </c>
      <c r="F26" s="8"/>
      <c r="G26" s="2"/>
    </row>
    <row r="27" spans="2:7">
      <c r="B27" s="2"/>
      <c r="C27" s="2" t="s">
        <v>145</v>
      </c>
      <c r="D27" s="8" t="s">
        <v>150</v>
      </c>
      <c r="E27" s="8" t="s">
        <v>152</v>
      </c>
      <c r="F27" s="8"/>
      <c r="G27" s="2"/>
    </row>
    <row r="28" spans="2:7">
      <c r="B28" s="2"/>
      <c r="C28" s="2"/>
      <c r="D28" s="8"/>
      <c r="E28" s="8"/>
      <c r="F28" s="8"/>
      <c r="G28" s="2"/>
    </row>
    <row r="29" spans="2:7">
      <c r="B29" s="2"/>
      <c r="C29" s="31" t="s">
        <v>146</v>
      </c>
      <c r="D29" s="8" t="s">
        <v>153</v>
      </c>
      <c r="E29" s="8" t="s">
        <v>154</v>
      </c>
      <c r="F29" s="8">
        <v>1.2999999999999999E-3</v>
      </c>
      <c r="G29" s="2"/>
    </row>
    <row r="30" spans="2:7" ht="13.5" thickBot="1">
      <c r="B30" s="2"/>
      <c r="C30" s="32" t="s">
        <v>147</v>
      </c>
      <c r="D30" s="28" t="s">
        <v>155</v>
      </c>
      <c r="E30" s="28" t="s">
        <v>156</v>
      </c>
      <c r="F30" s="28"/>
      <c r="G30" s="2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/>
  <cols>
    <col min="1" max="1" width="5" bestFit="1" customWidth="1"/>
    <col min="2" max="2" width="13.7109375" customWidth="1"/>
  </cols>
  <sheetData>
    <row r="1" spans="1:3">
      <c r="A1" s="15" t="s">
        <v>6</v>
      </c>
      <c r="B1" s="15"/>
    </row>
    <row r="2" spans="1:3">
      <c r="A2" s="15"/>
      <c r="B2" t="s">
        <v>50</v>
      </c>
      <c r="C2" t="s">
        <v>19</v>
      </c>
    </row>
    <row r="3" spans="1:3">
      <c r="A3" s="15"/>
      <c r="B3" t="s">
        <v>48</v>
      </c>
      <c r="C3" t="s">
        <v>230</v>
      </c>
    </row>
    <row r="4" spans="1:3">
      <c r="A4" s="15"/>
      <c r="B4" t="s">
        <v>4</v>
      </c>
      <c r="C4" s="43" t="s">
        <v>257</v>
      </c>
    </row>
    <row r="5" spans="1:3">
      <c r="B5" t="s">
        <v>92</v>
      </c>
    </row>
    <row r="6" spans="1:3">
      <c r="C6" t="s">
        <v>12</v>
      </c>
    </row>
    <row r="7" spans="1:3">
      <c r="C7" t="s">
        <v>33</v>
      </c>
    </row>
    <row r="8" spans="1:3">
      <c r="C8" t="s">
        <v>34</v>
      </c>
    </row>
    <row r="12" spans="1:3">
      <c r="C12" s="23" t="s">
        <v>254</v>
      </c>
    </row>
    <row r="13" spans="1:3">
      <c r="C13" s="43" t="s">
        <v>255</v>
      </c>
    </row>
    <row r="14" spans="1:3">
      <c r="C14" s="15" t="s">
        <v>256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7" t="s">
        <v>6</v>
      </c>
    </row>
    <row r="2" spans="1:3">
      <c r="B2" s="1" t="s">
        <v>50</v>
      </c>
      <c r="C2" s="1" t="s">
        <v>70</v>
      </c>
    </row>
    <row r="3" spans="1:3">
      <c r="B3" s="1" t="s">
        <v>48</v>
      </c>
      <c r="C3" s="1" t="s">
        <v>223</v>
      </c>
    </row>
    <row r="4" spans="1:3">
      <c r="B4" s="1" t="s">
        <v>2</v>
      </c>
      <c r="C4" s="1" t="s">
        <v>224</v>
      </c>
    </row>
    <row r="5" spans="1:3">
      <c r="B5" s="1" t="s">
        <v>3</v>
      </c>
      <c r="C5" s="1" t="s">
        <v>227</v>
      </c>
    </row>
    <row r="6" spans="1:3">
      <c r="B6" s="1" t="s">
        <v>228</v>
      </c>
      <c r="C6" s="1" t="s">
        <v>35</v>
      </c>
    </row>
    <row r="7" spans="1:3">
      <c r="B7" s="1" t="s">
        <v>137</v>
      </c>
      <c r="C7" s="1" t="s">
        <v>22</v>
      </c>
    </row>
    <row r="8" spans="1:3">
      <c r="B8" s="1" t="s">
        <v>92</v>
      </c>
    </row>
    <row r="9" spans="1:3">
      <c r="C9" s="1" t="s">
        <v>20</v>
      </c>
    </row>
    <row r="10" spans="1:3">
      <c r="C10" s="1" t="s">
        <v>21</v>
      </c>
    </row>
    <row r="14" spans="1:3">
      <c r="C14" s="18" t="s">
        <v>225</v>
      </c>
    </row>
    <row r="15" spans="1:3">
      <c r="C15" s="1" t="s">
        <v>226</v>
      </c>
    </row>
    <row r="16" spans="1:3">
      <c r="C16" s="24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>
      <c r="A1" s="17" t="s">
        <v>6</v>
      </c>
    </row>
    <row r="2" spans="1:7">
      <c r="B2" s="1" t="s">
        <v>50</v>
      </c>
      <c r="C2" s="1" t="s">
        <v>197</v>
      </c>
    </row>
    <row r="3" spans="1:7">
      <c r="B3" s="1" t="s">
        <v>48</v>
      </c>
      <c r="C3" s="1" t="s">
        <v>75</v>
      </c>
    </row>
    <row r="4" spans="1:7">
      <c r="B4" s="1" t="s">
        <v>91</v>
      </c>
      <c r="C4" s="24" t="s">
        <v>250</v>
      </c>
    </row>
    <row r="5" spans="1:7">
      <c r="B5" s="1" t="s">
        <v>51</v>
      </c>
      <c r="C5" s="1" t="s">
        <v>169</v>
      </c>
    </row>
    <row r="6" spans="1:7">
      <c r="C6" s="1" t="s">
        <v>168</v>
      </c>
    </row>
    <row r="7" spans="1:7">
      <c r="C7" s="1" t="s">
        <v>170</v>
      </c>
    </row>
    <row r="8" spans="1:7">
      <c r="C8" s="1" t="s">
        <v>172</v>
      </c>
    </row>
    <row r="9" spans="1:7">
      <c r="C9" s="1" t="s">
        <v>181</v>
      </c>
    </row>
    <row r="10" spans="1:7">
      <c r="B10" s="1" t="s">
        <v>2</v>
      </c>
      <c r="C10" s="1" t="s">
        <v>129</v>
      </c>
    </row>
    <row r="11" spans="1:7">
      <c r="B11" s="1" t="s">
        <v>131</v>
      </c>
      <c r="C11" s="1" t="s">
        <v>132</v>
      </c>
    </row>
    <row r="12" spans="1:7">
      <c r="B12" s="24" t="s">
        <v>165</v>
      </c>
      <c r="C12" s="24"/>
      <c r="D12" s="44" t="s">
        <v>264</v>
      </c>
      <c r="E12" s="44" t="s">
        <v>101</v>
      </c>
      <c r="F12" s="44" t="s">
        <v>266</v>
      </c>
      <c r="G12" s="44" t="s">
        <v>267</v>
      </c>
    </row>
    <row r="13" spans="1:7">
      <c r="B13" s="24"/>
      <c r="C13" s="47">
        <v>40165</v>
      </c>
      <c r="D13" s="37">
        <v>2962</v>
      </c>
      <c r="E13" s="37">
        <v>686130</v>
      </c>
      <c r="F13" s="37">
        <f t="shared" ref="F13:F19" si="0">E13+D13</f>
        <v>689092</v>
      </c>
      <c r="G13" s="46">
        <f>D13/F13</f>
        <v>4.2984100816726937E-3</v>
      </c>
    </row>
    <row r="14" spans="1:7">
      <c r="B14" s="24"/>
      <c r="C14" s="47">
        <f t="shared" ref="C14:C20" si="1">C13-7</f>
        <v>40158</v>
      </c>
      <c r="D14" s="37">
        <v>2684</v>
      </c>
      <c r="E14" s="37">
        <v>691185</v>
      </c>
      <c r="F14" s="37">
        <f t="shared" si="0"/>
        <v>693869</v>
      </c>
      <c r="G14" s="46">
        <f t="shared" ref="G14:G20" si="2">D14/F14</f>
        <v>3.8681653165078709E-3</v>
      </c>
    </row>
    <row r="15" spans="1:7">
      <c r="B15" s="24"/>
      <c r="C15" s="47">
        <f t="shared" si="1"/>
        <v>40151</v>
      </c>
      <c r="D15" s="37">
        <v>2430</v>
      </c>
      <c r="E15" s="37">
        <v>775061</v>
      </c>
      <c r="F15" s="37">
        <f t="shared" si="0"/>
        <v>777491</v>
      </c>
      <c r="G15" s="46">
        <f t="shared" si="2"/>
        <v>3.1254381079652369E-3</v>
      </c>
    </row>
    <row r="16" spans="1:7">
      <c r="B16" s="24"/>
      <c r="C16" s="47">
        <f t="shared" si="1"/>
        <v>40144</v>
      </c>
      <c r="D16" s="37">
        <v>2089</v>
      </c>
      <c r="E16" s="37">
        <v>601931</v>
      </c>
      <c r="F16" s="37">
        <f t="shared" si="0"/>
        <v>604020</v>
      </c>
      <c r="G16" s="46">
        <f t="shared" si="2"/>
        <v>3.4584947518294098E-3</v>
      </c>
    </row>
    <row r="17" spans="2:7">
      <c r="B17" s="24"/>
      <c r="C17" s="47">
        <f t="shared" si="1"/>
        <v>40137</v>
      </c>
      <c r="D17" s="37">
        <v>2166</v>
      </c>
      <c r="E17" s="37">
        <v>672605</v>
      </c>
      <c r="F17" s="37">
        <f t="shared" si="0"/>
        <v>674771</v>
      </c>
      <c r="G17" s="46">
        <f t="shared" si="2"/>
        <v>3.2099779036147079E-3</v>
      </c>
    </row>
    <row r="18" spans="2:7">
      <c r="B18" s="24"/>
      <c r="C18" s="47">
        <f t="shared" si="1"/>
        <v>40130</v>
      </c>
      <c r="D18" s="37">
        <v>1800</v>
      </c>
      <c r="E18" s="37">
        <v>680955</v>
      </c>
      <c r="F18" s="37">
        <f t="shared" si="0"/>
        <v>682755</v>
      </c>
      <c r="G18" s="46">
        <f t="shared" si="2"/>
        <v>2.6363776171540302E-3</v>
      </c>
    </row>
    <row r="19" spans="2:7">
      <c r="B19" s="24"/>
      <c r="C19" s="47">
        <f t="shared" si="1"/>
        <v>40123</v>
      </c>
      <c r="D19" s="37">
        <v>1808</v>
      </c>
      <c r="E19" s="37">
        <v>726294</v>
      </c>
      <c r="F19" s="37">
        <f t="shared" si="0"/>
        <v>728102</v>
      </c>
      <c r="G19" s="46">
        <f t="shared" si="2"/>
        <v>2.4831685670414312E-3</v>
      </c>
    </row>
    <row r="20" spans="2:7">
      <c r="B20" s="24"/>
      <c r="C20" s="47">
        <f t="shared" si="1"/>
        <v>40116</v>
      </c>
      <c r="D20" s="37">
        <v>1550</v>
      </c>
      <c r="E20" s="37">
        <v>687653</v>
      </c>
      <c r="F20" s="37">
        <f>E20+D20</f>
        <v>689203</v>
      </c>
      <c r="G20" s="46">
        <f t="shared" si="2"/>
        <v>2.2489745401572539E-3</v>
      </c>
    </row>
    <row r="21" spans="2:7">
      <c r="B21" s="24"/>
      <c r="C21" s="24"/>
    </row>
    <row r="22" spans="2:7">
      <c r="B22" s="24" t="s">
        <v>173</v>
      </c>
      <c r="C22" s="24" t="s">
        <v>265</v>
      </c>
    </row>
    <row r="23" spans="2:7">
      <c r="B23" s="1" t="s">
        <v>92</v>
      </c>
    </row>
    <row r="24" spans="2:7">
      <c r="C24" s="1" t="s">
        <v>24</v>
      </c>
    </row>
    <row r="25" spans="2:7">
      <c r="C25" s="1" t="s">
        <v>221</v>
      </c>
    </row>
    <row r="27" spans="2:7">
      <c r="C27" s="18" t="s">
        <v>185</v>
      </c>
    </row>
    <row r="28" spans="2:7">
      <c r="C28" s="1" t="s">
        <v>183</v>
      </c>
    </row>
    <row r="29" spans="2:7">
      <c r="C29" s="1" t="s">
        <v>109</v>
      </c>
    </row>
    <row r="30" spans="2:7">
      <c r="C30" s="22" t="s">
        <v>232</v>
      </c>
    </row>
    <row r="31" spans="2:7">
      <c r="C31" s="1" t="s">
        <v>130</v>
      </c>
    </row>
    <row r="32" spans="2:7">
      <c r="C32" s="1" t="s">
        <v>231</v>
      </c>
    </row>
    <row r="33" spans="3:3">
      <c r="C33" s="1" t="s">
        <v>162</v>
      </c>
    </row>
    <row r="34" spans="3:3">
      <c r="C34" s="1" t="s">
        <v>171</v>
      </c>
    </row>
    <row r="35" spans="3:3">
      <c r="C35" s="1" t="s">
        <v>182</v>
      </c>
    </row>
    <row r="36" spans="3:3">
      <c r="C36" s="1" t="s">
        <v>242</v>
      </c>
    </row>
    <row r="38" spans="3:3">
      <c r="C38" s="18" t="s">
        <v>94</v>
      </c>
    </row>
    <row r="39" spans="3:3">
      <c r="C39" s="1" t="s">
        <v>95</v>
      </c>
    </row>
    <row r="40" spans="3:3">
      <c r="C40" s="1" t="s">
        <v>102</v>
      </c>
    </row>
    <row r="41" spans="3:3">
      <c r="C41" s="22" t="s">
        <v>103</v>
      </c>
    </row>
    <row r="42" spans="3:3">
      <c r="C42" s="1" t="s">
        <v>104</v>
      </c>
    </row>
    <row r="43" spans="3:3">
      <c r="C43" s="1" t="s">
        <v>163</v>
      </c>
    </row>
    <row r="44" spans="3:3">
      <c r="C44" s="1" t="s">
        <v>178</v>
      </c>
    </row>
    <row r="46" spans="3:3">
      <c r="C46" s="18" t="s">
        <v>333</v>
      </c>
    </row>
    <row r="47" spans="3:3">
      <c r="C47" s="24" t="s">
        <v>331</v>
      </c>
    </row>
    <row r="48" spans="3:3">
      <c r="C48" s="24" t="s">
        <v>332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/>
  <cols>
    <col min="1" max="1" width="5" style="1" bestFit="1" customWidth="1"/>
    <col min="2" max="2" width="13.28515625" style="1" customWidth="1"/>
    <col min="3" max="16384" width="9.140625" style="1"/>
  </cols>
  <sheetData>
    <row r="1" spans="1:3">
      <c r="A1" s="17" t="s">
        <v>6</v>
      </c>
    </row>
    <row r="2" spans="1:3">
      <c r="A2" s="17"/>
      <c r="B2" s="1" t="s">
        <v>50</v>
      </c>
    </row>
    <row r="3" spans="1:3">
      <c r="A3" s="17"/>
      <c r="B3" s="1" t="s">
        <v>48</v>
      </c>
      <c r="C3" s="1" t="s">
        <v>49</v>
      </c>
    </row>
    <row r="4" spans="1:3">
      <c r="A4" s="17"/>
      <c r="B4" s="1" t="s">
        <v>1</v>
      </c>
      <c r="C4" s="1" t="s">
        <v>121</v>
      </c>
    </row>
    <row r="5" spans="1:3">
      <c r="A5" s="17"/>
      <c r="B5" s="1" t="s">
        <v>51</v>
      </c>
      <c r="C5" s="1" t="s">
        <v>52</v>
      </c>
    </row>
    <row r="6" spans="1:3">
      <c r="A6" s="17"/>
      <c r="B6" s="1" t="s">
        <v>92</v>
      </c>
    </row>
    <row r="7" spans="1:3">
      <c r="C7" s="18" t="s">
        <v>307</v>
      </c>
    </row>
    <row r="8" spans="1:3">
      <c r="C8" s="1" t="s">
        <v>46</v>
      </c>
    </row>
    <row r="10" spans="1:3">
      <c r="C10" s="18" t="s">
        <v>53</v>
      </c>
    </row>
    <row r="11" spans="1:3">
      <c r="C11" s="24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5" t="s">
        <v>6</v>
      </c>
    </row>
    <row r="2" spans="1:3">
      <c r="B2" t="s">
        <v>50</v>
      </c>
    </row>
    <row r="3" spans="1:3">
      <c r="B3" t="s">
        <v>48</v>
      </c>
      <c r="C3" t="s">
        <v>112</v>
      </c>
    </row>
    <row r="4" spans="1:3">
      <c r="B4" t="s">
        <v>1</v>
      </c>
      <c r="C4" t="s">
        <v>115</v>
      </c>
    </row>
    <row r="5" spans="1:3">
      <c r="B5" t="s">
        <v>91</v>
      </c>
      <c r="C5" t="s">
        <v>26</v>
      </c>
    </row>
    <row r="6" spans="1:3">
      <c r="B6" t="s">
        <v>3</v>
      </c>
      <c r="C6" t="s">
        <v>28</v>
      </c>
    </row>
    <row r="7" spans="1:3">
      <c r="B7" t="s">
        <v>92</v>
      </c>
      <c r="C7" t="s">
        <v>27</v>
      </c>
    </row>
    <row r="9" spans="1:3">
      <c r="C9" s="23" t="s">
        <v>113</v>
      </c>
    </row>
    <row r="10" spans="1:3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/>
  <cols>
    <col min="1" max="1" width="5" style="1" bestFit="1" customWidth="1"/>
    <col min="2" max="2" width="12" style="1" bestFit="1" customWidth="1"/>
    <col min="3" max="16384" width="9.140625" style="1"/>
  </cols>
  <sheetData>
    <row r="1" spans="1:3">
      <c r="A1" s="17" t="s">
        <v>6</v>
      </c>
    </row>
    <row r="2" spans="1:3">
      <c r="B2" s="1" t="s">
        <v>50</v>
      </c>
      <c r="C2" s="1" t="s">
        <v>179</v>
      </c>
    </row>
    <row r="3" spans="1:3">
      <c r="B3" s="1" t="s">
        <v>2</v>
      </c>
      <c r="C3" s="1" t="s">
        <v>236</v>
      </c>
    </row>
    <row r="4" spans="1:3">
      <c r="B4" s="1" t="s">
        <v>1</v>
      </c>
      <c r="C4" s="1" t="s">
        <v>239</v>
      </c>
    </row>
    <row r="5" spans="1:3">
      <c r="B5" s="1" t="s">
        <v>92</v>
      </c>
    </row>
    <row r="6" spans="1:3">
      <c r="C6" s="18" t="s">
        <v>238</v>
      </c>
    </row>
    <row r="9" spans="1:3">
      <c r="C9" s="18" t="s">
        <v>237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/>
  <cols>
    <col min="1" max="1" width="5" style="1" bestFit="1" customWidth="1"/>
    <col min="2" max="2" width="14.140625" style="1" customWidth="1"/>
    <col min="3" max="16384" width="9.140625" style="1"/>
  </cols>
  <sheetData>
    <row r="1" spans="1:4">
      <c r="A1" s="33" t="s">
        <v>6</v>
      </c>
    </row>
    <row r="2" spans="1:4">
      <c r="B2" s="1" t="s">
        <v>50</v>
      </c>
      <c r="C2" s="1" t="s">
        <v>184</v>
      </c>
    </row>
    <row r="3" spans="1:4">
      <c r="B3" s="24" t="s">
        <v>48</v>
      </c>
      <c r="C3" s="24" t="s">
        <v>325</v>
      </c>
    </row>
    <row r="4" spans="1:4">
      <c r="B4" s="1" t="s">
        <v>1</v>
      </c>
      <c r="C4" s="1" t="s">
        <v>210</v>
      </c>
    </row>
    <row r="5" spans="1:4">
      <c r="B5" s="1" t="s">
        <v>51</v>
      </c>
      <c r="C5" s="1" t="s">
        <v>211</v>
      </c>
    </row>
    <row r="6" spans="1:4">
      <c r="B6" s="1" t="s">
        <v>92</v>
      </c>
    </row>
    <row r="7" spans="1:4">
      <c r="C7" s="18" t="s">
        <v>213</v>
      </c>
    </row>
    <row r="8" spans="1:4">
      <c r="C8" s="1" t="s">
        <v>212</v>
      </c>
    </row>
    <row r="9" spans="1:4">
      <c r="C9" s="1" t="s">
        <v>214</v>
      </c>
    </row>
    <row r="11" spans="1:4">
      <c r="C11" s="1" t="s">
        <v>215</v>
      </c>
    </row>
    <row r="12" spans="1:4">
      <c r="C12" s="1" t="s">
        <v>216</v>
      </c>
    </row>
    <row r="13" spans="1:4">
      <c r="D13" s="1" t="s">
        <v>217</v>
      </c>
    </row>
    <row r="15" spans="1:4">
      <c r="C15" s="1" t="s">
        <v>229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workbookViewId="0"/>
  </sheetViews>
  <sheetFormatPr defaultRowHeight="12.75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>
      <c r="A1" s="24" t="s">
        <v>506</v>
      </c>
    </row>
    <row r="2" spans="1:11">
      <c r="B2" s="3" t="s">
        <v>0</v>
      </c>
      <c r="C2" s="4" t="s">
        <v>1</v>
      </c>
      <c r="D2" s="4" t="s">
        <v>51</v>
      </c>
      <c r="E2" s="4" t="s">
        <v>2</v>
      </c>
      <c r="F2" s="90" t="s">
        <v>451</v>
      </c>
      <c r="G2" s="5" t="s">
        <v>4</v>
      </c>
      <c r="I2" s="1" t="s">
        <v>173</v>
      </c>
      <c r="J2" s="36">
        <v>330.47</v>
      </c>
    </row>
    <row r="3" spans="1:11">
      <c r="B3" s="78" t="s">
        <v>370</v>
      </c>
      <c r="C3" s="42" t="s">
        <v>36</v>
      </c>
      <c r="D3" s="42" t="s">
        <v>118</v>
      </c>
      <c r="E3" s="13">
        <v>1</v>
      </c>
      <c r="F3" s="8"/>
      <c r="G3" s="9"/>
      <c r="I3" s="1" t="s">
        <v>84</v>
      </c>
      <c r="J3" s="21">
        <v>950.15955899999994</v>
      </c>
      <c r="K3" s="44" t="s">
        <v>335</v>
      </c>
    </row>
    <row r="4" spans="1:11">
      <c r="B4" s="16" t="s">
        <v>14</v>
      </c>
      <c r="C4" s="8" t="s">
        <v>37</v>
      </c>
      <c r="D4" s="8" t="s">
        <v>107</v>
      </c>
      <c r="E4" s="13">
        <v>1</v>
      </c>
      <c r="F4" s="8"/>
      <c r="G4" s="9">
        <v>2013</v>
      </c>
      <c r="I4" s="1" t="s">
        <v>174</v>
      </c>
      <c r="J4" s="21">
        <f>J2*J3</f>
        <v>313999.22946273</v>
      </c>
      <c r="K4" s="37"/>
    </row>
    <row r="5" spans="1:11">
      <c r="B5" s="78" t="s">
        <v>477</v>
      </c>
      <c r="C5" s="42" t="s">
        <v>36</v>
      </c>
      <c r="D5" s="42" t="s">
        <v>418</v>
      </c>
      <c r="E5" s="45" t="s">
        <v>278</v>
      </c>
      <c r="F5" s="8"/>
      <c r="G5" s="9"/>
      <c r="I5" s="1" t="s">
        <v>175</v>
      </c>
      <c r="J5" s="21">
        <f>2459.2+109.1+2727.3</f>
        <v>5295.6</v>
      </c>
      <c r="K5" s="44" t="s">
        <v>335</v>
      </c>
    </row>
    <row r="6" spans="1:11">
      <c r="B6" s="16" t="s">
        <v>16</v>
      </c>
      <c r="C6" s="8" t="s">
        <v>111</v>
      </c>
      <c r="D6" s="8"/>
      <c r="E6" s="13"/>
      <c r="F6" s="8"/>
      <c r="G6" s="9"/>
      <c r="I6" s="1" t="s">
        <v>176</v>
      </c>
      <c r="J6" s="21">
        <f>15152.9+1355.9</f>
        <v>16508.8</v>
      </c>
      <c r="K6" s="44" t="s">
        <v>335</v>
      </c>
    </row>
    <row r="7" spans="1:11">
      <c r="B7" s="78" t="s">
        <v>425</v>
      </c>
      <c r="C7" s="42" t="s">
        <v>36</v>
      </c>
      <c r="D7" s="42" t="s">
        <v>283</v>
      </c>
      <c r="E7" s="45" t="s">
        <v>278</v>
      </c>
      <c r="F7" s="8"/>
      <c r="G7" s="9"/>
      <c r="I7" s="1" t="s">
        <v>177</v>
      </c>
      <c r="J7" s="21">
        <f>J4-J5+J6</f>
        <v>325212.42946273001</v>
      </c>
    </row>
    <row r="8" spans="1:11">
      <c r="B8" s="16" t="s">
        <v>18</v>
      </c>
      <c r="C8" s="8" t="s">
        <v>40</v>
      </c>
      <c r="D8" s="8" t="s">
        <v>108</v>
      </c>
      <c r="E8" s="13">
        <v>1</v>
      </c>
      <c r="F8" s="8"/>
      <c r="G8" s="9">
        <v>2016</v>
      </c>
    </row>
    <row r="9" spans="1:11">
      <c r="B9" s="16" t="s">
        <v>19</v>
      </c>
      <c r="C9" s="8" t="s">
        <v>116</v>
      </c>
      <c r="D9" s="8"/>
      <c r="E9" s="13"/>
      <c r="F9" s="8"/>
      <c r="G9" s="9">
        <v>2016</v>
      </c>
      <c r="I9" s="24" t="s">
        <v>464</v>
      </c>
    </row>
    <row r="10" spans="1:11">
      <c r="B10" s="41" t="s">
        <v>316</v>
      </c>
      <c r="C10" s="8" t="s">
        <v>36</v>
      </c>
      <c r="D10" s="8" t="s">
        <v>277</v>
      </c>
      <c r="E10" s="13" t="s">
        <v>278</v>
      </c>
      <c r="F10" s="8"/>
      <c r="G10" s="9"/>
      <c r="I10" s="24" t="s">
        <v>465</v>
      </c>
    </row>
    <row r="11" spans="1:11">
      <c r="B11" s="41" t="s">
        <v>426</v>
      </c>
      <c r="C11" s="42" t="s">
        <v>450</v>
      </c>
      <c r="D11" s="42" t="s">
        <v>447</v>
      </c>
      <c r="E11" s="45">
        <v>1</v>
      </c>
      <c r="F11" s="8"/>
      <c r="G11" s="9"/>
      <c r="I11" s="24" t="s">
        <v>466</v>
      </c>
    </row>
    <row r="12" spans="1:11">
      <c r="B12" s="41" t="s">
        <v>380</v>
      </c>
      <c r="C12" s="42" t="s">
        <v>458</v>
      </c>
      <c r="D12" s="42" t="s">
        <v>468</v>
      </c>
      <c r="E12" s="45"/>
      <c r="F12" s="8"/>
      <c r="G12" s="9"/>
    </row>
    <row r="13" spans="1:11">
      <c r="B13" s="41" t="s">
        <v>500</v>
      </c>
      <c r="C13" s="42" t="s">
        <v>457</v>
      </c>
      <c r="D13" s="42" t="s">
        <v>467</v>
      </c>
      <c r="E13" s="45"/>
      <c r="F13" s="8"/>
      <c r="G13" s="9"/>
    </row>
    <row r="14" spans="1:11">
      <c r="B14" s="41" t="s">
        <v>453</v>
      </c>
      <c r="C14" s="42" t="s">
        <v>455</v>
      </c>
      <c r="D14" s="8"/>
      <c r="E14" s="45"/>
      <c r="F14" s="8"/>
      <c r="G14" s="9"/>
    </row>
    <row r="15" spans="1:11">
      <c r="B15" s="41" t="s">
        <v>454</v>
      </c>
      <c r="C15" s="42" t="s">
        <v>455</v>
      </c>
      <c r="D15" s="8"/>
      <c r="E15" s="45"/>
      <c r="F15" s="8"/>
      <c r="G15" s="9"/>
    </row>
    <row r="16" spans="1:11">
      <c r="B16" s="41" t="s">
        <v>494</v>
      </c>
      <c r="C16" s="42" t="s">
        <v>456</v>
      </c>
      <c r="D16" s="42" t="s">
        <v>452</v>
      </c>
      <c r="E16" s="45" t="s">
        <v>443</v>
      </c>
      <c r="F16" s="8"/>
      <c r="G16" s="9"/>
    </row>
    <row r="17" spans="2:7">
      <c r="B17" s="41" t="s">
        <v>493</v>
      </c>
      <c r="C17" s="42"/>
      <c r="D17" s="42"/>
      <c r="E17" s="45"/>
      <c r="F17" s="8"/>
      <c r="G17" s="9"/>
    </row>
    <row r="18" spans="2:7">
      <c r="B18" s="41" t="s">
        <v>444</v>
      </c>
      <c r="C18" s="42" t="s">
        <v>241</v>
      </c>
      <c r="D18" s="42" t="s">
        <v>270</v>
      </c>
      <c r="E18" s="45" t="s">
        <v>271</v>
      </c>
      <c r="F18" s="8"/>
      <c r="G18" s="9"/>
    </row>
    <row r="19" spans="2:7">
      <c r="B19" s="41" t="s">
        <v>479</v>
      </c>
      <c r="C19" s="42" t="s">
        <v>480</v>
      </c>
      <c r="D19" s="42" t="s">
        <v>478</v>
      </c>
      <c r="E19" s="45"/>
      <c r="F19" s="8"/>
      <c r="G19" s="9"/>
    </row>
    <row r="20" spans="2:7">
      <c r="B20" s="7" t="s">
        <v>476</v>
      </c>
      <c r="C20" s="8" t="s">
        <v>36</v>
      </c>
      <c r="D20" s="8" t="s">
        <v>117</v>
      </c>
      <c r="E20" s="45" t="s">
        <v>286</v>
      </c>
      <c r="F20" s="8"/>
      <c r="G20" s="9">
        <v>2013</v>
      </c>
    </row>
    <row r="21" spans="2:7">
      <c r="B21" s="41" t="s">
        <v>57</v>
      </c>
      <c r="C21" s="8" t="s">
        <v>36</v>
      </c>
      <c r="D21" s="8" t="s">
        <v>117</v>
      </c>
      <c r="E21" s="45" t="s">
        <v>286</v>
      </c>
      <c r="F21" s="8"/>
      <c r="G21" s="9"/>
    </row>
    <row r="22" spans="2:7" s="22" customFormat="1">
      <c r="B22" s="79" t="s">
        <v>438</v>
      </c>
      <c r="C22" s="84" t="s">
        <v>308</v>
      </c>
      <c r="D22" s="84" t="s">
        <v>439</v>
      </c>
      <c r="E22" s="85" t="s">
        <v>286</v>
      </c>
      <c r="F22" s="11"/>
      <c r="G22" s="12"/>
    </row>
    <row r="23" spans="2:7">
      <c r="B23" s="6"/>
      <c r="C23" s="4"/>
      <c r="D23" s="4"/>
      <c r="E23" s="4"/>
      <c r="F23" s="4" t="s">
        <v>5</v>
      </c>
      <c r="G23" s="5"/>
    </row>
    <row r="24" spans="2:7">
      <c r="B24" s="41" t="s">
        <v>462</v>
      </c>
      <c r="C24" s="42" t="s">
        <v>36</v>
      </c>
      <c r="D24" s="42" t="s">
        <v>463</v>
      </c>
      <c r="E24" s="13">
        <v>1</v>
      </c>
      <c r="F24" s="42" t="s">
        <v>209</v>
      </c>
      <c r="G24" s="49"/>
    </row>
    <row r="25" spans="2:7">
      <c r="B25" s="41" t="s">
        <v>495</v>
      </c>
      <c r="C25" s="8" t="s">
        <v>496</v>
      </c>
      <c r="D25" s="8" t="s">
        <v>497</v>
      </c>
      <c r="E25" s="13">
        <v>1</v>
      </c>
      <c r="F25" s="42" t="s">
        <v>209</v>
      </c>
      <c r="G25" s="49"/>
    </row>
    <row r="26" spans="2:7">
      <c r="B26" s="41" t="s">
        <v>474</v>
      </c>
      <c r="C26" s="42" t="s">
        <v>475</v>
      </c>
      <c r="D26" s="42"/>
      <c r="E26" s="13" t="s">
        <v>286</v>
      </c>
      <c r="F26" s="42" t="s">
        <v>47</v>
      </c>
      <c r="G26" s="49"/>
    </row>
    <row r="27" spans="2:7">
      <c r="B27" s="41" t="s">
        <v>488</v>
      </c>
      <c r="C27" s="42" t="s">
        <v>489</v>
      </c>
      <c r="D27" s="42"/>
      <c r="E27" s="13" t="s">
        <v>286</v>
      </c>
      <c r="F27" s="42" t="s">
        <v>209</v>
      </c>
      <c r="G27" s="49"/>
    </row>
    <row r="28" spans="2:7">
      <c r="B28" s="41" t="s">
        <v>490</v>
      </c>
      <c r="C28" s="42" t="s">
        <v>120</v>
      </c>
      <c r="D28" s="42" t="s">
        <v>180</v>
      </c>
      <c r="E28" s="13">
        <v>1</v>
      </c>
      <c r="F28" s="42" t="s">
        <v>47</v>
      </c>
      <c r="G28" s="49"/>
    </row>
    <row r="29" spans="2:7">
      <c r="B29" s="41" t="s">
        <v>259</v>
      </c>
      <c r="C29" s="8" t="s">
        <v>120</v>
      </c>
      <c r="D29" s="8" t="s">
        <v>180</v>
      </c>
      <c r="E29" s="13">
        <v>1</v>
      </c>
      <c r="F29" s="42" t="s">
        <v>47</v>
      </c>
      <c r="G29" s="49" t="s">
        <v>309</v>
      </c>
    </row>
    <row r="30" spans="2:7">
      <c r="B30" s="41" t="s">
        <v>498</v>
      </c>
      <c r="C30" s="8" t="s">
        <v>499</v>
      </c>
      <c r="D30" s="8"/>
      <c r="E30" s="13"/>
      <c r="F30" s="42" t="s">
        <v>47</v>
      </c>
      <c r="G30" s="49"/>
    </row>
    <row r="31" spans="2:7">
      <c r="B31" s="41" t="s">
        <v>280</v>
      </c>
      <c r="C31" s="8" t="s">
        <v>284</v>
      </c>
      <c r="D31" s="8" t="s">
        <v>285</v>
      </c>
      <c r="E31" s="13" t="s">
        <v>286</v>
      </c>
      <c r="F31" s="42" t="s">
        <v>287</v>
      </c>
      <c r="G31" s="9"/>
    </row>
    <row r="32" spans="2:7">
      <c r="B32" s="7" t="s">
        <v>161</v>
      </c>
      <c r="C32" s="8" t="s">
        <v>159</v>
      </c>
      <c r="D32" s="8" t="s">
        <v>160</v>
      </c>
      <c r="E32" s="13">
        <v>1</v>
      </c>
      <c r="F32" s="8" t="s">
        <v>105</v>
      </c>
      <c r="G32" s="9"/>
    </row>
    <row r="33" spans="2:7">
      <c r="B33" s="7" t="s">
        <v>205</v>
      </c>
      <c r="C33" s="8" t="s">
        <v>195</v>
      </c>
      <c r="D33" s="8" t="s">
        <v>196</v>
      </c>
      <c r="E33" s="13" t="s">
        <v>206</v>
      </c>
      <c r="F33" s="8" t="s">
        <v>105</v>
      </c>
      <c r="G33" s="9"/>
    </row>
    <row r="34" spans="2:7">
      <c r="B34" s="41" t="s">
        <v>313</v>
      </c>
      <c r="C34" s="42" t="s">
        <v>315</v>
      </c>
      <c r="D34" s="42" t="s">
        <v>314</v>
      </c>
      <c r="E34" s="45" t="s">
        <v>286</v>
      </c>
      <c r="F34" s="42" t="s">
        <v>105</v>
      </c>
      <c r="G34" s="9"/>
    </row>
    <row r="35" spans="2:7">
      <c r="B35" s="41" t="s">
        <v>310</v>
      </c>
      <c r="C35" s="42" t="s">
        <v>312</v>
      </c>
      <c r="D35" s="42" t="s">
        <v>311</v>
      </c>
      <c r="E35" s="45" t="s">
        <v>286</v>
      </c>
      <c r="F35" s="42" t="s">
        <v>105</v>
      </c>
      <c r="G35" s="9"/>
    </row>
    <row r="36" spans="2:7">
      <c r="B36" s="7" t="s">
        <v>134</v>
      </c>
      <c r="C36" s="8" t="s">
        <v>36</v>
      </c>
      <c r="D36" s="8" t="s">
        <v>133</v>
      </c>
      <c r="E36" s="13">
        <v>1</v>
      </c>
      <c r="F36" s="8" t="s">
        <v>105</v>
      </c>
      <c r="G36" s="9"/>
    </row>
    <row r="37" spans="2:7">
      <c r="B37" s="7" t="s">
        <v>189</v>
      </c>
      <c r="C37" s="8" t="s">
        <v>36</v>
      </c>
      <c r="D37" s="8" t="s">
        <v>190</v>
      </c>
      <c r="E37" s="8" t="s">
        <v>191</v>
      </c>
      <c r="F37" s="8" t="s">
        <v>119</v>
      </c>
      <c r="G37" s="9"/>
    </row>
    <row r="38" spans="2:7">
      <c r="B38" s="50" t="s">
        <v>23</v>
      </c>
      <c r="C38" s="10" t="s">
        <v>13</v>
      </c>
      <c r="D38" s="11" t="s">
        <v>106</v>
      </c>
      <c r="E38" s="14">
        <v>1</v>
      </c>
      <c r="F38" s="11" t="s">
        <v>208</v>
      </c>
      <c r="G38" s="12">
        <v>2018</v>
      </c>
    </row>
    <row r="40" spans="2:7">
      <c r="B40" s="24"/>
      <c r="F40" s="38"/>
    </row>
    <row r="41" spans="2:7">
      <c r="F41" s="39"/>
    </row>
    <row r="42" spans="2:7">
      <c r="B42" s="86"/>
      <c r="C42" s="86"/>
      <c r="F42" s="38"/>
    </row>
    <row r="43" spans="2:7">
      <c r="B43" s="87"/>
      <c r="F43" s="38"/>
    </row>
    <row r="44" spans="2:7">
      <c r="B44" s="87"/>
      <c r="C44" s="87"/>
    </row>
    <row r="45" spans="2:7">
      <c r="B45" s="87"/>
      <c r="C45" s="87"/>
    </row>
    <row r="46" spans="2:7">
      <c r="B46" s="87"/>
      <c r="C46" s="87"/>
    </row>
    <row r="47" spans="2:7">
      <c r="B47" s="87"/>
      <c r="C47" s="87"/>
    </row>
    <row r="48" spans="2:7">
      <c r="B48" s="88"/>
      <c r="C48" s="87"/>
    </row>
    <row r="49" spans="2:3">
      <c r="B49" s="88"/>
      <c r="C49" s="87"/>
    </row>
    <row r="50" spans="2:3">
      <c r="B50" s="88"/>
      <c r="C50" s="87"/>
    </row>
    <row r="51" spans="2:3">
      <c r="B51" s="87"/>
      <c r="C51" s="87"/>
    </row>
    <row r="52" spans="2:3">
      <c r="B52" s="87"/>
      <c r="C52" s="87"/>
    </row>
    <row r="53" spans="2:3">
      <c r="B53" s="88"/>
      <c r="C53" s="87"/>
    </row>
    <row r="54" spans="2:3">
      <c r="B54" s="87"/>
    </row>
    <row r="55" spans="2:3">
      <c r="B55" s="87"/>
    </row>
    <row r="57" spans="2:3">
      <c r="B57" s="87"/>
    </row>
    <row r="58" spans="2:3">
      <c r="C58" s="87"/>
    </row>
    <row r="60" spans="2:3">
      <c r="B60" s="87"/>
    </row>
    <row r="62" spans="2:3">
      <c r="C62" s="87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K136"/>
  <sheetViews>
    <sheetView tabSelected="1" workbookViewId="0">
      <pane xSplit="2" ySplit="2" topLeftCell="CS61" activePane="bottomRight" state="frozen"/>
      <selection pane="topRight" activeCell="C1" sqref="C1"/>
      <selection pane="bottomLeft" activeCell="A3" sqref="A3"/>
      <selection pane="bottomRight" activeCell="DN84" sqref="DN84"/>
    </sheetView>
  </sheetViews>
  <sheetFormatPr defaultRowHeight="12.75"/>
  <cols>
    <col min="1" max="1" width="5.28515625" style="52" customWidth="1"/>
    <col min="2" max="2" width="18.85546875" style="52" customWidth="1"/>
    <col min="3" max="17" width="7" style="53" customWidth="1"/>
    <col min="18" max="18" width="6.7109375" style="53" customWidth="1"/>
    <col min="19" max="84" width="7" style="53" customWidth="1"/>
    <col min="85" max="85" width="4.28515625" style="52" customWidth="1"/>
    <col min="86" max="94" width="6.5703125" style="53" bestFit="1" customWidth="1"/>
    <col min="95" max="95" width="7" style="53" bestFit="1" customWidth="1"/>
    <col min="96" max="96" width="6.5703125" style="53" bestFit="1" customWidth="1"/>
    <col min="97" max="100" width="7" style="53" customWidth="1"/>
    <col min="101" max="102" width="7.42578125" style="53" customWidth="1"/>
    <col min="103" max="113" width="7.140625" style="52" customWidth="1"/>
    <col min="114" max="114" width="7.5703125" style="52" customWidth="1"/>
    <col min="115" max="115" width="7.7109375" style="52" customWidth="1"/>
    <col min="116" max="16384" width="9.140625" style="52"/>
  </cols>
  <sheetData>
    <row r="1" spans="1:115">
      <c r="A1" s="51" t="s">
        <v>6</v>
      </c>
    </row>
    <row r="2" spans="1:115">
      <c r="C2" s="53" t="s">
        <v>204</v>
      </c>
      <c r="D2" s="53" t="s">
        <v>203</v>
      </c>
      <c r="E2" s="53" t="s">
        <v>202</v>
      </c>
      <c r="F2" s="53" t="s">
        <v>127</v>
      </c>
      <c r="G2" s="53" t="s">
        <v>126</v>
      </c>
      <c r="H2" s="53" t="s">
        <v>125</v>
      </c>
      <c r="I2" s="53" t="s">
        <v>124</v>
      </c>
      <c r="J2" s="53" t="s">
        <v>99</v>
      </c>
      <c r="K2" s="53" t="s">
        <v>100</v>
      </c>
      <c r="L2" s="53" t="s">
        <v>97</v>
      </c>
      <c r="M2" s="53" t="s">
        <v>96</v>
      </c>
      <c r="N2" s="53" t="s">
        <v>98</v>
      </c>
      <c r="O2" s="53" t="s">
        <v>128</v>
      </c>
      <c r="P2" s="53" t="s">
        <v>164</v>
      </c>
      <c r="Q2" s="53" t="s">
        <v>186</v>
      </c>
      <c r="R2" s="53" t="s">
        <v>187</v>
      </c>
      <c r="S2" s="53" t="s">
        <v>198</v>
      </c>
      <c r="T2" s="53" t="s">
        <v>199</v>
      </c>
      <c r="U2" s="53" t="s">
        <v>200</v>
      </c>
      <c r="V2" s="53" t="s">
        <v>201</v>
      </c>
      <c r="W2" s="54" t="s">
        <v>246</v>
      </c>
      <c r="X2" s="54" t="s">
        <v>247</v>
      </c>
      <c r="Y2" s="54" t="s">
        <v>248</v>
      </c>
      <c r="Z2" s="54" t="s">
        <v>249</v>
      </c>
      <c r="AA2" s="54" t="s">
        <v>260</v>
      </c>
      <c r="AB2" s="54" t="s">
        <v>261</v>
      </c>
      <c r="AC2" s="54" t="s">
        <v>262</v>
      </c>
      <c r="AD2" s="54" t="s">
        <v>263</v>
      </c>
      <c r="AE2" s="54" t="s">
        <v>273</v>
      </c>
      <c r="AF2" s="54" t="s">
        <v>274</v>
      </c>
      <c r="AG2" s="54" t="s">
        <v>275</v>
      </c>
      <c r="AH2" s="54" t="s">
        <v>276</v>
      </c>
      <c r="AI2" s="54" t="s">
        <v>317</v>
      </c>
      <c r="AJ2" s="54" t="s">
        <v>318</v>
      </c>
      <c r="AK2" s="54" t="s">
        <v>319</v>
      </c>
      <c r="AL2" s="54" t="s">
        <v>320</v>
      </c>
      <c r="AM2" s="54" t="s">
        <v>321</v>
      </c>
      <c r="AN2" s="54" t="s">
        <v>322</v>
      </c>
      <c r="AO2" s="54" t="s">
        <v>323</v>
      </c>
      <c r="AP2" s="54" t="s">
        <v>324</v>
      </c>
      <c r="AQ2" s="54" t="s">
        <v>336</v>
      </c>
      <c r="AR2" s="54" t="s">
        <v>334</v>
      </c>
      <c r="AS2" s="54" t="s">
        <v>337</v>
      </c>
      <c r="AT2" s="54" t="s">
        <v>338</v>
      </c>
      <c r="AU2" s="54" t="s">
        <v>339</v>
      </c>
      <c r="AV2" s="54" t="s">
        <v>340</v>
      </c>
      <c r="AW2" s="54" t="s">
        <v>341</v>
      </c>
      <c r="AX2" s="54" t="s">
        <v>342</v>
      </c>
      <c r="AY2" s="54" t="s">
        <v>343</v>
      </c>
      <c r="AZ2" s="54" t="s">
        <v>344</v>
      </c>
      <c r="BA2" s="54" t="s">
        <v>345</v>
      </c>
      <c r="BB2" s="54" t="s">
        <v>346</v>
      </c>
      <c r="BC2" s="54" t="s">
        <v>347</v>
      </c>
      <c r="BD2" s="54" t="s">
        <v>348</v>
      </c>
      <c r="BE2" s="54" t="s">
        <v>349</v>
      </c>
      <c r="BF2" s="54" t="s">
        <v>350</v>
      </c>
      <c r="BG2" s="54" t="s">
        <v>351</v>
      </c>
      <c r="BH2" s="54" t="s">
        <v>352</v>
      </c>
      <c r="BI2" s="54" t="s">
        <v>353</v>
      </c>
      <c r="BJ2" s="54" t="s">
        <v>354</v>
      </c>
      <c r="BK2" s="54" t="s">
        <v>355</v>
      </c>
      <c r="BL2" s="54" t="s">
        <v>356</v>
      </c>
      <c r="BM2" s="54" t="s">
        <v>357</v>
      </c>
      <c r="BN2" s="54" t="s">
        <v>358</v>
      </c>
      <c r="BO2" s="54" t="s">
        <v>359</v>
      </c>
      <c r="BP2" s="54" t="s">
        <v>360</v>
      </c>
      <c r="BQ2" s="54" t="s">
        <v>361</v>
      </c>
      <c r="BR2" s="54" t="s">
        <v>362</v>
      </c>
      <c r="BS2" s="54" t="s">
        <v>363</v>
      </c>
      <c r="BT2" s="54" t="s">
        <v>364</v>
      </c>
      <c r="BU2" s="54" t="s">
        <v>365</v>
      </c>
      <c r="BV2" s="54" t="s">
        <v>366</v>
      </c>
      <c r="BW2" s="54" t="s">
        <v>335</v>
      </c>
      <c r="BX2" s="54" t="s">
        <v>367</v>
      </c>
      <c r="BY2" s="54" t="s">
        <v>368</v>
      </c>
      <c r="BZ2" s="54" t="s">
        <v>369</v>
      </c>
      <c r="CA2" s="54" t="s">
        <v>386</v>
      </c>
      <c r="CB2" s="54" t="s">
        <v>387</v>
      </c>
      <c r="CC2" s="54" t="s">
        <v>388</v>
      </c>
      <c r="CD2" s="54" t="s">
        <v>389</v>
      </c>
      <c r="CE2" s="54"/>
      <c r="CF2" s="54"/>
      <c r="CH2" s="53">
        <v>2001</v>
      </c>
      <c r="CI2" s="53">
        <v>2002</v>
      </c>
      <c r="CJ2" s="53">
        <v>2003</v>
      </c>
      <c r="CK2" s="53">
        <v>2004</v>
      </c>
      <c r="CL2" s="53">
        <v>2005</v>
      </c>
      <c r="CM2" s="53">
        <v>2006</v>
      </c>
      <c r="CN2" s="53">
        <v>2007</v>
      </c>
      <c r="CO2" s="53">
        <v>2008</v>
      </c>
      <c r="CP2" s="53">
        <v>2009</v>
      </c>
      <c r="CQ2" s="53">
        <v>2010</v>
      </c>
      <c r="CR2" s="53">
        <v>2011</v>
      </c>
      <c r="CS2" s="53">
        <v>2012</v>
      </c>
      <c r="CT2" s="53">
        <v>2013</v>
      </c>
      <c r="CU2" s="53">
        <v>2014</v>
      </c>
      <c r="CV2" s="53">
        <v>2015</v>
      </c>
      <c r="CW2" s="53">
        <v>2016</v>
      </c>
      <c r="CX2" s="53">
        <v>2017</v>
      </c>
      <c r="CY2" s="52">
        <f>+CX2+1</f>
        <v>2018</v>
      </c>
      <c r="CZ2" s="52">
        <f t="shared" ref="CZ2:DC2" si="0">+CY2+1</f>
        <v>2019</v>
      </c>
      <c r="DA2" s="52">
        <f t="shared" si="0"/>
        <v>2020</v>
      </c>
      <c r="DB2" s="52">
        <f t="shared" si="0"/>
        <v>2021</v>
      </c>
      <c r="DC2" s="52">
        <f t="shared" si="0"/>
        <v>2022</v>
      </c>
      <c r="DD2" s="52">
        <f>+DC2+1</f>
        <v>2023</v>
      </c>
      <c r="DE2" s="52">
        <f t="shared" ref="DE2:DK2" si="1">+DD2+1</f>
        <v>2024</v>
      </c>
      <c r="DF2" s="52">
        <f t="shared" si="1"/>
        <v>2025</v>
      </c>
      <c r="DG2" s="52">
        <f t="shared" si="1"/>
        <v>2026</v>
      </c>
      <c r="DH2" s="52">
        <f t="shared" si="1"/>
        <v>2027</v>
      </c>
      <c r="DI2" s="52">
        <f t="shared" si="1"/>
        <v>2028</v>
      </c>
      <c r="DJ2" s="52">
        <f t="shared" si="1"/>
        <v>2029</v>
      </c>
      <c r="DK2" s="52">
        <f t="shared" si="1"/>
        <v>2030</v>
      </c>
    </row>
    <row r="3" spans="1:115" s="55" customFormat="1">
      <c r="B3" s="56" t="s">
        <v>370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>
        <v>879.7</v>
      </c>
      <c r="BL3" s="58">
        <v>1028.5</v>
      </c>
      <c r="BM3" s="58">
        <v>1011.5</v>
      </c>
      <c r="BN3" s="58">
        <v>1208.0999999999999</v>
      </c>
      <c r="BO3" s="58">
        <v>1229.4000000000001</v>
      </c>
      <c r="BP3" s="58">
        <v>1229.8</v>
      </c>
      <c r="BQ3" s="58">
        <v>1106.5999999999999</v>
      </c>
      <c r="BR3" s="58">
        <v>1502.4</v>
      </c>
      <c r="BS3" s="58">
        <v>1452.4</v>
      </c>
      <c r="BT3" s="58">
        <v>1535.6</v>
      </c>
      <c r="BU3" s="58">
        <v>1600.1</v>
      </c>
      <c r="BV3" s="58">
        <v>1883.7</v>
      </c>
      <c r="BW3" s="58">
        <v>1741.3</v>
      </c>
      <c r="BX3" s="58">
        <f>+BT3*1.225</f>
        <v>1881.1100000000001</v>
      </c>
      <c r="BY3" s="58">
        <f>+BU3*1.2</f>
        <v>1920.12</v>
      </c>
      <c r="BZ3" s="58">
        <f>+BV3*1.2</f>
        <v>2260.44</v>
      </c>
      <c r="CA3" s="58">
        <f>+BW3*1.15</f>
        <v>2002.4949999999999</v>
      </c>
      <c r="CB3" s="58">
        <f>+BX3*1.15</f>
        <v>2163.2764999999999</v>
      </c>
      <c r="CC3" s="58">
        <f>+BY3*1.15</f>
        <v>2208.1379999999999</v>
      </c>
      <c r="CD3" s="58">
        <f>+BZ3*1.15</f>
        <v>2599.5059999999999</v>
      </c>
      <c r="CE3" s="58"/>
      <c r="CF3" s="58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DA3" s="55">
        <f>SUM(BO3:BR3)</f>
        <v>5068.2</v>
      </c>
      <c r="DB3" s="55">
        <f>SUM(BS3:BV3)</f>
        <v>6471.8</v>
      </c>
      <c r="DC3" s="55">
        <f>SUM(BW3:BZ3)</f>
        <v>7802.9699999999993</v>
      </c>
      <c r="DD3" s="55">
        <f>SUM(CA3:CD3)</f>
        <v>8973.4154999999992</v>
      </c>
      <c r="DE3" s="55">
        <f>+DD3*1.1</f>
        <v>9870.7570500000002</v>
      </c>
      <c r="DF3" s="55">
        <f>+DE3*1.01</f>
        <v>9969.4646205000008</v>
      </c>
      <c r="DG3" s="55">
        <f>+DF3*1.01</f>
        <v>10069.159266705001</v>
      </c>
      <c r="DH3" s="55">
        <f>+DG3*0.95</f>
        <v>9565.7013033697513</v>
      </c>
      <c r="DI3" s="55">
        <f>+DH3*0.95</f>
        <v>9087.4162382012637</v>
      </c>
      <c r="DJ3" s="55">
        <f>+DI3*0.95</f>
        <v>8633.0454262912008</v>
      </c>
      <c r="DK3" s="55">
        <f>+DJ3*0.9</f>
        <v>7769.7408836620807</v>
      </c>
    </row>
    <row r="4" spans="1:115" s="55" customFormat="1">
      <c r="B4" s="56" t="s">
        <v>462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DD4" s="55">
        <v>100</v>
      </c>
      <c r="DE4" s="55">
        <v>700</v>
      </c>
      <c r="DF4" s="55">
        <v>1500</v>
      </c>
      <c r="DG4" s="55">
        <v>3000</v>
      </c>
      <c r="DH4" s="55">
        <v>4500</v>
      </c>
      <c r="DI4" s="55">
        <f>+DH4*1.5</f>
        <v>6750</v>
      </c>
      <c r="DJ4" s="55">
        <f>+DI4*1.2</f>
        <v>8100</v>
      </c>
      <c r="DK4" s="55">
        <f t="shared" ref="DK4" si="2">+DJ4*1.2</f>
        <v>9720</v>
      </c>
    </row>
    <row r="5" spans="1:115" s="55" customFormat="1">
      <c r="B5" s="56" t="s">
        <v>381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871.2</v>
      </c>
      <c r="BS5" s="58">
        <v>810.1</v>
      </c>
      <c r="BT5" s="58">
        <v>148.9</v>
      </c>
      <c r="BU5" s="58">
        <v>217.1</v>
      </c>
      <c r="BV5" s="58">
        <v>1063.0999999999999</v>
      </c>
      <c r="BW5" s="58">
        <v>1469.8</v>
      </c>
      <c r="BX5" s="58">
        <v>500</v>
      </c>
      <c r="BY5" s="58">
        <v>250</v>
      </c>
      <c r="BZ5" s="58">
        <v>100</v>
      </c>
      <c r="CA5" s="58">
        <v>0</v>
      </c>
      <c r="CB5" s="58">
        <v>0</v>
      </c>
      <c r="CC5" s="58">
        <v>0</v>
      </c>
      <c r="CD5" s="58">
        <v>0</v>
      </c>
      <c r="CE5" s="58"/>
      <c r="CF5" s="58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DA5" s="55">
        <f>SUM(BO5:BR5)</f>
        <v>871.2</v>
      </c>
      <c r="DB5" s="55">
        <f>SUM(BS5:BV5)</f>
        <v>2239.1999999999998</v>
      </c>
      <c r="DC5" s="55">
        <f>SUM(BW5:BZ5)</f>
        <v>2319.8000000000002</v>
      </c>
      <c r="DD5" s="55">
        <f>SUM(CA5:CD5)</f>
        <v>0</v>
      </c>
    </row>
    <row r="6" spans="1:115">
      <c r="B6" s="52" t="s">
        <v>54</v>
      </c>
      <c r="C6" s="57">
        <v>267.2</v>
      </c>
      <c r="D6" s="57">
        <v>285.3</v>
      </c>
      <c r="E6" s="57">
        <v>264.60000000000002</v>
      </c>
      <c r="F6" s="57">
        <v>284.60000000000002</v>
      </c>
      <c r="G6" s="57">
        <v>286.2</v>
      </c>
      <c r="H6" s="57">
        <v>296.2</v>
      </c>
      <c r="I6" s="57">
        <f>M6/1.05</f>
        <v>306.66666666666663</v>
      </c>
      <c r="J6" s="57">
        <v>309.10000000000002</v>
      </c>
      <c r="K6" s="57">
        <v>305</v>
      </c>
      <c r="L6" s="57">
        <v>321</v>
      </c>
      <c r="M6" s="57">
        <v>322</v>
      </c>
      <c r="N6" s="57">
        <v>352.2</v>
      </c>
      <c r="O6" s="57">
        <v>339.5</v>
      </c>
      <c r="P6" s="57">
        <v>358.4</v>
      </c>
      <c r="Q6" s="57">
        <v>362.5</v>
      </c>
      <c r="R6" s="57">
        <v>414.2</v>
      </c>
      <c r="S6" s="57">
        <v>407.4</v>
      </c>
      <c r="T6" s="57">
        <v>437.9</v>
      </c>
      <c r="U6" s="57">
        <v>432.6</v>
      </c>
      <c r="V6" s="57">
        <v>457.9</v>
      </c>
      <c r="W6" s="57">
        <v>450.6</v>
      </c>
      <c r="X6" s="57">
        <v>477.5</v>
      </c>
      <c r="Y6" s="57">
        <v>500.2</v>
      </c>
      <c r="Z6" s="57">
        <v>530.79999999999995</v>
      </c>
      <c r="AA6" s="57">
        <v>506.4</v>
      </c>
      <c r="AB6" s="57">
        <v>504.6</v>
      </c>
      <c r="AC6" s="57">
        <v>494</v>
      </c>
      <c r="AD6" s="57">
        <v>549.1</v>
      </c>
      <c r="AE6" s="57">
        <v>525.4</v>
      </c>
      <c r="AF6" s="57">
        <v>586.9</v>
      </c>
      <c r="AG6" s="57">
        <v>593.20000000000005</v>
      </c>
      <c r="AH6" s="57">
        <v>662</v>
      </c>
      <c r="AI6" s="57">
        <v>590.29999999999995</v>
      </c>
      <c r="AJ6" s="57">
        <v>613.4</v>
      </c>
      <c r="AK6" s="57">
        <v>575.79999999999995</v>
      </c>
      <c r="AL6" s="57">
        <f t="shared" ref="AL6:AP6" si="3">+AK6-5</f>
        <v>570.79999999999995</v>
      </c>
      <c r="AM6" s="57">
        <f t="shared" si="3"/>
        <v>565.79999999999995</v>
      </c>
      <c r="AN6" s="57">
        <f t="shared" si="3"/>
        <v>560.79999999999995</v>
      </c>
      <c r="AO6" s="57">
        <f t="shared" si="3"/>
        <v>555.79999999999995</v>
      </c>
      <c r="AP6" s="57">
        <f t="shared" si="3"/>
        <v>550.79999999999995</v>
      </c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>
        <v>730.8</v>
      </c>
      <c r="BL6" s="57">
        <v>677.6</v>
      </c>
      <c r="BM6" s="57">
        <v>648.9</v>
      </c>
      <c r="BN6" s="57">
        <v>763.4</v>
      </c>
      <c r="BO6" s="57">
        <v>695.8</v>
      </c>
      <c r="BP6" s="57">
        <v>555.1</v>
      </c>
      <c r="BQ6" s="57">
        <v>656.9</v>
      </c>
      <c r="BR6" s="57">
        <v>718.1</v>
      </c>
      <c r="BS6" s="57">
        <f>332.7+284.4</f>
        <v>617.09999999999991</v>
      </c>
      <c r="BT6" s="57">
        <v>607.6</v>
      </c>
      <c r="BU6" s="57">
        <v>626.70000000000005</v>
      </c>
      <c r="BV6" s="57">
        <v>601.70000000000005</v>
      </c>
      <c r="BW6" s="57">
        <f>368.9+249.3</f>
        <v>618.20000000000005</v>
      </c>
      <c r="BX6" s="57">
        <f t="shared" ref="BX6:CD6" si="4">+BT6*0.98</f>
        <v>595.44799999999998</v>
      </c>
      <c r="BY6" s="57">
        <f t="shared" si="4"/>
        <v>614.16600000000005</v>
      </c>
      <c r="BZ6" s="57">
        <f t="shared" si="4"/>
        <v>589.66600000000005</v>
      </c>
      <c r="CA6" s="57">
        <f t="shared" si="4"/>
        <v>605.83600000000001</v>
      </c>
      <c r="CB6" s="57">
        <f t="shared" si="4"/>
        <v>583.53904</v>
      </c>
      <c r="CC6" s="57">
        <f t="shared" si="4"/>
        <v>601.88268000000005</v>
      </c>
      <c r="CD6" s="57">
        <f t="shared" si="4"/>
        <v>577.87268000000006</v>
      </c>
      <c r="CE6" s="57"/>
      <c r="CF6" s="57"/>
      <c r="CG6" s="55"/>
      <c r="CH6" s="57"/>
      <c r="CI6" s="57">
        <v>834</v>
      </c>
      <c r="CJ6" s="57">
        <v>1021</v>
      </c>
      <c r="CK6" s="57">
        <v>1101</v>
      </c>
      <c r="CL6" s="57">
        <v>1198</v>
      </c>
      <c r="CM6" s="57">
        <f>SUM(K6:N6)</f>
        <v>1300.2</v>
      </c>
      <c r="CN6" s="57">
        <f t="shared" ref="CN6:CN11" si="5">SUM(O6:R6)</f>
        <v>1474.6000000000001</v>
      </c>
      <c r="CO6" s="57">
        <f t="shared" ref="CO6:CO33" si="6">SUM(S6:V6)</f>
        <v>1735.8000000000002</v>
      </c>
      <c r="CP6" s="57">
        <f t="shared" ref="CP6:CP33" si="7">SUM(W6:Z6)</f>
        <v>1959.1</v>
      </c>
      <c r="CQ6" s="57">
        <f t="shared" ref="CQ6:CQ33" si="8">SUM(AA6:AD6)</f>
        <v>2054.1</v>
      </c>
      <c r="CR6" s="57">
        <f t="shared" ref="CR6:CR34" si="9">SUM(AE6:AH6)</f>
        <v>2367.5</v>
      </c>
      <c r="CS6" s="57">
        <f>SUM(AI6:AL6)</f>
        <v>2350.2999999999997</v>
      </c>
      <c r="CT6" s="57">
        <f>CS6*0.99</f>
        <v>2326.7969999999996</v>
      </c>
      <c r="CU6" s="57">
        <f t="shared" ref="CU6" si="10">CT6*0.99</f>
        <v>2303.5290299999997</v>
      </c>
      <c r="CV6" s="57"/>
      <c r="CW6" s="57"/>
      <c r="CX6" s="57"/>
      <c r="CY6" s="57"/>
      <c r="CZ6" s="57"/>
      <c r="DA6" s="55">
        <f>SUM(BO6:BR6)</f>
        <v>2625.9</v>
      </c>
      <c r="DB6" s="55">
        <f>SUM(BS6:BV6)</f>
        <v>2453.1</v>
      </c>
      <c r="DC6" s="55">
        <f>SUM(BW6:BZ6)</f>
        <v>2417.4800000000005</v>
      </c>
      <c r="DD6" s="55">
        <f>SUM(CA6:CD6)</f>
        <v>2369.1304</v>
      </c>
      <c r="DE6" s="55">
        <f>+DD6*0.95</f>
        <v>2250.6738799999998</v>
      </c>
      <c r="DF6" s="55">
        <f t="shared" ref="DF6:DK6" si="11">+DE6*0.95</f>
        <v>2138.1401859999996</v>
      </c>
      <c r="DG6" s="55">
        <f t="shared" si="11"/>
        <v>2031.2331766999996</v>
      </c>
      <c r="DH6" s="55">
        <f t="shared" si="11"/>
        <v>1929.6715178649995</v>
      </c>
      <c r="DI6" s="55">
        <f t="shared" si="11"/>
        <v>1833.1879419717495</v>
      </c>
      <c r="DJ6" s="55">
        <f t="shared" si="11"/>
        <v>1741.528544873162</v>
      </c>
      <c r="DK6" s="55">
        <f t="shared" si="11"/>
        <v>1654.4521176295038</v>
      </c>
    </row>
    <row r="7" spans="1:115">
      <c r="B7" s="59" t="s">
        <v>377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>
        <v>252.5</v>
      </c>
      <c r="BL7" s="58">
        <v>353.8</v>
      </c>
      <c r="BM7" s="58">
        <v>340</v>
      </c>
      <c r="BN7" s="58">
        <v>420.1</v>
      </c>
      <c r="BO7" s="58">
        <v>443.5</v>
      </c>
      <c r="BP7" s="58">
        <v>395.2</v>
      </c>
      <c r="BQ7" s="58">
        <v>454.5</v>
      </c>
      <c r="BR7" s="58">
        <v>495.3</v>
      </c>
      <c r="BS7" s="58">
        <v>403.2</v>
      </c>
      <c r="BT7" s="58">
        <v>569.1</v>
      </c>
      <c r="BU7" s="58">
        <v>593.1</v>
      </c>
      <c r="BV7" s="58">
        <v>647.4</v>
      </c>
      <c r="BW7" s="58">
        <v>488.1</v>
      </c>
      <c r="BX7" s="58">
        <f>+BT7*1.2</f>
        <v>682.92</v>
      </c>
      <c r="BY7" s="58">
        <f t="shared" ref="BY7:CD7" si="12">+BU7*1.2</f>
        <v>711.72</v>
      </c>
      <c r="BZ7" s="58">
        <f t="shared" si="12"/>
        <v>776.88</v>
      </c>
      <c r="CA7" s="58">
        <f t="shared" si="12"/>
        <v>585.72</v>
      </c>
      <c r="CB7" s="58">
        <f t="shared" si="12"/>
        <v>819.50399999999991</v>
      </c>
      <c r="CC7" s="58">
        <f t="shared" si="12"/>
        <v>854.06399999999996</v>
      </c>
      <c r="CD7" s="58">
        <f t="shared" si="12"/>
        <v>932.25599999999997</v>
      </c>
      <c r="CE7" s="58"/>
      <c r="CF7" s="58"/>
      <c r="CG7" s="55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5">
        <f>SUM(BO7:BR7)</f>
        <v>1788.5</v>
      </c>
      <c r="DB7" s="55">
        <f>SUM(BS7:BV7)</f>
        <v>2212.8000000000002</v>
      </c>
      <c r="DC7" s="55">
        <f>SUM(BW7:BZ7)</f>
        <v>2659.62</v>
      </c>
      <c r="DD7" s="55">
        <f>SUM(CA7:CD7)</f>
        <v>3191.5439999999999</v>
      </c>
      <c r="DE7" s="55">
        <f>+DD7*1.2</f>
        <v>3829.8527999999997</v>
      </c>
      <c r="DF7" s="55">
        <f>+DE7*1.2</f>
        <v>4595.8233599999994</v>
      </c>
      <c r="DG7" s="55">
        <f>+DF7*1.2</f>
        <v>5514.9880319999993</v>
      </c>
      <c r="DH7" s="55">
        <f>+DG7*1.1</f>
        <v>6066.4868351999994</v>
      </c>
      <c r="DI7" s="55">
        <f>+DH7*1.1</f>
        <v>6673.1355187199997</v>
      </c>
      <c r="DJ7" s="55">
        <f>+DI7*1.1</f>
        <v>7340.4490705920007</v>
      </c>
      <c r="DK7" s="55">
        <f>+DJ7*1.05</f>
        <v>7707.4715241216009</v>
      </c>
    </row>
    <row r="8" spans="1:115">
      <c r="B8" s="59" t="s">
        <v>374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>
        <v>109.4</v>
      </c>
      <c r="BL8" s="57">
        <v>133.9</v>
      </c>
      <c r="BM8" s="57">
        <v>157.19999999999999</v>
      </c>
      <c r="BN8" s="57">
        <v>179.1</v>
      </c>
      <c r="BO8" s="57">
        <v>188</v>
      </c>
      <c r="BP8" s="57">
        <v>208.6</v>
      </c>
      <c r="BQ8" s="57">
        <v>234.4</v>
      </c>
      <c r="BR8" s="57">
        <v>281.60000000000002</v>
      </c>
      <c r="BS8" s="57">
        <v>269</v>
      </c>
      <c r="BT8" s="57">
        <v>341.3</v>
      </c>
      <c r="BU8" s="57">
        <v>335.5</v>
      </c>
      <c r="BV8" s="57">
        <v>404.1</v>
      </c>
      <c r="BW8" s="57">
        <v>469.4</v>
      </c>
      <c r="BX8" s="57">
        <f>+BT8*1.3</f>
        <v>443.69000000000005</v>
      </c>
      <c r="BY8" s="57">
        <f>+BU8*1.3</f>
        <v>436.15000000000003</v>
      </c>
      <c r="BZ8" s="57">
        <f t="shared" ref="BZ8:CB9" si="13">+BV8*1.2</f>
        <v>484.92</v>
      </c>
      <c r="CA8" s="57">
        <f t="shared" si="13"/>
        <v>563.28</v>
      </c>
      <c r="CB8" s="57">
        <f t="shared" si="13"/>
        <v>532.428</v>
      </c>
      <c r="CC8" s="57">
        <f>+BY8*1.15</f>
        <v>501.57249999999999</v>
      </c>
      <c r="CD8" s="57">
        <f>+BZ8*1.15</f>
        <v>557.65800000000002</v>
      </c>
      <c r="CE8" s="57"/>
      <c r="CF8" s="57"/>
      <c r="CG8" s="55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60"/>
      <c r="CZ8" s="61"/>
      <c r="DA8" s="55">
        <f>SUM(BO8:BR8)</f>
        <v>912.6</v>
      </c>
      <c r="DB8" s="55">
        <f>SUM(BS8:BV8)</f>
        <v>1349.9</v>
      </c>
      <c r="DC8" s="55">
        <f>SUM(BW8:BZ8)</f>
        <v>1834.16</v>
      </c>
      <c r="DD8" s="55">
        <f>SUM(CA8:CD8)</f>
        <v>2154.9385000000002</v>
      </c>
      <c r="DE8" s="55">
        <f>+DD8*1.2</f>
        <v>2585.9262000000003</v>
      </c>
      <c r="DF8" s="55">
        <f>+DE8*1.01</f>
        <v>2611.7854620000003</v>
      </c>
      <c r="DG8" s="55">
        <f>+DF8*1.01</f>
        <v>2637.9033166200002</v>
      </c>
      <c r="DH8" s="55">
        <f>+DG8*1.01</f>
        <v>2664.2823497862</v>
      </c>
      <c r="DI8" s="55">
        <f>+DH8*1.01</f>
        <v>2690.9251732840621</v>
      </c>
      <c r="DJ8" s="55">
        <f>+DI8*1.01</f>
        <v>2717.834425016903</v>
      </c>
      <c r="DK8" s="55">
        <f>+DJ8*0.1</f>
        <v>271.78344250169033</v>
      </c>
    </row>
    <row r="9" spans="1:115">
      <c r="B9" s="59" t="s">
        <v>373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>
        <v>203.6</v>
      </c>
      <c r="BL9" s="57">
        <v>231.9</v>
      </c>
      <c r="BM9" s="57">
        <v>240.7</v>
      </c>
      <c r="BN9" s="57">
        <v>268</v>
      </c>
      <c r="BO9" s="57">
        <v>267.5</v>
      </c>
      <c r="BP9" s="57">
        <v>262</v>
      </c>
      <c r="BQ9" s="57">
        <v>310.8</v>
      </c>
      <c r="BR9" s="57">
        <v>313.60000000000002</v>
      </c>
      <c r="BS9" s="57">
        <v>312</v>
      </c>
      <c r="BT9" s="57">
        <v>356.5</v>
      </c>
      <c r="BU9" s="57">
        <v>390.4</v>
      </c>
      <c r="BV9" s="57">
        <v>431.9</v>
      </c>
      <c r="BW9" s="57">
        <v>419.4</v>
      </c>
      <c r="BX9" s="57">
        <f>+BT9*1.2</f>
        <v>427.8</v>
      </c>
      <c r="BY9" s="57">
        <f>+BU9*1.2</f>
        <v>468.47999999999996</v>
      </c>
      <c r="BZ9" s="57">
        <f t="shared" si="13"/>
        <v>518.28</v>
      </c>
      <c r="CA9" s="57">
        <f t="shared" si="13"/>
        <v>503.28</v>
      </c>
      <c r="CB9" s="57">
        <f t="shared" si="13"/>
        <v>513.36</v>
      </c>
      <c r="CC9" s="57">
        <f>+BY9*1.2</f>
        <v>562.17599999999993</v>
      </c>
      <c r="CD9" s="57">
        <f>+BZ9*1.2</f>
        <v>621.93599999999992</v>
      </c>
      <c r="CE9" s="57"/>
      <c r="CF9" s="57"/>
      <c r="CG9" s="55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5">
        <f>SUM(BO9:BR9)</f>
        <v>1153.9000000000001</v>
      </c>
      <c r="DB9" s="55">
        <f>SUM(BS9:BV9)</f>
        <v>1490.8000000000002</v>
      </c>
      <c r="DC9" s="55">
        <f>SUM(BW9:BZ9)</f>
        <v>1833.96</v>
      </c>
      <c r="DD9" s="55">
        <f>SUM(CA9:CD9)</f>
        <v>2200.7519999999995</v>
      </c>
      <c r="DE9" s="55">
        <f>+DD9*1.2</f>
        <v>2640.9023999999995</v>
      </c>
      <c r="DF9" s="55">
        <f>+DE9*1.2</f>
        <v>3169.0828799999995</v>
      </c>
      <c r="DG9" s="55">
        <f>+DF9*1.2</f>
        <v>3802.8994559999992</v>
      </c>
      <c r="DH9" s="55">
        <f>+DG9*1.1</f>
        <v>4183.1894015999997</v>
      </c>
      <c r="DI9" s="55">
        <f>+DH9*1.1</f>
        <v>4601.5083417599999</v>
      </c>
      <c r="DJ9" s="55">
        <f>+DI9*1.1</f>
        <v>5061.6591759359999</v>
      </c>
      <c r="DK9" s="55">
        <f>+DJ9*0.1</f>
        <v>506.1659175936</v>
      </c>
    </row>
    <row r="10" spans="1:115">
      <c r="B10" s="52" t="s">
        <v>19</v>
      </c>
      <c r="C10" s="57">
        <v>11.6</v>
      </c>
      <c r="D10" s="57">
        <v>17.8</v>
      </c>
      <c r="E10" s="57">
        <v>40</v>
      </c>
      <c r="F10" s="57">
        <v>73.099999999999994</v>
      </c>
      <c r="G10" s="57">
        <v>93.9</v>
      </c>
      <c r="H10" s="57">
        <v>111.2</v>
      </c>
      <c r="I10" s="57">
        <v>122.3</v>
      </c>
      <c r="J10" s="57">
        <v>135.80000000000001</v>
      </c>
      <c r="K10" s="57">
        <v>130</v>
      </c>
      <c r="L10" s="57">
        <v>153</v>
      </c>
      <c r="M10" s="57">
        <v>157</v>
      </c>
      <c r="N10" s="57">
        <v>171.4</v>
      </c>
      <c r="O10" s="57">
        <v>187.8</v>
      </c>
      <c r="P10" s="57">
        <v>207.1</v>
      </c>
      <c r="Q10" s="57">
        <v>215</v>
      </c>
      <c r="R10" s="57">
        <v>244.1</v>
      </c>
      <c r="S10" s="57">
        <v>247.2</v>
      </c>
      <c r="T10" s="57">
        <v>275</v>
      </c>
      <c r="U10" s="57">
        <v>313.89999999999998</v>
      </c>
      <c r="V10" s="57">
        <v>318.7</v>
      </c>
      <c r="W10" s="57">
        <v>335.3</v>
      </c>
      <c r="X10" s="57">
        <v>385.3</v>
      </c>
      <c r="Y10" s="57">
        <v>461.9</v>
      </c>
      <c r="Z10" s="57">
        <v>523.6</v>
      </c>
      <c r="AA10" s="57">
        <v>527.4</v>
      </c>
      <c r="AB10" s="57">
        <v>551.79999999999995</v>
      </c>
      <c r="AC10" s="57">
        <v>560.29999999999995</v>
      </c>
      <c r="AD10" s="57">
        <v>569</v>
      </c>
      <c r="AE10" s="57">
        <v>579.9</v>
      </c>
      <c r="AF10" s="57">
        <v>613.4</v>
      </c>
      <c r="AG10" s="57">
        <v>629.70000000000005</v>
      </c>
      <c r="AH10" s="57">
        <v>638.1</v>
      </c>
      <c r="AI10" s="57">
        <v>606.79999999999995</v>
      </c>
      <c r="AJ10" s="57">
        <v>659.5</v>
      </c>
      <c r="AK10" s="57">
        <v>643.6</v>
      </c>
      <c r="AL10" s="57">
        <f t="shared" ref="AL10:AP10" si="14">+AK10</f>
        <v>643.6</v>
      </c>
      <c r="AM10" s="57">
        <f t="shared" si="14"/>
        <v>643.6</v>
      </c>
      <c r="AN10" s="57">
        <f t="shared" si="14"/>
        <v>643.6</v>
      </c>
      <c r="AO10" s="57">
        <f t="shared" si="14"/>
        <v>643.6</v>
      </c>
      <c r="AP10" s="57">
        <f t="shared" si="14"/>
        <v>643.6</v>
      </c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>
        <v>499.2</v>
      </c>
      <c r="BL10" s="57">
        <v>577.79999999999995</v>
      </c>
      <c r="BM10" s="57">
        <v>508.2</v>
      </c>
      <c r="BN10" s="57">
        <v>530.70000000000005</v>
      </c>
      <c r="BO10" s="57">
        <v>560.1</v>
      </c>
      <c r="BP10" s="57">
        <v>539.1</v>
      </c>
      <c r="BQ10" s="57">
        <v>578</v>
      </c>
      <c r="BR10" s="57">
        <v>652.70000000000005</v>
      </c>
      <c r="BS10" s="57">
        <v>559</v>
      </c>
      <c r="BT10" s="57">
        <v>610.6</v>
      </c>
      <c r="BU10" s="57">
        <v>457</v>
      </c>
      <c r="BV10" s="57">
        <v>434.9</v>
      </c>
      <c r="BW10" s="57">
        <v>343.9</v>
      </c>
      <c r="BX10" s="57">
        <f t="shared" ref="BX10:CD10" si="15">+BW10-20</f>
        <v>323.89999999999998</v>
      </c>
      <c r="BY10" s="57">
        <f t="shared" si="15"/>
        <v>303.89999999999998</v>
      </c>
      <c r="BZ10" s="57">
        <f t="shared" si="15"/>
        <v>283.89999999999998</v>
      </c>
      <c r="CA10" s="57">
        <f t="shared" si="15"/>
        <v>263.89999999999998</v>
      </c>
      <c r="CB10" s="57">
        <f t="shared" si="15"/>
        <v>243.89999999999998</v>
      </c>
      <c r="CC10" s="57">
        <f t="shared" si="15"/>
        <v>223.89999999999998</v>
      </c>
      <c r="CD10" s="57">
        <f t="shared" si="15"/>
        <v>203.89999999999998</v>
      </c>
      <c r="CE10" s="57"/>
      <c r="CF10" s="57"/>
      <c r="CG10" s="55"/>
      <c r="CH10" s="57"/>
      <c r="CI10" s="57"/>
      <c r="CJ10" s="57"/>
      <c r="CK10" s="57">
        <v>143</v>
      </c>
      <c r="CL10" s="57">
        <v>463</v>
      </c>
      <c r="CM10" s="57">
        <v>619</v>
      </c>
      <c r="CN10" s="57">
        <f>SUM(O10:R10)</f>
        <v>854</v>
      </c>
      <c r="CO10" s="57">
        <f>SUM(S10:V10)</f>
        <v>1154.8</v>
      </c>
      <c r="CP10" s="57">
        <f>SUM(W10:Z10)</f>
        <v>1706.1</v>
      </c>
      <c r="CQ10" s="57">
        <f>SUM(AA10:AD10)</f>
        <v>2208.5</v>
      </c>
      <c r="CR10" s="57">
        <f>SUM(AE10:AH10)</f>
        <v>2461.1</v>
      </c>
      <c r="CS10" s="57">
        <f>SUM(AI10:AL10)</f>
        <v>2553.5</v>
      </c>
      <c r="CT10" s="57">
        <f>CS10*1.15</f>
        <v>2936.5249999999996</v>
      </c>
      <c r="CU10" s="57">
        <f>CT10</f>
        <v>2936.5249999999996</v>
      </c>
      <c r="CV10" s="57">
        <f>CU10</f>
        <v>2936.5249999999996</v>
      </c>
      <c r="CW10" s="57">
        <f>CV10*0.5</f>
        <v>1468.2624999999998</v>
      </c>
      <c r="CX10" s="57"/>
      <c r="CY10" s="60"/>
      <c r="CZ10" s="60"/>
      <c r="DA10" s="55">
        <f>SUM(BO10:BR10)</f>
        <v>2329.9</v>
      </c>
      <c r="DB10" s="55">
        <f>SUM(BS10:BV10)</f>
        <v>2061.5</v>
      </c>
      <c r="DC10" s="55">
        <f>SUM(BW10:BZ10)</f>
        <v>1255.5999999999999</v>
      </c>
      <c r="DD10" s="55">
        <f>SUM(CA10:CD10)</f>
        <v>935.59999999999991</v>
      </c>
      <c r="DE10" s="55">
        <f>+DD10*0.5</f>
        <v>467.79999999999995</v>
      </c>
      <c r="DF10" s="55">
        <f t="shared" ref="DF10:DK10" si="16">+DE10*0.5</f>
        <v>233.89999999999998</v>
      </c>
      <c r="DG10" s="55">
        <f t="shared" si="16"/>
        <v>116.94999999999999</v>
      </c>
      <c r="DH10" s="55">
        <f t="shared" si="16"/>
        <v>58.474999999999994</v>
      </c>
      <c r="DI10" s="55">
        <f t="shared" si="16"/>
        <v>29.237499999999997</v>
      </c>
      <c r="DJ10" s="55">
        <f t="shared" si="16"/>
        <v>14.618749999999999</v>
      </c>
      <c r="DK10" s="55">
        <f t="shared" si="16"/>
        <v>7.3093749999999993</v>
      </c>
    </row>
    <row r="11" spans="1:115">
      <c r="B11" s="52" t="s">
        <v>57</v>
      </c>
      <c r="C11" s="57">
        <v>249.4</v>
      </c>
      <c r="D11" s="57">
        <v>259.3</v>
      </c>
      <c r="E11" s="57">
        <v>243.7</v>
      </c>
      <c r="F11" s="57">
        <v>245.2</v>
      </c>
      <c r="G11" s="57">
        <v>256.89999999999998</v>
      </c>
      <c r="H11" s="57">
        <v>249.8</v>
      </c>
      <c r="I11" s="57">
        <v>250.9</v>
      </c>
      <c r="J11" s="57">
        <v>247.2</v>
      </c>
      <c r="K11" s="57">
        <v>219</v>
      </c>
      <c r="L11" s="57">
        <v>220</v>
      </c>
      <c r="M11" s="57">
        <v>230</v>
      </c>
      <c r="N11" s="57">
        <v>257</v>
      </c>
      <c r="O11" s="57">
        <v>225.8</v>
      </c>
      <c r="P11" s="57">
        <v>242.8</v>
      </c>
      <c r="Q11" s="57">
        <v>243.3</v>
      </c>
      <c r="R11" s="57">
        <v>273.39999999999998</v>
      </c>
      <c r="S11" s="57">
        <v>257.7</v>
      </c>
      <c r="T11" s="57">
        <v>271.39999999999998</v>
      </c>
      <c r="U11" s="57">
        <v>271.60000000000002</v>
      </c>
      <c r="V11" s="57">
        <v>262.39999999999998</v>
      </c>
      <c r="W11" s="57">
        <v>240.6</v>
      </c>
      <c r="X11" s="57">
        <v>248.1</v>
      </c>
      <c r="Y11" s="57">
        <v>260.39999999999998</v>
      </c>
      <c r="Z11" s="57">
        <v>273</v>
      </c>
      <c r="AA11" s="57">
        <v>257.8</v>
      </c>
      <c r="AB11" s="57">
        <v>265.2</v>
      </c>
      <c r="AC11" s="57">
        <v>278</v>
      </c>
      <c r="AD11" s="57">
        <v>287.89999999999998</v>
      </c>
      <c r="AE11" s="57">
        <v>289.8</v>
      </c>
      <c r="AF11" s="57">
        <v>311.8</v>
      </c>
      <c r="AG11" s="57">
        <v>301.5</v>
      </c>
      <c r="AH11" s="57">
        <v>345.6</v>
      </c>
      <c r="AI11" s="57">
        <v>307.7</v>
      </c>
      <c r="AJ11" s="57">
        <v>303</v>
      </c>
      <c r="AK11" s="57">
        <v>285.39999999999998</v>
      </c>
      <c r="AL11" s="57">
        <f t="shared" ref="AL11:AP11" si="17">+AK11</f>
        <v>285.39999999999998</v>
      </c>
      <c r="AM11" s="57">
        <f t="shared" si="17"/>
        <v>285.39999999999998</v>
      </c>
      <c r="AN11" s="57">
        <f t="shared" si="17"/>
        <v>285.39999999999998</v>
      </c>
      <c r="AO11" s="57">
        <f t="shared" si="17"/>
        <v>285.39999999999998</v>
      </c>
      <c r="AP11" s="57">
        <f t="shared" si="17"/>
        <v>285.39999999999998</v>
      </c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>
        <v>297.7</v>
      </c>
      <c r="BL11" s="57">
        <v>322.60000000000002</v>
      </c>
      <c r="BM11" s="57">
        <v>321.8</v>
      </c>
      <c r="BN11" s="57">
        <v>348</v>
      </c>
      <c r="BO11" s="57">
        <v>315.7</v>
      </c>
      <c r="BP11" s="57">
        <v>313.60000000000002</v>
      </c>
      <c r="BQ11" s="57">
        <v>305.89999999999998</v>
      </c>
      <c r="BR11" s="57">
        <v>324.39999999999998</v>
      </c>
      <c r="BS11" s="57">
        <f>219+102.7</f>
        <v>321.7</v>
      </c>
      <c r="BT11" s="57">
        <v>315.3</v>
      </c>
      <c r="BU11" s="57">
        <v>286.7</v>
      </c>
      <c r="BV11" s="57">
        <v>298.8</v>
      </c>
      <c r="BW11" s="57">
        <f>190.4+82.8</f>
        <v>273.2</v>
      </c>
      <c r="BX11" s="57">
        <f t="shared" ref="BX11:CD11" si="18">+BT11*0.9</f>
        <v>283.77000000000004</v>
      </c>
      <c r="BY11" s="57">
        <f t="shared" si="18"/>
        <v>258.02999999999997</v>
      </c>
      <c r="BZ11" s="57">
        <f t="shared" si="18"/>
        <v>268.92</v>
      </c>
      <c r="CA11" s="57">
        <f t="shared" si="18"/>
        <v>245.88</v>
      </c>
      <c r="CB11" s="57">
        <f t="shared" si="18"/>
        <v>255.39300000000003</v>
      </c>
      <c r="CC11" s="57">
        <f t="shared" si="18"/>
        <v>232.22699999999998</v>
      </c>
      <c r="CD11" s="57">
        <f t="shared" si="18"/>
        <v>242.02800000000002</v>
      </c>
      <c r="CE11" s="57"/>
      <c r="CF11" s="57"/>
      <c r="CG11" s="55"/>
      <c r="CH11" s="57"/>
      <c r="CI11" s="57">
        <v>1004</v>
      </c>
      <c r="CJ11" s="57">
        <v>1060</v>
      </c>
      <c r="CK11" s="57">
        <v>997</v>
      </c>
      <c r="CL11" s="57">
        <v>1005</v>
      </c>
      <c r="CM11" s="57">
        <v>905</v>
      </c>
      <c r="CN11" s="57">
        <f t="shared" si="5"/>
        <v>985.30000000000007</v>
      </c>
      <c r="CO11" s="57">
        <f t="shared" si="6"/>
        <v>1063.0999999999999</v>
      </c>
      <c r="CP11" s="57">
        <f t="shared" si="7"/>
        <v>1022.0999999999999</v>
      </c>
      <c r="CQ11" s="57">
        <f t="shared" si="8"/>
        <v>1088.9000000000001</v>
      </c>
      <c r="CR11" s="57">
        <f t="shared" si="9"/>
        <v>1248.7</v>
      </c>
      <c r="CS11" s="57">
        <f>SUM(AI11:AL11)</f>
        <v>1181.5</v>
      </c>
      <c r="CT11" s="57">
        <f>CS11*0.99</f>
        <v>1169.6849999999999</v>
      </c>
      <c r="CU11" s="57">
        <f t="shared" ref="CU11:CW11" si="19">CT11*0.99</f>
        <v>1157.9881499999999</v>
      </c>
      <c r="CV11" s="57">
        <f t="shared" si="19"/>
        <v>1146.4082684999998</v>
      </c>
      <c r="CW11" s="57">
        <f t="shared" si="19"/>
        <v>1134.9441858149999</v>
      </c>
      <c r="CX11" s="57"/>
      <c r="CY11" s="57"/>
      <c r="CZ11" s="57"/>
      <c r="DA11" s="55">
        <f>SUM(BO11:BR11)</f>
        <v>1259.5999999999999</v>
      </c>
      <c r="DB11" s="55">
        <f>SUM(BS11:BV11)</f>
        <v>1222.5</v>
      </c>
      <c r="DC11" s="55">
        <f>SUM(BW11:BZ11)</f>
        <v>1083.92</v>
      </c>
      <c r="DD11" s="55">
        <f>SUM(CA11:CD11)</f>
        <v>975.52800000000002</v>
      </c>
      <c r="DE11" s="55">
        <f>+DD11*0.95</f>
        <v>926.75159999999994</v>
      </c>
      <c r="DF11" s="55">
        <f>+DE11*0.95</f>
        <v>880.41401999999994</v>
      </c>
      <c r="DG11" s="55">
        <f>+DF11*0.95</f>
        <v>836.39331899999991</v>
      </c>
      <c r="DH11" s="55">
        <f>+DG11*0.95</f>
        <v>794.57365304999985</v>
      </c>
      <c r="DI11" s="55">
        <f>+DH11*0.95</f>
        <v>754.84497039749976</v>
      </c>
      <c r="DJ11" s="55">
        <f>+DI11*0.95</f>
        <v>717.10272187762473</v>
      </c>
      <c r="DK11" s="55">
        <f>+DJ11*0.95</f>
        <v>681.24758578374349</v>
      </c>
    </row>
    <row r="12" spans="1:115">
      <c r="B12" s="59" t="s">
        <v>378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>
        <v>82.1</v>
      </c>
      <c r="BL12" s="58">
        <v>102.4</v>
      </c>
      <c r="BM12" s="58">
        <v>114.6</v>
      </c>
      <c r="BN12" s="58">
        <v>127.8</v>
      </c>
      <c r="BO12" s="58">
        <v>139.69999999999999</v>
      </c>
      <c r="BP12" s="58">
        <v>145</v>
      </c>
      <c r="BQ12" s="58">
        <v>162</v>
      </c>
      <c r="BR12" s="58">
        <v>192.2</v>
      </c>
      <c r="BS12" s="58">
        <v>193.8</v>
      </c>
      <c r="BT12" s="58">
        <v>208.4</v>
      </c>
      <c r="BU12" s="58">
        <v>406.9</v>
      </c>
      <c r="BV12" s="58">
        <v>306</v>
      </c>
      <c r="BW12" s="58">
        <v>255.6</v>
      </c>
      <c r="BX12" s="58">
        <f>+BT12*1.2</f>
        <v>250.07999999999998</v>
      </c>
      <c r="BY12" s="58">
        <f>+BU12*0.8</f>
        <v>325.52</v>
      </c>
      <c r="BZ12" s="58">
        <f>+BV12*1</f>
        <v>306</v>
      </c>
      <c r="CA12" s="58">
        <f>+BW12*1.1</f>
        <v>281.16000000000003</v>
      </c>
      <c r="CB12" s="58">
        <f>+BX12*1.1</f>
        <v>275.08800000000002</v>
      </c>
      <c r="CC12" s="58">
        <f>+BY12*1.05</f>
        <v>341.79599999999999</v>
      </c>
      <c r="CD12" s="58">
        <f>+BZ12*1.1</f>
        <v>336.6</v>
      </c>
      <c r="CE12" s="58"/>
      <c r="CF12" s="58"/>
      <c r="CG12" s="55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5">
        <f>SUM(BO12:BR12)</f>
        <v>638.9</v>
      </c>
      <c r="DB12" s="55">
        <f>SUM(BS12:BV12)</f>
        <v>1115.0999999999999</v>
      </c>
      <c r="DC12" s="55">
        <f>SUM(BW12:BZ12)</f>
        <v>1137.1999999999998</v>
      </c>
      <c r="DD12" s="55">
        <f>SUM(CA12:CD12)</f>
        <v>1234.6440000000002</v>
      </c>
      <c r="DE12" s="55">
        <f>+DD12*1.01</f>
        <v>1246.9904400000003</v>
      </c>
      <c r="DF12" s="55">
        <f t="shared" ref="DF12:DJ12" si="20">+DE12*1.01</f>
        <v>1259.4603444000002</v>
      </c>
      <c r="DG12" s="55">
        <f t="shared" si="20"/>
        <v>1272.0549478440003</v>
      </c>
      <c r="DH12" s="55">
        <f t="shared" si="20"/>
        <v>1284.7754973224403</v>
      </c>
      <c r="DI12" s="55">
        <f t="shared" si="20"/>
        <v>1297.6232522956648</v>
      </c>
      <c r="DJ12" s="55">
        <f t="shared" si="20"/>
        <v>1310.5994848186215</v>
      </c>
      <c r="DK12" s="55">
        <f>+DJ12*0.1</f>
        <v>131.05994848186216</v>
      </c>
    </row>
    <row r="13" spans="1:115">
      <c r="B13" s="59" t="s">
        <v>375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>
        <v>198.3</v>
      </c>
      <c r="BL13" s="57">
        <v>241.8</v>
      </c>
      <c r="BM13" s="57">
        <v>240</v>
      </c>
      <c r="BN13" s="57">
        <v>245.1</v>
      </c>
      <c r="BO13" s="57">
        <v>239</v>
      </c>
      <c r="BP13" s="57">
        <v>256.7</v>
      </c>
      <c r="BQ13" s="57">
        <v>252.7</v>
      </c>
      <c r="BR13" s="57">
        <v>284.2</v>
      </c>
      <c r="BS13" s="57">
        <v>240.5</v>
      </c>
      <c r="BT13" s="57">
        <v>268.7</v>
      </c>
      <c r="BU13" s="57">
        <v>253.4</v>
      </c>
      <c r="BV13" s="57">
        <v>270.39999999999998</v>
      </c>
      <c r="BW13" s="57">
        <v>230.3</v>
      </c>
      <c r="BX13" s="57">
        <f>+BS13*0.95</f>
        <v>228.47499999999999</v>
      </c>
      <c r="BY13" s="57">
        <f t="shared" ref="BY13:CD13" si="21">+BT13*0.95</f>
        <v>255.26499999999999</v>
      </c>
      <c r="BZ13" s="57">
        <f t="shared" si="21"/>
        <v>240.73</v>
      </c>
      <c r="CA13" s="57">
        <f t="shared" si="21"/>
        <v>256.87999999999994</v>
      </c>
      <c r="CB13" s="57">
        <f t="shared" si="21"/>
        <v>218.785</v>
      </c>
      <c r="CC13" s="57">
        <f t="shared" si="21"/>
        <v>217.05124999999998</v>
      </c>
      <c r="CD13" s="57">
        <f t="shared" si="21"/>
        <v>242.50174999999999</v>
      </c>
      <c r="CE13" s="57"/>
      <c r="CF13" s="57"/>
      <c r="CG13" s="55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60"/>
      <c r="CZ13" s="61"/>
      <c r="DA13" s="55">
        <f>SUM(BO13:BR13)</f>
        <v>1032.5999999999999</v>
      </c>
      <c r="DB13" s="55">
        <f>SUM(BS13:BV13)</f>
        <v>1033</v>
      </c>
      <c r="DC13" s="55">
        <f>SUM(BW13:BZ13)</f>
        <v>954.77</v>
      </c>
      <c r="DD13" s="55">
        <f>SUM(CA13:CD13)</f>
        <v>935.21799999999996</v>
      </c>
      <c r="DE13" s="55">
        <f>+DD13*0.95</f>
        <v>888.45709999999997</v>
      </c>
      <c r="DF13" s="55">
        <f>+DE13*0.95</f>
        <v>844.03424499999994</v>
      </c>
      <c r="DG13" s="55">
        <f>+DF13*0.95</f>
        <v>801.83253274999993</v>
      </c>
      <c r="DH13" s="55">
        <f>+DG13*0.95</f>
        <v>761.74090611249994</v>
      </c>
      <c r="DI13" s="55">
        <f>+DH13*0.95</f>
        <v>723.65386080687495</v>
      </c>
      <c r="DJ13" s="55">
        <f>+DI13*0.95</f>
        <v>687.47116776653115</v>
      </c>
      <c r="DK13" s="55">
        <f>+DJ13*0.95</f>
        <v>653.09760937820454</v>
      </c>
    </row>
    <row r="14" spans="1:115">
      <c r="B14" s="52" t="s">
        <v>18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>
        <v>268</v>
      </c>
      <c r="O14" s="57">
        <v>193.1</v>
      </c>
      <c r="P14" s="57">
        <v>293.10000000000002</v>
      </c>
      <c r="Q14" s="57">
        <v>311</v>
      </c>
      <c r="R14" s="57">
        <v>346.2</v>
      </c>
      <c r="S14" s="57">
        <v>336.9</v>
      </c>
      <c r="T14" s="57">
        <v>362.2</v>
      </c>
      <c r="U14" s="57">
        <v>376.6</v>
      </c>
      <c r="V14" s="57">
        <v>368.8</v>
      </c>
      <c r="W14" s="57">
        <v>358.8</v>
      </c>
      <c r="X14" s="57">
        <v>363.6</v>
      </c>
      <c r="Y14" s="57">
        <v>397.2</v>
      </c>
      <c r="Z14" s="57">
        <v>439.5</v>
      </c>
      <c r="AA14" s="57">
        <v>408.3</v>
      </c>
      <c r="AB14" s="57">
        <v>418.7</v>
      </c>
      <c r="AC14" s="57">
        <v>406.5</v>
      </c>
      <c r="AD14" s="57">
        <v>465.9</v>
      </c>
      <c r="AE14" s="57">
        <v>434.4</v>
      </c>
      <c r="AF14" s="57">
        <v>477.2</v>
      </c>
      <c r="AG14" s="57">
        <v>469.8</v>
      </c>
      <c r="AH14" s="57">
        <v>494.2</v>
      </c>
      <c r="AI14" s="57">
        <v>461.8</v>
      </c>
      <c r="AJ14" s="57">
        <v>469.5</v>
      </c>
      <c r="AK14" s="57">
        <v>482.1</v>
      </c>
      <c r="AL14" s="57">
        <f>+AK14</f>
        <v>482.1</v>
      </c>
      <c r="AM14" s="57">
        <f t="shared" ref="AM14:AP14" si="22">+AL14</f>
        <v>482.1</v>
      </c>
      <c r="AN14" s="57">
        <f t="shared" si="22"/>
        <v>482.1</v>
      </c>
      <c r="AO14" s="57">
        <f t="shared" si="22"/>
        <v>482.1</v>
      </c>
      <c r="AP14" s="57">
        <f t="shared" si="22"/>
        <v>482.1</v>
      </c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>
        <v>0</v>
      </c>
      <c r="BL14" s="57">
        <v>0</v>
      </c>
      <c r="BM14" s="57">
        <v>0</v>
      </c>
      <c r="BN14" s="57">
        <v>0</v>
      </c>
      <c r="BO14" s="57">
        <v>193</v>
      </c>
      <c r="BP14" s="57">
        <v>130.69999999999999</v>
      </c>
      <c r="BQ14" s="58">
        <v>162.5</v>
      </c>
      <c r="BR14" s="57">
        <f>607.1-BQ14-BP14-BO14</f>
        <v>120.90000000000003</v>
      </c>
      <c r="BS14" s="57">
        <v>126.8</v>
      </c>
      <c r="BT14" s="57">
        <v>281</v>
      </c>
      <c r="BU14" s="57">
        <v>130.9</v>
      </c>
      <c r="BV14" s="57">
        <f>718.4-BU14-BT14-BS14</f>
        <v>179.7</v>
      </c>
      <c r="BW14" s="57">
        <v>217.7</v>
      </c>
      <c r="BX14" s="57">
        <f>AVERAGE(BT14:BW14)*0.9</f>
        <v>182.0925</v>
      </c>
      <c r="BY14" s="57">
        <f t="shared" ref="BY14:CD14" si="23">AVERAGE(BU14:BX14)*0.9</f>
        <v>159.8383125</v>
      </c>
      <c r="BZ14" s="57">
        <f t="shared" si="23"/>
        <v>166.3494328125</v>
      </c>
      <c r="CA14" s="57">
        <f t="shared" si="23"/>
        <v>163.34555519531253</v>
      </c>
      <c r="CB14" s="57">
        <f t="shared" si="23"/>
        <v>151.11580511425782</v>
      </c>
      <c r="CC14" s="57">
        <f t="shared" si="23"/>
        <v>144.14604876496583</v>
      </c>
      <c r="CD14" s="57">
        <f t="shared" si="23"/>
        <v>140.61528942458312</v>
      </c>
      <c r="CE14" s="57"/>
      <c r="CF14" s="57"/>
      <c r="CG14" s="55"/>
      <c r="CH14" s="57"/>
      <c r="CI14" s="57"/>
      <c r="CJ14" s="57">
        <v>74</v>
      </c>
      <c r="CK14" s="57">
        <v>130</v>
      </c>
      <c r="CL14" s="57">
        <v>170</v>
      </c>
      <c r="CM14" s="57">
        <v>212</v>
      </c>
      <c r="CN14" s="57">
        <f>SUM(O14:R14)</f>
        <v>1143.4000000000001</v>
      </c>
      <c r="CO14" s="57">
        <f>SUM(S14:V14)</f>
        <v>1444.4999999999998</v>
      </c>
      <c r="CP14" s="57">
        <f>SUM(W14:Z14)</f>
        <v>1559.1000000000001</v>
      </c>
      <c r="CQ14" s="57">
        <f>SUM(AA14:AD14)</f>
        <v>1699.4</v>
      </c>
      <c r="CR14" s="57">
        <f>SUM(AE14:AH14)</f>
        <v>1875.6</v>
      </c>
      <c r="CS14" s="57">
        <f>SUM(AI14:AL14)</f>
        <v>1895.5</v>
      </c>
      <c r="CT14" s="57">
        <f>CS14*1.1</f>
        <v>2085.0500000000002</v>
      </c>
      <c r="CU14" s="57">
        <f>CT14*1.1</f>
        <v>2293.5550000000003</v>
      </c>
      <c r="CV14" s="57">
        <f>CU14*1.1</f>
        <v>2522.9105000000004</v>
      </c>
      <c r="CW14" s="57">
        <f>CV14*0.5</f>
        <v>1261.4552500000002</v>
      </c>
      <c r="CX14" s="57">
        <f>CW14*0.5</f>
        <v>630.7276250000001</v>
      </c>
      <c r="CY14" s="57"/>
      <c r="CZ14" s="57"/>
      <c r="DA14" s="55">
        <f>SUM(BO14:BR14)</f>
        <v>607.1</v>
      </c>
      <c r="DB14" s="55">
        <f>SUM(BS14:BV14)</f>
        <v>718.40000000000009</v>
      </c>
      <c r="DC14" s="55">
        <f>SUM(BW14:BZ14)</f>
        <v>725.98024531250007</v>
      </c>
      <c r="DD14" s="55">
        <f>SUM(CA14:CD14)</f>
        <v>599.22269849911936</v>
      </c>
      <c r="DE14" s="55">
        <f>+DD14*0.9</f>
        <v>539.30042864920745</v>
      </c>
      <c r="DF14" s="55">
        <f>+DE14*0.9</f>
        <v>485.37038578428673</v>
      </c>
      <c r="DG14" s="55">
        <f>+DF14*0.9</f>
        <v>436.83334720585805</v>
      </c>
      <c r="DH14" s="55">
        <f>+DG14*0.9</f>
        <v>393.15001248527227</v>
      </c>
      <c r="DI14" s="55">
        <f>+DH14*0.9</f>
        <v>353.83501123674506</v>
      </c>
      <c r="DJ14" s="55">
        <f>+DI14*0.9</f>
        <v>318.45151011307058</v>
      </c>
      <c r="DK14" s="55">
        <f>+DJ14*0.9</f>
        <v>286.60635910176353</v>
      </c>
    </row>
    <row r="15" spans="1:115">
      <c r="B15" s="59" t="s">
        <v>371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>
        <v>251.4</v>
      </c>
      <c r="BL15" s="57">
        <v>290.7</v>
      </c>
      <c r="BM15" s="57">
        <v>263.2</v>
      </c>
      <c r="BN15" s="57">
        <v>307.2</v>
      </c>
      <c r="BO15" s="57">
        <v>303.7</v>
      </c>
      <c r="BP15" s="57">
        <v>290.39999999999998</v>
      </c>
      <c r="BQ15" s="57">
        <v>248.2</v>
      </c>
      <c r="BR15" s="57">
        <v>282.10000000000002</v>
      </c>
      <c r="BS15" s="57">
        <v>246.6</v>
      </c>
      <c r="BT15" s="57">
        <v>210.7</v>
      </c>
      <c r="BU15" s="57">
        <v>192.8</v>
      </c>
      <c r="BV15" s="57">
        <v>242.4</v>
      </c>
      <c r="BW15" s="57">
        <v>191.5</v>
      </c>
      <c r="BX15" s="57">
        <f>+BT15*0.9</f>
        <v>189.63</v>
      </c>
      <c r="BY15" s="57">
        <f>+BU15*0.9</f>
        <v>173.52</v>
      </c>
      <c r="BZ15" s="57">
        <f>+BV15*0.9</f>
        <v>218.16</v>
      </c>
      <c r="CA15" s="57">
        <f>+BW15*0.9</f>
        <v>172.35</v>
      </c>
      <c r="CB15" s="57">
        <f>+BX15*0.9</f>
        <v>170.667</v>
      </c>
      <c r="CC15" s="57">
        <f>+BY15*0.9</f>
        <v>156.16800000000001</v>
      </c>
      <c r="CD15" s="57">
        <f>+BZ15*0.9</f>
        <v>196.34399999999999</v>
      </c>
      <c r="CE15" s="57"/>
      <c r="CF15" s="57"/>
      <c r="CG15" s="55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5">
        <f>SUM(BO15:BR15)</f>
        <v>1124.4000000000001</v>
      </c>
      <c r="DB15" s="55">
        <f>SUM(BS15:BV15)</f>
        <v>892.49999999999989</v>
      </c>
      <c r="DC15" s="55">
        <f>SUM(BW15:BZ15)</f>
        <v>772.81</v>
      </c>
      <c r="DD15" s="55">
        <f>SUM(CA15:CD15)</f>
        <v>695.529</v>
      </c>
      <c r="DE15" s="55">
        <f>+DD15*0.9</f>
        <v>625.97609999999997</v>
      </c>
      <c r="DF15" s="55">
        <f>+DE15*0.9</f>
        <v>563.37848999999994</v>
      </c>
      <c r="DG15" s="55">
        <f>+DF15*0.9</f>
        <v>507.04064099999994</v>
      </c>
      <c r="DH15" s="55">
        <f>+DG15*0.9</f>
        <v>456.33657689999995</v>
      </c>
      <c r="DI15" s="55">
        <f>+DH15*0.9</f>
        <v>410.70291920999995</v>
      </c>
      <c r="DJ15" s="55">
        <f>+DI15*0.9</f>
        <v>369.63262728899997</v>
      </c>
      <c r="DK15" s="55">
        <f>+DJ15*0.9</f>
        <v>332.66936456010001</v>
      </c>
    </row>
    <row r="16" spans="1:115">
      <c r="B16" s="59" t="s">
        <v>380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>
        <v>14.2</v>
      </c>
      <c r="BL16" s="58">
        <v>34.299999999999997</v>
      </c>
      <c r="BM16" s="58">
        <v>47.7</v>
      </c>
      <c r="BN16" s="58">
        <v>66.3</v>
      </c>
      <c r="BO16" s="58">
        <v>74</v>
      </c>
      <c r="BP16" s="58">
        <v>87.4</v>
      </c>
      <c r="BQ16" s="58">
        <v>91.5</v>
      </c>
      <c r="BR16" s="58">
        <v>109.9</v>
      </c>
      <c r="BS16" s="58">
        <v>119.5</v>
      </c>
      <c r="BT16" s="58">
        <v>156.30000000000001</v>
      </c>
      <c r="BU16" s="58">
        <v>140</v>
      </c>
      <c r="BV16" s="58">
        <v>161.5</v>
      </c>
      <c r="BW16" s="58">
        <v>149.30000000000001</v>
      </c>
      <c r="BX16" s="58">
        <f>+BT16*1.1</f>
        <v>171.93000000000004</v>
      </c>
      <c r="BY16" s="58">
        <f>+BU16*1.1</f>
        <v>154</v>
      </c>
      <c r="BZ16" s="58">
        <f>+BV16*1.1</f>
        <v>177.65</v>
      </c>
      <c r="CA16" s="58">
        <f>+BW16*1.1</f>
        <v>164.23000000000002</v>
      </c>
      <c r="CB16" s="58">
        <f>+BX16*1.1</f>
        <v>189.12300000000005</v>
      </c>
      <c r="CC16" s="58">
        <f>+BY16*1.1</f>
        <v>169.4</v>
      </c>
      <c r="CD16" s="58">
        <f>+BZ16*1.1</f>
        <v>195.41500000000002</v>
      </c>
      <c r="CE16" s="58"/>
      <c r="CF16" s="58"/>
      <c r="CG16" s="55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5">
        <f>SUM(BO16:BR16)</f>
        <v>362.8</v>
      </c>
      <c r="DB16" s="55">
        <f>SUM(BS16:BV16)</f>
        <v>577.29999999999995</v>
      </c>
      <c r="DC16" s="55">
        <f>SUM(BW16:BZ16)</f>
        <v>652.88</v>
      </c>
      <c r="DD16" s="55">
        <f>SUM(CA16:CD16)</f>
        <v>718.16800000000012</v>
      </c>
      <c r="DE16" s="55">
        <f>+DD16*1.01</f>
        <v>725.34968000000015</v>
      </c>
      <c r="DF16" s="55">
        <f>+DE16*1.01</f>
        <v>732.60317680000014</v>
      </c>
      <c r="DG16" s="55">
        <f>+DF16*1.01</f>
        <v>739.92920856800015</v>
      </c>
      <c r="DH16" s="55">
        <f>+DG16*1.01</f>
        <v>747.32850065368018</v>
      </c>
      <c r="DI16" s="55">
        <f>+DH16*1.01</f>
        <v>754.80178566021698</v>
      </c>
      <c r="DJ16" s="55">
        <f>+DI16*1.01</f>
        <v>762.34980351681918</v>
      </c>
      <c r="DK16" s="55">
        <f>+DJ16*1.01</f>
        <v>769.97330155198733</v>
      </c>
    </row>
    <row r="17" spans="2:115">
      <c r="B17" s="59" t="s">
        <v>372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>
        <v>17.8</v>
      </c>
      <c r="BP17" s="57">
        <v>15</v>
      </c>
      <c r="BQ17" s="57">
        <v>17.2</v>
      </c>
      <c r="BR17" s="57">
        <v>20</v>
      </c>
      <c r="BS17" s="57">
        <v>20.6</v>
      </c>
      <c r="BT17" s="57">
        <v>25.4</v>
      </c>
      <c r="BU17" s="57">
        <v>39</v>
      </c>
      <c r="BV17" s="57">
        <v>36.6</v>
      </c>
      <c r="BW17" s="57">
        <v>144.6</v>
      </c>
      <c r="BX17" s="57">
        <f>+BW17</f>
        <v>144.6</v>
      </c>
      <c r="BY17" s="57">
        <f t="shared" ref="BY17:CD17" si="24">+BX17</f>
        <v>144.6</v>
      </c>
      <c r="BZ17" s="57">
        <f t="shared" si="24"/>
        <v>144.6</v>
      </c>
      <c r="CA17" s="57">
        <f t="shared" si="24"/>
        <v>144.6</v>
      </c>
      <c r="CB17" s="57">
        <f t="shared" si="24"/>
        <v>144.6</v>
      </c>
      <c r="CC17" s="57">
        <f t="shared" si="24"/>
        <v>144.6</v>
      </c>
      <c r="CD17" s="57">
        <f t="shared" si="24"/>
        <v>144.6</v>
      </c>
      <c r="CE17" s="57"/>
      <c r="CF17" s="57"/>
      <c r="CG17" s="55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5">
        <f>SUM(BO17:BR17)</f>
        <v>70</v>
      </c>
      <c r="DB17" s="55">
        <f>SUM(BS17:BV17)</f>
        <v>121.6</v>
      </c>
      <c r="DC17" s="55">
        <f>SUM(BW17:BZ17)</f>
        <v>578.4</v>
      </c>
      <c r="DD17" s="55">
        <f>SUM(CA17:CD17)</f>
        <v>578.4</v>
      </c>
      <c r="DE17" s="55">
        <f>+DD17*0.9</f>
        <v>520.55999999999995</v>
      </c>
      <c r="DF17" s="55">
        <f>+DE17*0.9</f>
        <v>468.50399999999996</v>
      </c>
      <c r="DG17" s="55">
        <f>+DF17*0.9</f>
        <v>421.65359999999998</v>
      </c>
      <c r="DH17" s="55">
        <f>+DG17*0.9</f>
        <v>379.48824000000002</v>
      </c>
      <c r="DI17" s="55">
        <f>+DH17*0.9</f>
        <v>341.53941600000002</v>
      </c>
      <c r="DJ17" s="55">
        <f>+DI17*0.9</f>
        <v>307.38547440000002</v>
      </c>
      <c r="DK17" s="55">
        <f>+DJ17*0.9</f>
        <v>276.64692696000003</v>
      </c>
    </row>
    <row r="18" spans="2:115">
      <c r="B18" s="59" t="s">
        <v>258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>
        <v>99.7</v>
      </c>
      <c r="Y18" s="57">
        <v>101.9</v>
      </c>
      <c r="Z18" s="57">
        <v>95</v>
      </c>
      <c r="AA18" s="57">
        <v>92.4</v>
      </c>
      <c r="AB18" s="57">
        <v>103.8</v>
      </c>
      <c r="AC18" s="57">
        <v>95.4</v>
      </c>
      <c r="AD18" s="57">
        <v>94.5</v>
      </c>
      <c r="AE18" s="57">
        <v>104</v>
      </c>
      <c r="AF18" s="57">
        <v>100.1</v>
      </c>
      <c r="AG18" s="57">
        <v>97.2</v>
      </c>
      <c r="AH18" s="57">
        <v>107.9</v>
      </c>
      <c r="AI18" s="57">
        <v>113.3</v>
      </c>
      <c r="AJ18" s="57">
        <v>110</v>
      </c>
      <c r="AK18" s="57">
        <v>86.6</v>
      </c>
      <c r="AL18" s="58">
        <f t="shared" ref="AL18:AP18" si="25">+AK18</f>
        <v>86.6</v>
      </c>
      <c r="AM18" s="58">
        <f t="shared" si="25"/>
        <v>86.6</v>
      </c>
      <c r="AN18" s="58">
        <f t="shared" si="25"/>
        <v>86.6</v>
      </c>
      <c r="AO18" s="58">
        <f t="shared" si="25"/>
        <v>86.6</v>
      </c>
      <c r="AP18" s="58">
        <f t="shared" si="25"/>
        <v>86.6</v>
      </c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>
        <v>130.80000000000001</v>
      </c>
      <c r="BP18" s="58">
        <v>129.5</v>
      </c>
      <c r="BQ18" s="58">
        <v>136.4</v>
      </c>
      <c r="BR18" s="58">
        <f>480.1+56.3-BQ18-BP18-BO18</f>
        <v>139.69999999999999</v>
      </c>
      <c r="BS18" s="58">
        <v>122.4</v>
      </c>
      <c r="BT18" s="58">
        <v>147</v>
      </c>
      <c r="BU18" s="58">
        <v>134.30000000000001</v>
      </c>
      <c r="BV18" s="58">
        <f>548.3-BU18-BT18-BS18</f>
        <v>144.59999999999994</v>
      </c>
      <c r="BW18" s="58">
        <v>122.7</v>
      </c>
      <c r="BX18" s="58">
        <f>+BW18</f>
        <v>122.7</v>
      </c>
      <c r="BY18" s="58">
        <f t="shared" ref="BY18:CD18" si="26">+BX18</f>
        <v>122.7</v>
      </c>
      <c r="BZ18" s="58">
        <f t="shared" si="26"/>
        <v>122.7</v>
      </c>
      <c r="CA18" s="58">
        <f t="shared" si="26"/>
        <v>122.7</v>
      </c>
      <c r="CB18" s="58">
        <f t="shared" si="26"/>
        <v>122.7</v>
      </c>
      <c r="CC18" s="58">
        <f t="shared" si="26"/>
        <v>122.7</v>
      </c>
      <c r="CD18" s="58">
        <f t="shared" si="26"/>
        <v>122.7</v>
      </c>
      <c r="CE18" s="58"/>
      <c r="CF18" s="58"/>
      <c r="CG18" s="55"/>
      <c r="CH18" s="57"/>
      <c r="CI18" s="57"/>
      <c r="CJ18" s="57"/>
      <c r="CK18" s="57"/>
      <c r="CL18" s="57"/>
      <c r="CM18" s="57"/>
      <c r="CN18" s="57"/>
      <c r="CO18" s="57"/>
      <c r="CP18" s="57">
        <f>SUM(W18:Z18)</f>
        <v>296.60000000000002</v>
      </c>
      <c r="CQ18" s="57">
        <f>SUM(AA18:AD18)</f>
        <v>386.1</v>
      </c>
      <c r="CR18" s="57">
        <f>SUM(AE18:AH18)</f>
        <v>409.20000000000005</v>
      </c>
      <c r="CS18" s="57">
        <f>SUM(AI18:AL18)</f>
        <v>396.5</v>
      </c>
      <c r="CT18" s="57">
        <f t="shared" ref="CT18:CU18" si="27">+CS18</f>
        <v>396.5</v>
      </c>
      <c r="CU18" s="57">
        <f t="shared" si="27"/>
        <v>396.5</v>
      </c>
      <c r="CV18" s="57"/>
      <c r="CW18" s="57"/>
      <c r="CX18" s="57"/>
      <c r="CY18" s="57"/>
      <c r="CZ18" s="57"/>
      <c r="DA18" s="55">
        <f>SUM(BO18:BR18)</f>
        <v>536.40000000000009</v>
      </c>
      <c r="DB18" s="55">
        <f>SUM(BS18:BV18)</f>
        <v>548.29999999999995</v>
      </c>
      <c r="DC18" s="55">
        <f>SUM(BW18:BZ18)</f>
        <v>490.8</v>
      </c>
      <c r="DD18" s="55">
        <f>SUM(CA18:CD18)</f>
        <v>490.8</v>
      </c>
      <c r="DE18" s="55">
        <f t="shared" ref="DE18:DK18" si="28">+DD18*0.9</f>
        <v>441.72</v>
      </c>
      <c r="DF18" s="55">
        <f t="shared" si="28"/>
        <v>397.54800000000006</v>
      </c>
      <c r="DG18" s="55">
        <f t="shared" si="28"/>
        <v>357.79320000000007</v>
      </c>
      <c r="DH18" s="55">
        <f t="shared" si="28"/>
        <v>322.01388000000009</v>
      </c>
      <c r="DI18" s="55">
        <f t="shared" si="28"/>
        <v>289.81249200000008</v>
      </c>
      <c r="DJ18" s="55">
        <f t="shared" si="28"/>
        <v>260.8312428000001</v>
      </c>
      <c r="DK18" s="55">
        <f t="shared" si="28"/>
        <v>234.74811852000011</v>
      </c>
    </row>
    <row r="19" spans="2:115">
      <c r="B19" s="52" t="s">
        <v>77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>
        <v>26.2</v>
      </c>
      <c r="BP19" s="57">
        <v>64.3</v>
      </c>
      <c r="BQ19" s="57">
        <v>35.9</v>
      </c>
      <c r="BR19" s="57">
        <v>36.200000000000003</v>
      </c>
      <c r="BS19" s="57">
        <v>54.8</v>
      </c>
      <c r="BT19" s="57">
        <v>55.7</v>
      </c>
      <c r="BU19" s="57">
        <v>66.7</v>
      </c>
      <c r="BV19" s="57">
        <v>38.5</v>
      </c>
      <c r="BW19" s="57">
        <f>101.2-BW27</f>
        <v>59.400000000000006</v>
      </c>
      <c r="BX19" s="57">
        <f>+BW19</f>
        <v>59.400000000000006</v>
      </c>
      <c r="BY19" s="57">
        <f t="shared" ref="BY19:CD19" si="29">+BX19</f>
        <v>59.400000000000006</v>
      </c>
      <c r="BZ19" s="57">
        <f t="shared" si="29"/>
        <v>59.400000000000006</v>
      </c>
      <c r="CA19" s="57">
        <f t="shared" si="29"/>
        <v>59.400000000000006</v>
      </c>
      <c r="CB19" s="57">
        <f t="shared" si="29"/>
        <v>59.400000000000006</v>
      </c>
      <c r="CC19" s="57">
        <f t="shared" si="29"/>
        <v>59.400000000000006</v>
      </c>
      <c r="CD19" s="57">
        <f t="shared" si="29"/>
        <v>59.400000000000006</v>
      </c>
      <c r="CE19" s="57"/>
      <c r="CF19" s="57"/>
      <c r="CG19" s="55"/>
      <c r="CH19" s="57"/>
      <c r="CI19" s="57">
        <v>19</v>
      </c>
      <c r="CJ19" s="57">
        <v>19</v>
      </c>
      <c r="CK19" s="57">
        <v>9</v>
      </c>
      <c r="CL19" s="57">
        <v>3</v>
      </c>
      <c r="CM19" s="57"/>
      <c r="CN19" s="57"/>
      <c r="CO19" s="57"/>
      <c r="CP19" s="57"/>
      <c r="CQ19" s="57"/>
      <c r="CR19" s="57"/>
      <c r="CY19" s="53"/>
      <c r="CZ19" s="53"/>
      <c r="DA19" s="55">
        <f>SUM(BO19:BR19)</f>
        <v>162.60000000000002</v>
      </c>
      <c r="DB19" s="55">
        <f>SUM(BS19:BV19)</f>
        <v>215.7</v>
      </c>
      <c r="DC19" s="55">
        <f>SUM(BW19:BZ19)</f>
        <v>237.60000000000002</v>
      </c>
      <c r="DD19" s="55">
        <f>SUM(CA19:CD19)</f>
        <v>237.60000000000002</v>
      </c>
      <c r="DE19" s="55">
        <f t="shared" ref="DE19:DK19" si="30">+DD19*0.9</f>
        <v>213.84000000000003</v>
      </c>
      <c r="DF19" s="55">
        <f t="shared" si="30"/>
        <v>192.45600000000005</v>
      </c>
      <c r="DG19" s="55">
        <f t="shared" si="30"/>
        <v>173.21040000000005</v>
      </c>
      <c r="DH19" s="55">
        <f t="shared" si="30"/>
        <v>155.88936000000004</v>
      </c>
      <c r="DI19" s="55">
        <f t="shared" si="30"/>
        <v>140.30042400000005</v>
      </c>
      <c r="DJ19" s="55">
        <f t="shared" si="30"/>
        <v>126.27038160000005</v>
      </c>
      <c r="DK19" s="55">
        <f t="shared" si="30"/>
        <v>113.64334344000005</v>
      </c>
    </row>
    <row r="20" spans="2:115">
      <c r="B20" s="52" t="s">
        <v>16</v>
      </c>
      <c r="C20" s="57"/>
      <c r="D20" s="57">
        <v>65.3</v>
      </c>
      <c r="E20" s="57"/>
      <c r="F20" s="57">
        <v>74.3</v>
      </c>
      <c r="G20" s="57">
        <v>67</v>
      </c>
      <c r="H20" s="57">
        <v>101.9</v>
      </c>
      <c r="I20" s="57">
        <v>102.6</v>
      </c>
      <c r="J20" s="57">
        <v>118</v>
      </c>
      <c r="K20" s="57">
        <v>127</v>
      </c>
      <c r="L20" s="57">
        <v>146</v>
      </c>
      <c r="M20" s="57">
        <v>149</v>
      </c>
      <c r="N20" s="57">
        <v>172.1</v>
      </c>
      <c r="O20" s="57">
        <v>153.4</v>
      </c>
      <c r="P20" s="57">
        <v>177.2</v>
      </c>
      <c r="Q20" s="57">
        <v>180.5</v>
      </c>
      <c r="R20" s="57">
        <v>198.2</v>
      </c>
      <c r="S20" s="57">
        <v>185</v>
      </c>
      <c r="T20" s="57">
        <v>206.6</v>
      </c>
      <c r="U20" s="57">
        <v>192.7</v>
      </c>
      <c r="V20" s="57">
        <v>194.5</v>
      </c>
      <c r="W20" s="57">
        <v>187.5</v>
      </c>
      <c r="X20" s="57">
        <v>203.3</v>
      </c>
      <c r="Y20" s="57">
        <v>213.1</v>
      </c>
      <c r="Z20" s="57">
        <v>212.8</v>
      </c>
      <c r="AA20" s="57">
        <v>194.5</v>
      </c>
      <c r="AB20" s="57">
        <v>209.6</v>
      </c>
      <c r="AC20" s="57">
        <v>199.7</v>
      </c>
      <c r="AD20" s="57">
        <v>226.3</v>
      </c>
      <c r="AE20" s="57">
        <v>216.1</v>
      </c>
      <c r="AF20" s="57">
        <v>231</v>
      </c>
      <c r="AG20" s="57">
        <v>240.3</v>
      </c>
      <c r="AH20" s="57">
        <v>262.5</v>
      </c>
      <c r="AI20" s="57">
        <v>271.3</v>
      </c>
      <c r="AJ20" s="57">
        <v>276.39999999999998</v>
      </c>
      <c r="AK20" s="57">
        <v>288.7</v>
      </c>
      <c r="AL20" s="57">
        <f>+AK20+5</f>
        <v>293.7</v>
      </c>
      <c r="AM20" s="57">
        <f t="shared" ref="AM20:AP20" si="31">+AL20+5</f>
        <v>298.7</v>
      </c>
      <c r="AN20" s="57">
        <f t="shared" si="31"/>
        <v>303.7</v>
      </c>
      <c r="AO20" s="57">
        <f t="shared" si="31"/>
        <v>308.7</v>
      </c>
      <c r="AP20" s="57">
        <f t="shared" si="31"/>
        <v>313.7</v>
      </c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>
        <v>312.89999999999998</v>
      </c>
      <c r="BL20" s="57">
        <v>360.8</v>
      </c>
      <c r="BM20" s="57">
        <v>370.7</v>
      </c>
      <c r="BN20" s="57">
        <v>360.2</v>
      </c>
      <c r="BO20" s="57">
        <v>272.39999999999998</v>
      </c>
      <c r="BP20" s="57">
        <v>252.7</v>
      </c>
      <c r="BQ20" s="57">
        <v>266.89999999999998</v>
      </c>
      <c r="BR20" s="57">
        <v>254.4</v>
      </c>
      <c r="BS20" s="57">
        <v>198.5</v>
      </c>
      <c r="BT20" s="57">
        <v>218.4</v>
      </c>
      <c r="BU20" s="57">
        <v>200.9</v>
      </c>
      <c r="BV20" s="57">
        <v>184</v>
      </c>
      <c r="BW20" s="57">
        <v>137.4</v>
      </c>
      <c r="BX20" s="57">
        <f>+BW20*0.95</f>
        <v>130.53</v>
      </c>
      <c r="BY20" s="57">
        <f t="shared" ref="BY20:CD20" si="32">+BX20*0.95</f>
        <v>124.00349999999999</v>
      </c>
      <c r="BZ20" s="57">
        <f t="shared" si="32"/>
        <v>117.80332499999999</v>
      </c>
      <c r="CA20" s="57">
        <f t="shared" si="32"/>
        <v>111.91315874999998</v>
      </c>
      <c r="CB20" s="57">
        <f t="shared" si="32"/>
        <v>106.31750081249997</v>
      </c>
      <c r="CC20" s="57">
        <f t="shared" si="32"/>
        <v>101.00162577187497</v>
      </c>
      <c r="CD20" s="57">
        <f t="shared" si="32"/>
        <v>95.951544483281211</v>
      </c>
      <c r="CE20" s="57"/>
      <c r="CF20" s="57"/>
      <c r="CG20" s="55"/>
      <c r="CH20" s="57"/>
      <c r="CI20" s="57">
        <v>6</v>
      </c>
      <c r="CJ20" s="57">
        <v>65</v>
      </c>
      <c r="CK20" s="57">
        <v>237</v>
      </c>
      <c r="CL20" s="57">
        <v>389</v>
      </c>
      <c r="CM20" s="57">
        <v>581</v>
      </c>
      <c r="CN20" s="57">
        <f>CM20*1.05</f>
        <v>610.05000000000007</v>
      </c>
      <c r="CO20" s="57">
        <f>SUM(S20:V20)</f>
        <v>778.8</v>
      </c>
      <c r="CP20" s="57">
        <f>SUM(W20:Z20)</f>
        <v>816.7</v>
      </c>
      <c r="CQ20" s="57">
        <f>SUM(AA20:AD20)</f>
        <v>830.09999999999991</v>
      </c>
      <c r="CR20" s="57">
        <f>SUM(AE20:AH20)</f>
        <v>949.90000000000009</v>
      </c>
      <c r="CS20" s="57">
        <f>SUM(AI20:AL20)</f>
        <v>1130.1000000000001</v>
      </c>
      <c r="CT20" s="57">
        <f t="shared" ref="CT20:CW20" si="33">CS20*1.05</f>
        <v>1186.6050000000002</v>
      </c>
      <c r="CU20" s="57">
        <f t="shared" si="33"/>
        <v>1245.9352500000002</v>
      </c>
      <c r="CV20" s="57">
        <f t="shared" si="33"/>
        <v>1308.2320125000003</v>
      </c>
      <c r="CW20" s="57">
        <f t="shared" si="33"/>
        <v>1373.6436131250005</v>
      </c>
      <c r="CX20" s="57"/>
      <c r="CY20" s="60"/>
      <c r="CZ20" s="60"/>
      <c r="DA20" s="55">
        <f>SUM(BO20:BR20)</f>
        <v>1046.3999999999999</v>
      </c>
      <c r="DB20" s="55">
        <f>SUM(BS20:BV20)</f>
        <v>801.8</v>
      </c>
      <c r="DC20" s="55">
        <f>SUM(BW20:BZ20)</f>
        <v>509.73682499999995</v>
      </c>
      <c r="DD20" s="55">
        <f>SUM(CA20:CD20)</f>
        <v>415.18382981765615</v>
      </c>
      <c r="DE20" s="55">
        <f t="shared" ref="DE20:DK20" si="34">+DD20*0.9</f>
        <v>373.66544683589052</v>
      </c>
      <c r="DF20" s="55">
        <f t="shared" si="34"/>
        <v>336.29890215230148</v>
      </c>
      <c r="DG20" s="55">
        <f t="shared" si="34"/>
        <v>302.66901193707133</v>
      </c>
      <c r="DH20" s="55">
        <f t="shared" si="34"/>
        <v>272.40211074336423</v>
      </c>
      <c r="DI20" s="55">
        <f t="shared" si="34"/>
        <v>245.1618996690278</v>
      </c>
      <c r="DJ20" s="55">
        <f t="shared" si="34"/>
        <v>220.64570970212503</v>
      </c>
      <c r="DK20" s="55">
        <f t="shared" si="34"/>
        <v>198.58113873191255</v>
      </c>
    </row>
    <row r="21" spans="2:115">
      <c r="B21" s="52" t="s">
        <v>78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>
        <f>4459.9-SUM(N22:N54)</f>
        <v>1686.4532721010328</v>
      </c>
      <c r="O21" s="57">
        <v>406</v>
      </c>
      <c r="P21" s="57"/>
      <c r="Q21" s="57">
        <f>4587-(SUM(Q22:Q54))</f>
        <v>1697.9</v>
      </c>
      <c r="R21" s="57">
        <f>5189.6-(SUM(R22:R54))</f>
        <v>1904.6000000000004</v>
      </c>
      <c r="S21" s="57">
        <f>4807.6-(SUM(S22:S54))</f>
        <v>2080.2000000000007</v>
      </c>
      <c r="T21" s="57">
        <f>5150.4-(SUM(T22:T54))</f>
        <v>2045.4999999999995</v>
      </c>
      <c r="U21" s="57">
        <f>5209.5-(SUM(U22:U54))</f>
        <v>2061.9000000000005</v>
      </c>
      <c r="AD21" s="57">
        <v>432</v>
      </c>
      <c r="AF21" s="57">
        <v>422</v>
      </c>
      <c r="AG21" s="57">
        <v>410</v>
      </c>
      <c r="AH21" s="57">
        <v>407</v>
      </c>
      <c r="AI21" s="57">
        <v>552</v>
      </c>
      <c r="AJ21" s="57">
        <v>524</v>
      </c>
      <c r="AK21" s="57">
        <f>5443.3-4955</f>
        <v>488.30000000000018</v>
      </c>
      <c r="AL21" s="57">
        <f>+AH21</f>
        <v>407</v>
      </c>
      <c r="AM21" s="57">
        <f t="shared" ref="AM21:AP21" si="35">+AI21</f>
        <v>552</v>
      </c>
      <c r="AN21" s="57">
        <f t="shared" si="35"/>
        <v>524</v>
      </c>
      <c r="AO21" s="57">
        <f t="shared" si="35"/>
        <v>488.30000000000018</v>
      </c>
      <c r="AP21" s="57">
        <f t="shared" si="35"/>
        <v>407</v>
      </c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>
        <v>1966</v>
      </c>
      <c r="BL21" s="57">
        <v>2269</v>
      </c>
      <c r="BM21" s="57">
        <v>2171</v>
      </c>
      <c r="BN21" s="57">
        <v>2461</v>
      </c>
      <c r="BO21" s="57">
        <v>86</v>
      </c>
      <c r="BP21" s="57">
        <v>51.4</v>
      </c>
      <c r="BQ21" s="57">
        <v>46.3</v>
      </c>
      <c r="BR21" s="57">
        <v>88</v>
      </c>
      <c r="BS21" s="57">
        <v>42.6</v>
      </c>
      <c r="BT21" s="57">
        <v>42.2</v>
      </c>
      <c r="BU21" s="57">
        <v>38.6</v>
      </c>
      <c r="BV21" s="57">
        <v>58.1</v>
      </c>
      <c r="BW21" s="57">
        <v>98.1</v>
      </c>
      <c r="BX21" s="57">
        <f>+BW21</f>
        <v>98.1</v>
      </c>
      <c r="BY21" s="57">
        <f t="shared" ref="BY21:CD21" si="36">+BX21</f>
        <v>98.1</v>
      </c>
      <c r="BZ21" s="57">
        <f t="shared" si="36"/>
        <v>98.1</v>
      </c>
      <c r="CA21" s="57">
        <f t="shared" si="36"/>
        <v>98.1</v>
      </c>
      <c r="CB21" s="57">
        <f t="shared" si="36"/>
        <v>98.1</v>
      </c>
      <c r="CC21" s="57">
        <f t="shared" si="36"/>
        <v>98.1</v>
      </c>
      <c r="CD21" s="57">
        <f t="shared" si="36"/>
        <v>98.1</v>
      </c>
      <c r="CE21" s="57"/>
      <c r="CF21" s="57"/>
      <c r="CG21" s="55"/>
      <c r="CH21" s="57"/>
      <c r="CI21" s="58">
        <f>176+152</f>
        <v>328</v>
      </c>
      <c r="CJ21" s="57">
        <f>165+100</f>
        <v>265</v>
      </c>
      <c r="CK21" s="57">
        <f>83+70+4+154</f>
        <v>311</v>
      </c>
      <c r="CL21" s="57">
        <f>41+54+18+117</f>
        <v>230</v>
      </c>
      <c r="CM21" s="57">
        <f>56+54+25+91</f>
        <v>226</v>
      </c>
      <c r="CN21" s="57">
        <f>50+54+50+87</f>
        <v>241</v>
      </c>
      <c r="CO21" s="57">
        <v>54</v>
      </c>
      <c r="CP21" s="57">
        <v>54</v>
      </c>
      <c r="CQ21" s="57">
        <f>SUM(AA21:AD21)</f>
        <v>432</v>
      </c>
      <c r="CR21" s="57">
        <f>SUM(AE21:AH21)</f>
        <v>1239</v>
      </c>
      <c r="CS21" s="57">
        <f>SUM(AI21:AL21)</f>
        <v>1971.3000000000002</v>
      </c>
      <c r="CT21" s="57">
        <f>+CS21*0.9</f>
        <v>1774.1700000000003</v>
      </c>
      <c r="CU21" s="57">
        <f t="shared" ref="CU21:CX21" si="37">+CT21*0.9</f>
        <v>1596.7530000000004</v>
      </c>
      <c r="CV21" s="57">
        <f t="shared" si="37"/>
        <v>1437.0777000000003</v>
      </c>
      <c r="CW21" s="57">
        <f>+CV21*0.9</f>
        <v>1293.3699300000003</v>
      </c>
      <c r="CX21" s="57">
        <f t="shared" si="37"/>
        <v>1164.0329370000004</v>
      </c>
      <c r="CY21" s="57">
        <f t="shared" ref="CY21" si="38">+CX21*0.9</f>
        <v>1047.6296433000005</v>
      </c>
      <c r="CZ21" s="57"/>
      <c r="DA21" s="55">
        <f>SUM(BO21:BR21)</f>
        <v>271.7</v>
      </c>
      <c r="DB21" s="55">
        <f>SUM(BS21:BV21)</f>
        <v>181.5</v>
      </c>
      <c r="DC21" s="55">
        <f>SUM(BW21:BZ21)</f>
        <v>392.4</v>
      </c>
      <c r="DD21" s="55">
        <f>SUM(CA21:CD21)</f>
        <v>392.4</v>
      </c>
      <c r="DE21" s="55">
        <f t="shared" ref="DE21:DK21" si="39">+DD21*0.9</f>
        <v>353.15999999999997</v>
      </c>
      <c r="DF21" s="55">
        <f t="shared" si="39"/>
        <v>317.84399999999999</v>
      </c>
      <c r="DG21" s="55">
        <f t="shared" si="39"/>
        <v>286.05959999999999</v>
      </c>
      <c r="DH21" s="55">
        <f t="shared" si="39"/>
        <v>257.45364000000001</v>
      </c>
      <c r="DI21" s="55">
        <f t="shared" si="39"/>
        <v>231.70827600000001</v>
      </c>
      <c r="DJ21" s="55">
        <f t="shared" si="39"/>
        <v>208.53744840000002</v>
      </c>
      <c r="DK21" s="55">
        <f t="shared" si="39"/>
        <v>187.68370356000003</v>
      </c>
    </row>
    <row r="22" spans="2:115">
      <c r="B22" s="52" t="s">
        <v>7</v>
      </c>
      <c r="C22" s="57">
        <v>1098.3</v>
      </c>
      <c r="D22" s="57">
        <v>1212.3</v>
      </c>
      <c r="E22" s="57">
        <v>1023.7</v>
      </c>
      <c r="F22" s="57">
        <v>1085.5</v>
      </c>
      <c r="G22" s="57">
        <v>1038.2</v>
      </c>
      <c r="H22" s="57">
        <v>1096.8</v>
      </c>
      <c r="I22" s="57">
        <v>1035.0999999999999</v>
      </c>
      <c r="J22" s="57">
        <v>1032.2</v>
      </c>
      <c r="K22" s="57">
        <v>1007.4</v>
      </c>
      <c r="L22" s="57">
        <v>1115</v>
      </c>
      <c r="M22" s="57">
        <v>1084.7</v>
      </c>
      <c r="N22" s="57">
        <v>1156.5</v>
      </c>
      <c r="O22" s="57">
        <v>1108</v>
      </c>
      <c r="P22" s="57">
        <v>1213</v>
      </c>
      <c r="Q22" s="57">
        <v>1166.0999999999999</v>
      </c>
      <c r="R22" s="57">
        <v>1273.9000000000001</v>
      </c>
      <c r="S22" s="57">
        <v>1120.2</v>
      </c>
      <c r="T22" s="57">
        <v>1239.7</v>
      </c>
      <c r="U22" s="57">
        <v>1189.5</v>
      </c>
      <c r="V22" s="57">
        <v>1146.7</v>
      </c>
      <c r="W22" s="57">
        <v>1123</v>
      </c>
      <c r="X22" s="57">
        <v>1203.2</v>
      </c>
      <c r="Y22" s="57">
        <v>1223</v>
      </c>
      <c r="Z22" s="57">
        <v>1366.5</v>
      </c>
      <c r="AA22" s="57">
        <v>1215</v>
      </c>
      <c r="AB22" s="57">
        <v>1262.9000000000001</v>
      </c>
      <c r="AC22" s="57">
        <v>1212.7</v>
      </c>
      <c r="AD22" s="57">
        <v>1335.8</v>
      </c>
      <c r="AE22" s="57">
        <v>1281.9000000000001</v>
      </c>
      <c r="AF22" s="57">
        <v>1408.3</v>
      </c>
      <c r="AG22" s="57">
        <v>1182.3</v>
      </c>
      <c r="AH22" s="57">
        <v>749.6</v>
      </c>
      <c r="AI22" s="57">
        <v>562.70000000000005</v>
      </c>
      <c r="AJ22" s="57">
        <v>379.5</v>
      </c>
      <c r="AK22" s="57">
        <v>374.5</v>
      </c>
      <c r="AL22" s="57">
        <f>+AK22-5</f>
        <v>369.5</v>
      </c>
      <c r="AM22" s="57">
        <f t="shared" ref="AM22:AP22" si="40">+AL22-5</f>
        <v>364.5</v>
      </c>
      <c r="AN22" s="57">
        <f t="shared" si="40"/>
        <v>359.5</v>
      </c>
      <c r="AO22" s="57">
        <f t="shared" si="40"/>
        <v>354.5</v>
      </c>
      <c r="AP22" s="57">
        <f t="shared" si="40"/>
        <v>349.5</v>
      </c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>
        <v>98.4</v>
      </c>
      <c r="BP22" s="57">
        <v>96.6</v>
      </c>
      <c r="BQ22" s="57">
        <v>112.7</v>
      </c>
      <c r="BR22" s="57">
        <f>46.1+360.5-BQ22-BP22-BO22</f>
        <v>98.900000000000034</v>
      </c>
      <c r="BS22" s="57">
        <v>95.8</v>
      </c>
      <c r="BT22" s="57">
        <v>95.4</v>
      </c>
      <c r="BU22" s="57">
        <v>101.7</v>
      </c>
      <c r="BV22" s="57">
        <f>430.3-BU22-BT22-BS22</f>
        <v>137.40000000000003</v>
      </c>
      <c r="BW22" s="57">
        <v>93.1</v>
      </c>
      <c r="BX22" s="57">
        <f>+BW22</f>
        <v>93.1</v>
      </c>
      <c r="BY22" s="57">
        <f t="shared" ref="BY22:CD22" si="41">+BX22</f>
        <v>93.1</v>
      </c>
      <c r="BZ22" s="57">
        <f t="shared" si="41"/>
        <v>93.1</v>
      </c>
      <c r="CA22" s="57">
        <f t="shared" si="41"/>
        <v>93.1</v>
      </c>
      <c r="CB22" s="57">
        <f t="shared" si="41"/>
        <v>93.1</v>
      </c>
      <c r="CC22" s="57">
        <f t="shared" si="41"/>
        <v>93.1</v>
      </c>
      <c r="CD22" s="57">
        <f t="shared" si="41"/>
        <v>93.1</v>
      </c>
      <c r="CE22" s="57"/>
      <c r="CF22" s="57"/>
      <c r="CG22" s="55"/>
      <c r="CH22" s="57"/>
      <c r="CI22" s="57">
        <v>3689</v>
      </c>
      <c r="CJ22" s="57">
        <v>4277</v>
      </c>
      <c r="CK22" s="57">
        <v>4419</v>
      </c>
      <c r="CL22" s="57">
        <v>4200</v>
      </c>
      <c r="CM22" s="57">
        <f>SUM(K22:N22)</f>
        <v>4363.6000000000004</v>
      </c>
      <c r="CN22" s="57">
        <f>SUM(O22:R22)</f>
        <v>4761</v>
      </c>
      <c r="CO22" s="57">
        <f>SUM(S22:V22)</f>
        <v>4696.1000000000004</v>
      </c>
      <c r="CP22" s="57">
        <f>SUM(W22:Z22)</f>
        <v>4915.7</v>
      </c>
      <c r="CQ22" s="57">
        <f>SUM(AA22:AD22)</f>
        <v>5026.4000000000005</v>
      </c>
      <c r="CR22" s="57">
        <f>SUM(AE22:AH22)</f>
        <v>4622.1000000000004</v>
      </c>
      <c r="CS22" s="57">
        <f>SUM(AI22:AL22)</f>
        <v>1686.2</v>
      </c>
      <c r="CT22" s="57">
        <f>CS22*0.4</f>
        <v>674.48</v>
      </c>
      <c r="CU22" s="57">
        <f>CT22*0.6</f>
        <v>404.68799999999999</v>
      </c>
      <c r="CV22" s="57">
        <f>CU22*0.3</f>
        <v>121.40639999999999</v>
      </c>
      <c r="CW22" s="57">
        <f>CV22*0.8</f>
        <v>97.125119999999995</v>
      </c>
      <c r="CX22" s="57">
        <f>CW22*0.8</f>
        <v>77.700096000000002</v>
      </c>
      <c r="CY22" s="57">
        <v>0</v>
      </c>
      <c r="CZ22" s="57">
        <v>0</v>
      </c>
      <c r="DA22" s="55">
        <f>SUM(BO22:BR22)</f>
        <v>406.6</v>
      </c>
      <c r="DB22" s="55">
        <f>SUM(BS22:BV22)</f>
        <v>430.3</v>
      </c>
      <c r="DC22" s="55">
        <f>SUM(BW22:BZ22)</f>
        <v>372.4</v>
      </c>
      <c r="DD22" s="55">
        <f>SUM(CA22:CD22)</f>
        <v>372.4</v>
      </c>
      <c r="DE22" s="55">
        <f t="shared" ref="DE22:DK22" si="42">+DD22*0.9</f>
        <v>335.15999999999997</v>
      </c>
      <c r="DF22" s="55">
        <f t="shared" si="42"/>
        <v>301.64400000000001</v>
      </c>
      <c r="DG22" s="55">
        <f t="shared" si="42"/>
        <v>271.4796</v>
      </c>
      <c r="DH22" s="55">
        <f t="shared" si="42"/>
        <v>244.33164000000002</v>
      </c>
      <c r="DI22" s="55">
        <f t="shared" si="42"/>
        <v>219.89847600000002</v>
      </c>
      <c r="DJ22" s="55">
        <f t="shared" si="42"/>
        <v>197.90862840000003</v>
      </c>
      <c r="DK22" s="55">
        <f t="shared" si="42"/>
        <v>178.11776556000004</v>
      </c>
    </row>
    <row r="23" spans="2:115">
      <c r="B23" s="59" t="s">
        <v>376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>
        <v>9.9</v>
      </c>
      <c r="BL23" s="58">
        <v>40.1</v>
      </c>
      <c r="BM23" s="58">
        <v>46.6</v>
      </c>
      <c r="BN23" s="58">
        <v>37.4</v>
      </c>
      <c r="BO23" s="58">
        <v>57.4</v>
      </c>
      <c r="BP23" s="58">
        <v>64.099999999999994</v>
      </c>
      <c r="BQ23" s="58">
        <v>84.4</v>
      </c>
      <c r="BR23" s="58">
        <v>102.8</v>
      </c>
      <c r="BS23" s="58">
        <v>109.7</v>
      </c>
      <c r="BT23" s="58">
        <v>105</v>
      </c>
      <c r="BU23" s="58">
        <v>125.6</v>
      </c>
      <c r="BV23" s="58">
        <v>77.8</v>
      </c>
      <c r="BW23" s="58">
        <v>85.5</v>
      </c>
      <c r="BX23" s="58">
        <f>+BW23</f>
        <v>85.5</v>
      </c>
      <c r="BY23" s="58">
        <f t="shared" ref="BY23:CD23" si="43">+BX23</f>
        <v>85.5</v>
      </c>
      <c r="BZ23" s="58">
        <f t="shared" si="43"/>
        <v>85.5</v>
      </c>
      <c r="CA23" s="58">
        <f t="shared" si="43"/>
        <v>85.5</v>
      </c>
      <c r="CB23" s="58">
        <f t="shared" si="43"/>
        <v>85.5</v>
      </c>
      <c r="CC23" s="58">
        <f t="shared" si="43"/>
        <v>85.5</v>
      </c>
      <c r="CD23" s="58">
        <f t="shared" si="43"/>
        <v>85.5</v>
      </c>
      <c r="CE23" s="58"/>
      <c r="CF23" s="58"/>
      <c r="CG23" s="55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5">
        <f>SUM(BO23:BR23)</f>
        <v>308.7</v>
      </c>
      <c r="DB23" s="55">
        <f>SUM(BS23:BV23)</f>
        <v>418.09999999999997</v>
      </c>
      <c r="DC23" s="55">
        <f>SUM(BW23:BZ23)</f>
        <v>342</v>
      </c>
      <c r="DD23" s="55">
        <f>SUM(CA23:CD23)</f>
        <v>342</v>
      </c>
      <c r="DE23" s="55">
        <f t="shared" ref="DE23:DK23" si="44">+DD23*0.9</f>
        <v>307.8</v>
      </c>
      <c r="DF23" s="55">
        <f t="shared" si="44"/>
        <v>277.02000000000004</v>
      </c>
      <c r="DG23" s="55">
        <f t="shared" si="44"/>
        <v>249.31800000000004</v>
      </c>
      <c r="DH23" s="55">
        <f t="shared" si="44"/>
        <v>224.38620000000003</v>
      </c>
      <c r="DI23" s="55">
        <f t="shared" si="44"/>
        <v>201.94758000000004</v>
      </c>
      <c r="DJ23" s="55">
        <f t="shared" si="44"/>
        <v>181.75282200000004</v>
      </c>
      <c r="DK23" s="55">
        <f t="shared" si="44"/>
        <v>163.57753980000004</v>
      </c>
    </row>
    <row r="24" spans="2:115">
      <c r="B24" s="52" t="s">
        <v>14</v>
      </c>
      <c r="C24" s="57">
        <v>0</v>
      </c>
      <c r="D24" s="57">
        <v>0</v>
      </c>
      <c r="E24" s="57">
        <v>32.5</v>
      </c>
      <c r="F24" s="57">
        <v>61.3</v>
      </c>
      <c r="G24" s="57">
        <v>106.8</v>
      </c>
      <c r="H24" s="57">
        <v>161.4</v>
      </c>
      <c r="I24" s="57">
        <v>182.8</v>
      </c>
      <c r="J24" s="57">
        <v>228.8</v>
      </c>
      <c r="K24" s="57">
        <v>233</v>
      </c>
      <c r="L24" s="57">
        <v>310</v>
      </c>
      <c r="M24" s="57">
        <v>349</v>
      </c>
      <c r="N24" s="57">
        <v>424.1</v>
      </c>
      <c r="O24" s="57">
        <v>441.8</v>
      </c>
      <c r="P24" s="57">
        <v>519.5</v>
      </c>
      <c r="Q24" s="57">
        <v>513.20000000000005</v>
      </c>
      <c r="R24" s="57">
        <v>628.29999999999995</v>
      </c>
      <c r="S24" s="57">
        <v>605.1</v>
      </c>
      <c r="T24" s="57">
        <v>654.4</v>
      </c>
      <c r="U24" s="57">
        <v>716.4</v>
      </c>
      <c r="V24" s="57">
        <v>721.2</v>
      </c>
      <c r="W24" s="57">
        <v>709.3</v>
      </c>
      <c r="X24" s="57">
        <v>744.4</v>
      </c>
      <c r="Y24" s="57">
        <v>790.2</v>
      </c>
      <c r="Z24" s="57">
        <v>830.8</v>
      </c>
      <c r="AA24" s="57">
        <v>803.2</v>
      </c>
      <c r="AB24" s="57">
        <v>867.7</v>
      </c>
      <c r="AC24" s="57">
        <v>825.3</v>
      </c>
      <c r="AD24" s="57">
        <v>984.6</v>
      </c>
      <c r="AE24" s="57">
        <v>908.8</v>
      </c>
      <c r="AF24" s="57">
        <v>1003.4</v>
      </c>
      <c r="AG24" s="57">
        <v>1068.5999999999999</v>
      </c>
      <c r="AH24" s="57">
        <v>1180.7</v>
      </c>
      <c r="AI24" s="57">
        <v>1114.9000000000001</v>
      </c>
      <c r="AJ24" s="57">
        <v>1223.0999999999999</v>
      </c>
      <c r="AK24" s="57">
        <v>1235.8</v>
      </c>
      <c r="AL24" s="57">
        <f>+AK24+5</f>
        <v>1240.8</v>
      </c>
      <c r="AM24" s="57">
        <f t="shared" ref="AM24:AP24" si="45">+AL24+5</f>
        <v>1245.8</v>
      </c>
      <c r="AN24" s="57">
        <f t="shared" si="45"/>
        <v>1250.8</v>
      </c>
      <c r="AO24" s="57">
        <f t="shared" si="45"/>
        <v>1255.8</v>
      </c>
      <c r="AP24" s="57">
        <f t="shared" si="45"/>
        <v>1260.8</v>
      </c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>
        <v>164.1</v>
      </c>
      <c r="BL24" s="57"/>
      <c r="BM24" s="57"/>
      <c r="BN24" s="57"/>
      <c r="BO24" s="57">
        <v>210.4</v>
      </c>
      <c r="BP24" s="57">
        <v>179.9</v>
      </c>
      <c r="BQ24" s="57">
        <v>186.6</v>
      </c>
      <c r="BR24" s="57">
        <f>42.1+725.6-BQ24-BP24-BO24</f>
        <v>190.80000000000004</v>
      </c>
      <c r="BS24" s="57">
        <v>176.6</v>
      </c>
      <c r="BT24" s="57">
        <v>175.6</v>
      </c>
      <c r="BU24" s="57">
        <v>132</v>
      </c>
      <c r="BV24" s="57">
        <f>581.5-BU24-BT24-BS24</f>
        <v>97.299999999999983</v>
      </c>
      <c r="BW24" s="57">
        <v>81.099999999999994</v>
      </c>
      <c r="BX24" s="57">
        <f>+BW24</f>
        <v>81.099999999999994</v>
      </c>
      <c r="BY24" s="57">
        <f t="shared" ref="BY24:CD24" si="46">+BX24</f>
        <v>81.099999999999994</v>
      </c>
      <c r="BZ24" s="57">
        <f t="shared" si="46"/>
        <v>81.099999999999994</v>
      </c>
      <c r="CA24" s="57">
        <f t="shared" si="46"/>
        <v>81.099999999999994</v>
      </c>
      <c r="CB24" s="57">
        <f t="shared" si="46"/>
        <v>81.099999999999994</v>
      </c>
      <c r="CC24" s="57">
        <f t="shared" si="46"/>
        <v>81.099999999999994</v>
      </c>
      <c r="CD24" s="57">
        <f t="shared" si="46"/>
        <v>81.099999999999994</v>
      </c>
      <c r="CE24" s="57"/>
      <c r="CF24" s="57"/>
      <c r="CG24" s="55"/>
      <c r="CH24" s="57"/>
      <c r="CI24" s="57"/>
      <c r="CJ24" s="57"/>
      <c r="CK24" s="57">
        <v>92</v>
      </c>
      <c r="CL24" s="57">
        <v>680</v>
      </c>
      <c r="CM24" s="57">
        <f>SUM(K24:N24)</f>
        <v>1316.1</v>
      </c>
      <c r="CN24" s="57">
        <f>SUM(O24:R24)</f>
        <v>2102.8000000000002</v>
      </c>
      <c r="CO24" s="57">
        <f>SUM(S24:V24)</f>
        <v>2697.1000000000004</v>
      </c>
      <c r="CP24" s="57">
        <f>SUM(W24:Z24)</f>
        <v>3074.7</v>
      </c>
      <c r="CQ24" s="57">
        <f>SUM(AA24:AD24)</f>
        <v>3480.7999999999997</v>
      </c>
      <c r="CR24" s="57">
        <f>SUM(AE24:AH24)</f>
        <v>4161.5</v>
      </c>
      <c r="CS24" s="57">
        <f>SUM(AI24:AL24)</f>
        <v>4814.6000000000004</v>
      </c>
      <c r="CT24" s="57">
        <f>CS24*1.1</f>
        <v>5296.06</v>
      </c>
      <c r="CU24" s="57">
        <f>CT24*0.4</f>
        <v>2118.4240000000004</v>
      </c>
      <c r="CV24" s="57">
        <f>CU24*0.4</f>
        <v>847.36960000000022</v>
      </c>
      <c r="CW24" s="57">
        <f>CV24*0.4</f>
        <v>338.9478400000001</v>
      </c>
      <c r="CX24" s="57">
        <f>CW24*0.4</f>
        <v>135.57913600000003</v>
      </c>
      <c r="CY24" s="57">
        <v>0</v>
      </c>
      <c r="CZ24" s="57">
        <v>0</v>
      </c>
      <c r="DA24" s="55">
        <f>SUM(BO24:BR24)</f>
        <v>767.7</v>
      </c>
      <c r="DB24" s="55">
        <f>SUM(BS24:BV24)</f>
        <v>581.5</v>
      </c>
      <c r="DC24" s="55">
        <f>SUM(BW24:BZ24)</f>
        <v>324.39999999999998</v>
      </c>
      <c r="DD24" s="55">
        <f>SUM(CA24:CD24)</f>
        <v>324.39999999999998</v>
      </c>
      <c r="DE24" s="55">
        <f t="shared" ref="DE24:DK24" si="47">+DD24*0.9</f>
        <v>291.95999999999998</v>
      </c>
      <c r="DF24" s="55">
        <f t="shared" si="47"/>
        <v>262.76400000000001</v>
      </c>
      <c r="DG24" s="55">
        <f t="shared" si="47"/>
        <v>236.48760000000001</v>
      </c>
      <c r="DH24" s="55">
        <f t="shared" si="47"/>
        <v>212.83884</v>
      </c>
      <c r="DI24" s="55">
        <f t="shared" si="47"/>
        <v>191.554956</v>
      </c>
      <c r="DJ24" s="55">
        <f t="shared" si="47"/>
        <v>172.39946040000001</v>
      </c>
      <c r="DK24" s="55">
        <f t="shared" si="47"/>
        <v>155.15951436</v>
      </c>
    </row>
    <row r="25" spans="2:115">
      <c r="B25" s="91" t="s">
        <v>504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>
        <v>93.2</v>
      </c>
      <c r="BP25" s="57">
        <v>76.8</v>
      </c>
      <c r="BQ25" s="57">
        <v>91.7</v>
      </c>
      <c r="BR25" s="57">
        <v>96.8</v>
      </c>
      <c r="BS25" s="57">
        <v>94.6</v>
      </c>
      <c r="BT25" s="57">
        <v>89.2</v>
      </c>
      <c r="BU25" s="57">
        <v>96.1</v>
      </c>
      <c r="BV25" s="57">
        <v>92.6</v>
      </c>
      <c r="BW25" s="57">
        <v>0</v>
      </c>
      <c r="BX25" s="57"/>
      <c r="BY25" s="57"/>
      <c r="BZ25" s="57"/>
      <c r="CA25" s="57"/>
      <c r="CB25" s="57"/>
      <c r="CC25" s="57"/>
      <c r="CD25" s="57"/>
      <c r="CE25" s="57"/>
      <c r="CF25" s="57"/>
      <c r="CG25" s="55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5">
        <f>SUM(BO25:BR25)</f>
        <v>358.5</v>
      </c>
      <c r="DB25" s="55">
        <f>SUM(BS25:BV25)</f>
        <v>372.5</v>
      </c>
      <c r="DC25" s="55">
        <f>SUM(BW25:BZ25)</f>
        <v>0</v>
      </c>
      <c r="DD25" s="55">
        <f>SUM(CA25:CD25)</f>
        <v>0</v>
      </c>
      <c r="DE25" s="55">
        <f t="shared" ref="DE25:DK25" si="48">+DD25*0.9</f>
        <v>0</v>
      </c>
      <c r="DF25" s="55">
        <f t="shared" si="48"/>
        <v>0</v>
      </c>
      <c r="DG25" s="55">
        <f t="shared" si="48"/>
        <v>0</v>
      </c>
      <c r="DH25" s="55">
        <f t="shared" si="48"/>
        <v>0</v>
      </c>
      <c r="DI25" s="55">
        <f t="shared" si="48"/>
        <v>0</v>
      </c>
      <c r="DJ25" s="55">
        <f t="shared" si="48"/>
        <v>0</v>
      </c>
      <c r="DK25" s="55">
        <f t="shared" si="48"/>
        <v>0</v>
      </c>
    </row>
    <row r="26" spans="2:115">
      <c r="B26" s="52" t="s">
        <v>62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>
        <v>41.1</v>
      </c>
      <c r="BP26" s="57">
        <v>33.200000000000003</v>
      </c>
      <c r="BQ26" s="57">
        <v>43.2</v>
      </c>
      <c r="BR26" s="57">
        <v>35.6</v>
      </c>
      <c r="BS26" s="57">
        <v>32.4</v>
      </c>
      <c r="BT26" s="57">
        <v>35</v>
      </c>
      <c r="BU26" s="57">
        <v>36</v>
      </c>
      <c r="BV26" s="57">
        <v>31.4</v>
      </c>
      <c r="BW26" s="57">
        <v>74.2</v>
      </c>
      <c r="BX26" s="57">
        <f>+BW26</f>
        <v>74.2</v>
      </c>
      <c r="BY26" s="57">
        <f t="shared" ref="BY26:CD26" si="49">+BX26</f>
        <v>74.2</v>
      </c>
      <c r="BZ26" s="57">
        <f t="shared" si="49"/>
        <v>74.2</v>
      </c>
      <c r="CA26" s="57">
        <f t="shared" si="49"/>
        <v>74.2</v>
      </c>
      <c r="CB26" s="57">
        <f t="shared" si="49"/>
        <v>74.2</v>
      </c>
      <c r="CC26" s="57">
        <f t="shared" si="49"/>
        <v>74.2</v>
      </c>
      <c r="CD26" s="57">
        <f t="shared" si="49"/>
        <v>74.2</v>
      </c>
      <c r="CE26" s="57"/>
      <c r="CF26" s="57"/>
      <c r="CG26" s="55"/>
      <c r="CH26" s="57"/>
      <c r="CI26" s="57">
        <v>168</v>
      </c>
      <c r="CJ26" s="57">
        <v>98</v>
      </c>
      <c r="CK26" s="57">
        <v>89</v>
      </c>
      <c r="CL26" s="57">
        <v>4</v>
      </c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0"/>
      <c r="CZ26" s="60"/>
      <c r="DA26" s="55">
        <f>SUM(BO26:BR26)</f>
        <v>153.10000000000002</v>
      </c>
      <c r="DB26" s="55">
        <f>SUM(BS26:BV26)</f>
        <v>134.80000000000001</v>
      </c>
      <c r="DC26" s="55">
        <f>SUM(BW26:BZ26)</f>
        <v>296.8</v>
      </c>
      <c r="DD26" s="55">
        <f>SUM(CA26:CD26)</f>
        <v>296.8</v>
      </c>
      <c r="DE26" s="55">
        <f t="shared" ref="DE26:DK27" si="50">+DD26*0.9</f>
        <v>267.12</v>
      </c>
      <c r="DF26" s="55">
        <f t="shared" si="50"/>
        <v>240.40800000000002</v>
      </c>
      <c r="DG26" s="55">
        <f t="shared" si="50"/>
        <v>216.36720000000003</v>
      </c>
      <c r="DH26" s="55">
        <f t="shared" si="50"/>
        <v>194.73048000000003</v>
      </c>
      <c r="DI26" s="55">
        <f t="shared" si="50"/>
        <v>175.25743200000002</v>
      </c>
      <c r="DJ26" s="55">
        <f t="shared" si="50"/>
        <v>157.73168880000003</v>
      </c>
      <c r="DK26" s="55">
        <f t="shared" si="50"/>
        <v>141.95851992000004</v>
      </c>
    </row>
    <row r="27" spans="2:115">
      <c r="B27" s="59" t="s">
        <v>382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>
        <v>0</v>
      </c>
      <c r="BL27" s="57">
        <v>0</v>
      </c>
      <c r="BM27" s="57">
        <v>0</v>
      </c>
      <c r="BN27" s="57">
        <v>0</v>
      </c>
      <c r="BO27" s="57">
        <v>0</v>
      </c>
      <c r="BP27" s="57">
        <v>6.3</v>
      </c>
      <c r="BQ27" s="57">
        <v>11.6</v>
      </c>
      <c r="BR27" s="57">
        <v>18.7</v>
      </c>
      <c r="BS27" s="57">
        <v>16.8</v>
      </c>
      <c r="BT27" s="57">
        <v>25.7</v>
      </c>
      <c r="BU27" s="57">
        <v>33.6</v>
      </c>
      <c r="BV27" s="57">
        <v>38.6</v>
      </c>
      <c r="BW27" s="57">
        <v>41.8</v>
      </c>
      <c r="BX27" s="57">
        <f>+BW27+3</f>
        <v>44.8</v>
      </c>
      <c r="BY27" s="57">
        <f t="shared" ref="BY27:CD27" si="51">+BX27+3</f>
        <v>47.8</v>
      </c>
      <c r="BZ27" s="57">
        <f t="shared" si="51"/>
        <v>50.8</v>
      </c>
      <c r="CA27" s="57">
        <f t="shared" si="51"/>
        <v>53.8</v>
      </c>
      <c r="CB27" s="57">
        <f t="shared" si="51"/>
        <v>56.8</v>
      </c>
      <c r="CC27" s="57">
        <f t="shared" si="51"/>
        <v>59.8</v>
      </c>
      <c r="CD27" s="57">
        <f t="shared" si="51"/>
        <v>62.8</v>
      </c>
      <c r="CE27" s="57"/>
      <c r="CF27" s="57"/>
      <c r="CG27" s="55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0"/>
      <c r="CZ27" s="60"/>
      <c r="DA27" s="55">
        <f>SUM(BO27:BR27)</f>
        <v>36.599999999999994</v>
      </c>
      <c r="DB27" s="55">
        <f>SUM(BS27:BV27)</f>
        <v>114.69999999999999</v>
      </c>
      <c r="DC27" s="55">
        <f>SUM(BW27:BZ27)</f>
        <v>185.2</v>
      </c>
      <c r="DD27" s="55">
        <f>SUM(CA27:CD27)</f>
        <v>233.2</v>
      </c>
      <c r="DE27" s="55">
        <f>+DD27*1.3</f>
        <v>303.15999999999997</v>
      </c>
      <c r="DF27" s="55">
        <f>+DE27*1.3</f>
        <v>394.10799999999995</v>
      </c>
      <c r="DG27" s="55">
        <f>+DF27*1.3</f>
        <v>512.34039999999993</v>
      </c>
      <c r="DH27" s="55">
        <f>+DG27*1.3</f>
        <v>666.04251999999997</v>
      </c>
      <c r="DI27" s="55">
        <f>+DH27*1.3</f>
        <v>865.855276</v>
      </c>
      <c r="DJ27" s="55">
        <f>+DI27*1.3</f>
        <v>1125.6118587999999</v>
      </c>
      <c r="DK27" s="55">
        <f>+DJ27*0.1</f>
        <v>112.56118588</v>
      </c>
    </row>
    <row r="28" spans="2:115">
      <c r="B28" s="59" t="s">
        <v>459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>
        <v>0</v>
      </c>
      <c r="BL28" s="57">
        <v>0</v>
      </c>
      <c r="BM28" s="57">
        <v>6.2</v>
      </c>
      <c r="BN28" s="57">
        <v>0</v>
      </c>
      <c r="BO28" s="57">
        <v>17.8</v>
      </c>
      <c r="BP28" s="57">
        <v>13.6</v>
      </c>
      <c r="BQ28" s="57">
        <v>20.9</v>
      </c>
      <c r="BR28" s="57">
        <v>23.8</v>
      </c>
      <c r="BS28" s="57">
        <v>24.4</v>
      </c>
      <c r="BT28" s="57">
        <v>25.9</v>
      </c>
      <c r="BU28" s="57">
        <v>31.9</v>
      </c>
      <c r="BV28" s="57">
        <v>31</v>
      </c>
      <c r="BW28" s="57">
        <v>0</v>
      </c>
      <c r="BX28" s="57">
        <f>+BW28</f>
        <v>0</v>
      </c>
      <c r="BY28" s="57">
        <f t="shared" ref="BY28:CD28" si="52">+BX28</f>
        <v>0</v>
      </c>
      <c r="BZ28" s="57">
        <f t="shared" si="52"/>
        <v>0</v>
      </c>
      <c r="CA28" s="57">
        <f t="shared" si="52"/>
        <v>0</v>
      </c>
      <c r="CB28" s="57">
        <f t="shared" si="52"/>
        <v>0</v>
      </c>
      <c r="CC28" s="57">
        <f t="shared" si="52"/>
        <v>0</v>
      </c>
      <c r="CD28" s="57">
        <f t="shared" si="52"/>
        <v>0</v>
      </c>
      <c r="CE28" s="57"/>
      <c r="CF28" s="57"/>
      <c r="CG28" s="55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60"/>
      <c r="CZ28" s="60"/>
      <c r="DA28" s="55">
        <f>SUM(BO28:BR28)</f>
        <v>76.099999999999994</v>
      </c>
      <c r="DB28" s="55">
        <f>SUM(BS28:BV28)</f>
        <v>113.19999999999999</v>
      </c>
      <c r="DC28" s="55">
        <f>SUM(BW28:BZ28)</f>
        <v>0</v>
      </c>
      <c r="DD28" s="55">
        <f>SUM(CA28:CD28)</f>
        <v>0</v>
      </c>
      <c r="DE28" s="55"/>
      <c r="DF28" s="55"/>
      <c r="DG28" s="55"/>
      <c r="DH28" s="55"/>
      <c r="DI28" s="55"/>
      <c r="DJ28" s="55"/>
      <c r="DK28" s="55"/>
    </row>
    <row r="29" spans="2:115">
      <c r="B29" s="59" t="s">
        <v>379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>
        <v>2.6</v>
      </c>
      <c r="BP29" s="58">
        <v>8.1</v>
      </c>
      <c r="BQ29" s="58">
        <v>10.6</v>
      </c>
      <c r="BR29" s="58">
        <v>13.2</v>
      </c>
      <c r="BS29" s="58">
        <v>16.899999999999999</v>
      </c>
      <c r="BT29" s="58">
        <v>7.9</v>
      </c>
      <c r="BU29" s="58">
        <v>4.9000000000000004</v>
      </c>
      <c r="BV29" s="58">
        <f>15.3+17.6-BU29-BT29-BS29</f>
        <v>3.2000000000000099</v>
      </c>
      <c r="BW29" s="58">
        <v>4.5</v>
      </c>
      <c r="BX29" s="58">
        <f>+BW29</f>
        <v>4.5</v>
      </c>
      <c r="BY29" s="58">
        <f t="shared" ref="BY29:CD29" si="53">+BX29</f>
        <v>4.5</v>
      </c>
      <c r="BZ29" s="58">
        <f t="shared" si="53"/>
        <v>4.5</v>
      </c>
      <c r="CA29" s="58">
        <f t="shared" si="53"/>
        <v>4.5</v>
      </c>
      <c r="CB29" s="58">
        <f t="shared" si="53"/>
        <v>4.5</v>
      </c>
      <c r="CC29" s="58">
        <f t="shared" si="53"/>
        <v>4.5</v>
      </c>
      <c r="CD29" s="58">
        <f t="shared" si="53"/>
        <v>4.5</v>
      </c>
      <c r="CE29" s="58"/>
      <c r="CF29" s="58"/>
      <c r="CG29" s="55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5">
        <f>SUM(BO29:BR29)</f>
        <v>34.5</v>
      </c>
      <c r="DB29" s="55">
        <f>SUM(BS29:BV29)</f>
        <v>32.900000000000006</v>
      </c>
      <c r="DC29" s="55">
        <f>SUM(BW29:BZ29)</f>
        <v>18</v>
      </c>
      <c r="DD29" s="55">
        <f>SUM(CA29:CD29)</f>
        <v>18</v>
      </c>
      <c r="DE29" s="55">
        <f>+DD29</f>
        <v>18</v>
      </c>
      <c r="DF29" s="55">
        <f t="shared" ref="DF29:DK29" si="54">+DE29</f>
        <v>18</v>
      </c>
      <c r="DG29" s="55">
        <f t="shared" si="54"/>
        <v>18</v>
      </c>
      <c r="DH29" s="55">
        <f t="shared" si="54"/>
        <v>18</v>
      </c>
      <c r="DI29" s="55">
        <f t="shared" si="54"/>
        <v>18</v>
      </c>
      <c r="DJ29" s="55">
        <f t="shared" si="54"/>
        <v>18</v>
      </c>
      <c r="DK29" s="55">
        <f t="shared" si="54"/>
        <v>18</v>
      </c>
    </row>
    <row r="30" spans="2:115">
      <c r="B30" s="59" t="s">
        <v>507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>
        <v>28</v>
      </c>
      <c r="BP30" s="58">
        <v>22.7</v>
      </c>
      <c r="BQ30" s="58">
        <v>24.8</v>
      </c>
      <c r="BR30" s="58">
        <v>22.3</v>
      </c>
      <c r="BS30" s="58">
        <v>21.8</v>
      </c>
      <c r="BT30" s="58">
        <v>9.3000000000000007</v>
      </c>
      <c r="BU30" s="58">
        <v>10.4</v>
      </c>
      <c r="BV30" s="58">
        <v>8.8000000000000007</v>
      </c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5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5">
        <f>SUM(BO30:BR30)</f>
        <v>97.8</v>
      </c>
      <c r="DB30" s="55">
        <f>SUM(BS30:BV30)</f>
        <v>50.3</v>
      </c>
      <c r="DC30" s="55">
        <f>SUM(BW30:BZ30)</f>
        <v>0</v>
      </c>
      <c r="DD30" s="55">
        <f>SUM(CA30:CD30)</f>
        <v>0</v>
      </c>
      <c r="DE30" s="55"/>
      <c r="DF30" s="55"/>
      <c r="DG30" s="55"/>
      <c r="DH30" s="55"/>
      <c r="DI30" s="55"/>
      <c r="DJ30" s="55"/>
      <c r="DK30" s="55"/>
    </row>
    <row r="31" spans="2:115">
      <c r="B31" s="59" t="s">
        <v>460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>
        <v>1.4</v>
      </c>
      <c r="BP31" s="58">
        <v>2.9</v>
      </c>
      <c r="BQ31" s="58">
        <v>4</v>
      </c>
      <c r="BR31" s="58">
        <v>4.4000000000000004</v>
      </c>
      <c r="BS31" s="58">
        <v>2.5</v>
      </c>
      <c r="BT31" s="58">
        <v>9.4</v>
      </c>
      <c r="BU31" s="58">
        <v>5.3</v>
      </c>
      <c r="BV31" s="58">
        <v>6.9</v>
      </c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5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5">
        <f>SUM(BO31:BR31)</f>
        <v>12.700000000000001</v>
      </c>
      <c r="DB31" s="55">
        <f>SUM(BS31:BV31)</f>
        <v>24.1</v>
      </c>
      <c r="DC31" s="55">
        <f>SUM(BW31:BZ31)</f>
        <v>0</v>
      </c>
      <c r="DD31" s="55">
        <f>SUM(CA31:CD31)</f>
        <v>0</v>
      </c>
      <c r="DE31" s="55"/>
      <c r="DF31" s="55"/>
      <c r="DG31" s="55"/>
      <c r="DH31" s="55"/>
      <c r="DI31" s="55"/>
      <c r="DJ31" s="55"/>
      <c r="DK31" s="55"/>
    </row>
    <row r="32" spans="2:115">
      <c r="B32" s="52" t="s">
        <v>15</v>
      </c>
      <c r="C32" s="57">
        <v>141.1</v>
      </c>
      <c r="D32" s="57">
        <v>178.6</v>
      </c>
      <c r="E32" s="57">
        <v>163.6</v>
      </c>
      <c r="F32" s="57">
        <v>183.4</v>
      </c>
      <c r="G32" s="57">
        <v>119.8</v>
      </c>
      <c r="H32" s="57">
        <v>123.5</v>
      </c>
      <c r="I32" s="57">
        <v>140.9</v>
      </c>
      <c r="J32" s="57">
        <v>168</v>
      </c>
      <c r="K32" s="57">
        <v>152</v>
      </c>
      <c r="L32" s="57">
        <v>144</v>
      </c>
      <c r="M32" s="57">
        <v>126</v>
      </c>
      <c r="N32" s="57">
        <v>156.30000000000001</v>
      </c>
      <c r="O32" s="57">
        <v>139.9</v>
      </c>
      <c r="P32" s="57">
        <v>142.30000000000001</v>
      </c>
      <c r="Q32" s="57">
        <v>130.5</v>
      </c>
      <c r="R32" s="57">
        <v>156.80000000000001</v>
      </c>
      <c r="S32" s="57">
        <v>148</v>
      </c>
      <c r="T32" s="57">
        <v>135.19999999999999</v>
      </c>
      <c r="U32" s="57">
        <v>149.5</v>
      </c>
      <c r="V32" s="57">
        <v>146.80000000000001</v>
      </c>
      <c r="W32" s="57">
        <v>158.9</v>
      </c>
      <c r="X32" s="57">
        <v>142.80000000000001</v>
      </c>
      <c r="Y32" s="57">
        <v>145.5</v>
      </c>
      <c r="Z32" s="57">
        <v>162.19999999999999</v>
      </c>
      <c r="AA32" s="57">
        <v>146.4</v>
      </c>
      <c r="AB32" s="57">
        <v>147.1</v>
      </c>
      <c r="AC32" s="57">
        <v>127.9</v>
      </c>
      <c r="AD32" s="57">
        <v>155.4</v>
      </c>
      <c r="AE32" s="57">
        <v>138.69999999999999</v>
      </c>
      <c r="AF32" s="57">
        <v>157.69999999999999</v>
      </c>
      <c r="AG32" s="57">
        <v>153.19999999999999</v>
      </c>
      <c r="AH32" s="57">
        <v>170.6</v>
      </c>
      <c r="AI32" s="57">
        <v>158.9</v>
      </c>
      <c r="AJ32" s="57">
        <v>153</v>
      </c>
      <c r="AK32" s="57">
        <v>145.6</v>
      </c>
      <c r="AL32" s="57">
        <f t="shared" ref="AL32:AP32" si="55">+AK32</f>
        <v>145.6</v>
      </c>
      <c r="AM32" s="57">
        <f t="shared" si="55"/>
        <v>145.6</v>
      </c>
      <c r="AN32" s="57">
        <f t="shared" si="55"/>
        <v>145.6</v>
      </c>
      <c r="AO32" s="57">
        <f t="shared" si="55"/>
        <v>145.6</v>
      </c>
      <c r="AP32" s="57">
        <f t="shared" si="55"/>
        <v>145.6</v>
      </c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>
        <v>38.200000000000003</v>
      </c>
      <c r="BP32" s="57">
        <v>22.5</v>
      </c>
      <c r="BQ32" s="57">
        <v>32.700000000000003</v>
      </c>
      <c r="BR32" s="57">
        <v>35.1</v>
      </c>
      <c r="BS32" s="57">
        <v>38.6</v>
      </c>
      <c r="BT32" s="57">
        <v>40.5</v>
      </c>
      <c r="BU32" s="57">
        <v>35.200000000000003</v>
      </c>
      <c r="BV32" s="57">
        <v>36.1</v>
      </c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5"/>
      <c r="CH32" s="57"/>
      <c r="CI32" s="57">
        <v>3</v>
      </c>
      <c r="CJ32" s="57">
        <v>370</v>
      </c>
      <c r="CK32" s="57">
        <v>666</v>
      </c>
      <c r="CL32" s="57">
        <v>552</v>
      </c>
      <c r="CM32" s="57">
        <v>594</v>
      </c>
      <c r="CN32" s="57">
        <f>SUM(O32:R32)</f>
        <v>569.5</v>
      </c>
      <c r="CO32" s="57">
        <f>SUM(S32:V32)</f>
        <v>579.5</v>
      </c>
      <c r="CP32" s="57">
        <f>SUM(W32:Z32)</f>
        <v>609.40000000000009</v>
      </c>
      <c r="CQ32" s="57">
        <f>SUM(AA32:AD32)</f>
        <v>576.79999999999995</v>
      </c>
      <c r="CR32" s="57">
        <f>SUM(AE32:AH32)</f>
        <v>620.19999999999993</v>
      </c>
      <c r="CS32" s="57">
        <f>SUM(AI32:AL32)</f>
        <v>603.1</v>
      </c>
      <c r="CT32" s="57">
        <f>CS32*0.95</f>
        <v>572.94500000000005</v>
      </c>
      <c r="CU32" s="57">
        <f>CT32*0.95</f>
        <v>544.29775000000006</v>
      </c>
      <c r="CV32" s="57">
        <f>CU32*0.95</f>
        <v>517.08286250000003</v>
      </c>
      <c r="CW32" s="57">
        <f>CV32*0.5</f>
        <v>258.54143125000002</v>
      </c>
      <c r="CX32" s="57"/>
      <c r="CY32" s="60"/>
      <c r="CZ32" s="61"/>
      <c r="DA32" s="55">
        <f>SUM(BO32:BR32)</f>
        <v>128.5</v>
      </c>
      <c r="DB32" s="55">
        <f>SUM(BS32:BV32)</f>
        <v>150.4</v>
      </c>
      <c r="DC32" s="55">
        <f>SUM(BW32:BZ32)</f>
        <v>0</v>
      </c>
      <c r="DD32" s="55">
        <f>SUM(CA32:CD32)</f>
        <v>0</v>
      </c>
      <c r="DE32" s="55"/>
      <c r="DF32" s="55"/>
      <c r="DG32" s="55"/>
      <c r="DH32" s="55"/>
      <c r="DI32" s="55"/>
      <c r="DJ32" s="55"/>
      <c r="DK32" s="55"/>
    </row>
    <row r="33" spans="2:108">
      <c r="B33" s="52" t="s">
        <v>79</v>
      </c>
      <c r="C33" s="57"/>
      <c r="D33" s="57"/>
      <c r="E33" s="57"/>
      <c r="F33" s="57">
        <v>251.4</v>
      </c>
      <c r="G33" s="57">
        <f>K33/1.01</f>
        <v>196.33663366336634</v>
      </c>
      <c r="H33" s="57">
        <v>201</v>
      </c>
      <c r="I33" s="57">
        <v>216</v>
      </c>
      <c r="J33" s="57">
        <v>251.4</v>
      </c>
      <c r="K33" s="57">
        <v>198.3</v>
      </c>
      <c r="L33" s="57">
        <v>201</v>
      </c>
      <c r="M33" s="57">
        <v>216</v>
      </c>
      <c r="N33" s="57">
        <v>236.6</v>
      </c>
      <c r="O33" s="57">
        <v>210</v>
      </c>
      <c r="P33" s="57">
        <v>214.7</v>
      </c>
      <c r="Q33" s="57">
        <v>236.8</v>
      </c>
      <c r="R33" s="57">
        <v>329.4</v>
      </c>
      <c r="S33" s="57"/>
      <c r="T33" s="57">
        <v>254.5</v>
      </c>
      <c r="U33" s="57">
        <v>277.10000000000002</v>
      </c>
      <c r="V33" s="57">
        <v>326.39999999999998</v>
      </c>
      <c r="W33" s="57">
        <v>264.10000000000002</v>
      </c>
      <c r="X33" s="57">
        <v>275.39999999999998</v>
      </c>
      <c r="Y33" s="57">
        <v>314.60000000000002</v>
      </c>
      <c r="Z33" s="57">
        <v>353.1</v>
      </c>
      <c r="AA33" s="57">
        <v>289.60000000000002</v>
      </c>
      <c r="AB33" s="57">
        <v>324.2</v>
      </c>
      <c r="AC33" s="57">
        <v>353.2</v>
      </c>
      <c r="AD33" s="57">
        <v>424.3</v>
      </c>
      <c r="AE33" s="57">
        <v>369.8</v>
      </c>
      <c r="AF33" s="57">
        <v>389.5</v>
      </c>
      <c r="AG33" s="57">
        <v>451</v>
      </c>
      <c r="AH33" s="57">
        <v>468.2</v>
      </c>
      <c r="AI33" s="57">
        <v>490.7</v>
      </c>
      <c r="AJ33" s="57">
        <v>512.20000000000005</v>
      </c>
      <c r="AK33" s="57">
        <v>479.4</v>
      </c>
      <c r="AL33" s="57">
        <f t="shared" ref="AL33:AP33" si="56">+AK33+5</f>
        <v>484.4</v>
      </c>
      <c r="AM33" s="57">
        <f t="shared" si="56"/>
        <v>489.4</v>
      </c>
      <c r="AN33" s="57">
        <f t="shared" si="56"/>
        <v>494.4</v>
      </c>
      <c r="AO33" s="57">
        <f t="shared" si="56"/>
        <v>499.4</v>
      </c>
      <c r="AP33" s="57">
        <f t="shared" si="56"/>
        <v>504.4</v>
      </c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5"/>
      <c r="CH33" s="57"/>
      <c r="CI33" s="57">
        <v>693</v>
      </c>
      <c r="CJ33" s="57">
        <v>727</v>
      </c>
      <c r="CK33" s="57">
        <v>798</v>
      </c>
      <c r="CL33" s="57">
        <v>864</v>
      </c>
      <c r="CM33" s="57">
        <v>882</v>
      </c>
      <c r="CN33" s="57">
        <f>CM33*1.05</f>
        <v>926.1</v>
      </c>
      <c r="CO33" s="57">
        <f t="shared" si="6"/>
        <v>858</v>
      </c>
      <c r="CP33" s="57">
        <f t="shared" si="7"/>
        <v>1207.2</v>
      </c>
      <c r="CQ33" s="57">
        <f t="shared" si="8"/>
        <v>1391.3</v>
      </c>
      <c r="CR33" s="57">
        <f t="shared" si="9"/>
        <v>1678.5</v>
      </c>
      <c r="CS33" s="57">
        <f t="shared" ref="CS33:CS36" si="57">SUM(AI33:AL33)</f>
        <v>1966.7000000000003</v>
      </c>
      <c r="CT33" s="57">
        <f t="shared" ref="CT33:CW33" si="58">CS33*1.05</f>
        <v>2065.0350000000003</v>
      </c>
      <c r="CU33" s="57">
        <f t="shared" si="58"/>
        <v>2168.2867500000002</v>
      </c>
      <c r="CV33" s="57">
        <f t="shared" si="58"/>
        <v>2276.7010875000005</v>
      </c>
      <c r="CW33" s="57">
        <f t="shared" si="58"/>
        <v>2390.5361418750008</v>
      </c>
      <c r="CX33" s="57"/>
      <c r="CY33" s="57"/>
      <c r="CZ33" s="57"/>
      <c r="DA33" s="55"/>
      <c r="DB33" s="55"/>
      <c r="DC33" s="55"/>
      <c r="DD33" s="55"/>
    </row>
    <row r="34" spans="2:108" s="59" customFormat="1">
      <c r="B34" s="59" t="s">
        <v>264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>
        <v>22.6</v>
      </c>
      <c r="Z34" s="58">
        <v>4</v>
      </c>
      <c r="AA34" s="58">
        <v>8.8000000000000007</v>
      </c>
      <c r="AB34" s="58">
        <v>22.9</v>
      </c>
      <c r="AC34" s="58">
        <v>36.299999999999997</v>
      </c>
      <c r="AD34" s="58">
        <v>47</v>
      </c>
      <c r="AE34" s="58">
        <v>56.3</v>
      </c>
      <c r="AF34" s="58">
        <v>71.7</v>
      </c>
      <c r="AG34" s="58">
        <v>83.5</v>
      </c>
      <c r="AH34" s="58">
        <v>90.9</v>
      </c>
      <c r="AI34" s="58">
        <v>115.8</v>
      </c>
      <c r="AJ34" s="58">
        <v>111</v>
      </c>
      <c r="AK34" s="58">
        <v>109.7</v>
      </c>
      <c r="AL34" s="58">
        <f>+AK34+5</f>
        <v>114.7</v>
      </c>
      <c r="AM34" s="58">
        <f t="shared" ref="AM34:AP34" si="59">+AL34+5</f>
        <v>119.7</v>
      </c>
      <c r="AN34" s="58">
        <f t="shared" si="59"/>
        <v>124.7</v>
      </c>
      <c r="AO34" s="58">
        <f t="shared" si="59"/>
        <v>129.69999999999999</v>
      </c>
      <c r="AP34" s="58">
        <f t="shared" si="59"/>
        <v>134.69999999999999</v>
      </c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6"/>
      <c r="CH34" s="58"/>
      <c r="CI34" s="58"/>
      <c r="CJ34" s="58"/>
      <c r="CK34" s="58"/>
      <c r="CL34" s="58"/>
      <c r="CM34" s="58"/>
      <c r="CN34" s="58"/>
      <c r="CO34" s="58"/>
      <c r="CP34" s="58">
        <f>SUM(W34:Z34)</f>
        <v>26.6</v>
      </c>
      <c r="CQ34" s="58">
        <f>SUM(AA34:AD34)</f>
        <v>115</v>
      </c>
      <c r="CR34" s="57">
        <f t="shared" si="9"/>
        <v>302.39999999999998</v>
      </c>
      <c r="CS34" s="57">
        <f t="shared" si="57"/>
        <v>451.2</v>
      </c>
      <c r="CT34" s="58">
        <f>CS34*1.3</f>
        <v>586.56000000000006</v>
      </c>
      <c r="CU34" s="58">
        <f>CT34*1.1</f>
        <v>645.21600000000012</v>
      </c>
      <c r="CV34" s="58">
        <f>CU34*1.1</f>
        <v>709.73760000000016</v>
      </c>
      <c r="CW34" s="58">
        <f>CV34*1.1</f>
        <v>780.71136000000024</v>
      </c>
      <c r="CX34" s="58">
        <f>CW34*1.1</f>
        <v>858.78249600000038</v>
      </c>
      <c r="CY34" s="58">
        <f t="shared" ref="CY34" si="60">CX34*1.1</f>
        <v>944.6607456000005</v>
      </c>
      <c r="CZ34" s="58"/>
      <c r="DA34" s="55"/>
      <c r="DB34" s="55"/>
      <c r="DC34" s="55"/>
      <c r="DD34" s="55"/>
    </row>
    <row r="35" spans="2:108">
      <c r="B35" s="52" t="s">
        <v>55</v>
      </c>
      <c r="C35" s="57">
        <v>279</v>
      </c>
      <c r="D35" s="57">
        <v>293.3</v>
      </c>
      <c r="E35" s="57">
        <v>312.7</v>
      </c>
      <c r="F35" s="57">
        <v>329.5</v>
      </c>
      <c r="G35" s="57">
        <v>304.60000000000002</v>
      </c>
      <c r="H35" s="57">
        <v>343</v>
      </c>
      <c r="I35" s="57">
        <v>334.3</v>
      </c>
      <c r="J35" s="57">
        <v>352.6</v>
      </c>
      <c r="K35" s="57">
        <v>339</v>
      </c>
      <c r="L35" s="57">
        <v>344</v>
      </c>
      <c r="M35" s="57">
        <v>355</v>
      </c>
      <c r="N35" s="57">
        <v>371.3</v>
      </c>
      <c r="O35" s="57">
        <v>376.9</v>
      </c>
      <c r="P35" s="57">
        <v>395.6</v>
      </c>
      <c r="Q35" s="57">
        <v>394.4</v>
      </c>
      <c r="R35" s="57">
        <v>425.5</v>
      </c>
      <c r="S35" s="57">
        <v>426.2</v>
      </c>
      <c r="T35" s="57">
        <v>440.1</v>
      </c>
      <c r="U35" s="57">
        <v>440.2</v>
      </c>
      <c r="V35" s="57">
        <v>413.3</v>
      </c>
      <c r="W35" s="57">
        <v>367.8</v>
      </c>
      <c r="X35" s="57">
        <v>353.2</v>
      </c>
      <c r="Y35" s="57">
        <v>331.8</v>
      </c>
      <c r="Z35" s="57">
        <v>310.5</v>
      </c>
      <c r="AA35" s="57">
        <v>287.8</v>
      </c>
      <c r="AB35" s="57">
        <v>293.39999999999998</v>
      </c>
      <c r="AC35" s="57">
        <v>324.60000000000002</v>
      </c>
      <c r="AD35" s="57">
        <v>243.6</v>
      </c>
      <c r="AE35" s="57">
        <v>156.1</v>
      </c>
      <c r="AF35" s="57">
        <v>112.4</v>
      </c>
      <c r="AG35" s="57">
        <v>91</v>
      </c>
      <c r="AH35" s="57">
        <v>92.6</v>
      </c>
      <c r="AI35" s="57">
        <v>0</v>
      </c>
      <c r="AJ35" s="57">
        <v>0</v>
      </c>
      <c r="AK35" s="57">
        <v>0</v>
      </c>
      <c r="AL35" s="58">
        <f t="shared" ref="AL35:AP35" si="61">+AK35</f>
        <v>0</v>
      </c>
      <c r="AM35" s="58">
        <f t="shared" si="61"/>
        <v>0</v>
      </c>
      <c r="AN35" s="58">
        <f t="shared" si="61"/>
        <v>0</v>
      </c>
      <c r="AO35" s="58">
        <f t="shared" si="61"/>
        <v>0</v>
      </c>
      <c r="AP35" s="58">
        <f t="shared" si="61"/>
        <v>0</v>
      </c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5"/>
      <c r="CH35" s="57"/>
      <c r="CI35" s="57">
        <v>875</v>
      </c>
      <c r="CJ35" s="57">
        <v>1022</v>
      </c>
      <c r="CK35" s="57">
        <v>1214</v>
      </c>
      <c r="CL35" s="57">
        <v>1335</v>
      </c>
      <c r="CM35" s="57">
        <f>SUM(K35:N35)</f>
        <v>1409.3</v>
      </c>
      <c r="CN35" s="57">
        <f>SUM(O35:R35)</f>
        <v>1592.4</v>
      </c>
      <c r="CO35" s="57">
        <f>SUM(S35:V35)</f>
        <v>1719.8</v>
      </c>
      <c r="CP35" s="57">
        <f>SUM(W35:Z35)</f>
        <v>1363.3</v>
      </c>
      <c r="CQ35" s="57">
        <f>SUM(AA35:AD35)</f>
        <v>1149.4000000000001</v>
      </c>
      <c r="CR35" s="57">
        <f>SUM(AE35:AH35)</f>
        <v>452.1</v>
      </c>
      <c r="CS35" s="57">
        <f t="shared" si="57"/>
        <v>0</v>
      </c>
      <c r="CT35" s="57">
        <f>CS35*0.2</f>
        <v>0</v>
      </c>
      <c r="CU35" s="57">
        <f>CT35*0.2</f>
        <v>0</v>
      </c>
      <c r="CV35" s="57"/>
      <c r="CW35" s="57"/>
      <c r="CX35" s="57"/>
      <c r="CY35" s="60"/>
      <c r="CZ35" s="60"/>
      <c r="DA35" s="55"/>
      <c r="DB35" s="55"/>
      <c r="DC35" s="55"/>
      <c r="DD35" s="55"/>
    </row>
    <row r="36" spans="2:108">
      <c r="B36" s="52" t="s">
        <v>70</v>
      </c>
      <c r="C36" s="57"/>
      <c r="D36" s="57"/>
      <c r="E36" s="57"/>
      <c r="F36" s="57"/>
      <c r="G36" s="57"/>
      <c r="H36" s="57"/>
      <c r="I36" s="57"/>
      <c r="J36" s="57">
        <v>25.7</v>
      </c>
      <c r="K36" s="57">
        <v>36</v>
      </c>
      <c r="L36" s="57">
        <v>52</v>
      </c>
      <c r="M36" s="57">
        <v>62</v>
      </c>
      <c r="N36" s="57">
        <f>R36/1.34</f>
        <v>68.731343283582078</v>
      </c>
      <c r="O36" s="57">
        <v>72</v>
      </c>
      <c r="P36" s="57">
        <v>152.1</v>
      </c>
      <c r="Q36" s="57">
        <v>87.1</v>
      </c>
      <c r="R36" s="57">
        <v>92.1</v>
      </c>
      <c r="S36" s="57">
        <v>82.7</v>
      </c>
      <c r="T36" s="57">
        <v>101.2</v>
      </c>
      <c r="U36" s="57">
        <v>109.2</v>
      </c>
      <c r="V36" s="57">
        <v>103</v>
      </c>
      <c r="W36" s="57">
        <v>97.5</v>
      </c>
      <c r="X36" s="57">
        <v>114.6</v>
      </c>
      <c r="Y36" s="57">
        <v>115.8</v>
      </c>
      <c r="Z36" s="57">
        <v>120.5</v>
      </c>
      <c r="AA36" s="57">
        <v>115.7</v>
      </c>
      <c r="AB36" s="57">
        <v>106.9</v>
      </c>
      <c r="AC36" s="57">
        <v>102.7</v>
      </c>
      <c r="AD36" s="57">
        <v>105.3</v>
      </c>
      <c r="AE36" s="57">
        <v>101.8</v>
      </c>
      <c r="AF36" s="57">
        <v>103.9</v>
      </c>
      <c r="AG36" s="57">
        <v>106.7</v>
      </c>
      <c r="AH36" s="57">
        <v>110.3</v>
      </c>
      <c r="AI36" s="57">
        <v>0</v>
      </c>
      <c r="AJ36" s="57">
        <v>0</v>
      </c>
      <c r="AK36" s="57">
        <v>0</v>
      </c>
      <c r="AL36" s="57">
        <v>0</v>
      </c>
      <c r="AM36" s="57">
        <v>0</v>
      </c>
      <c r="AN36" s="57">
        <v>0</v>
      </c>
      <c r="AO36" s="57">
        <v>0</v>
      </c>
      <c r="AP36" s="57">
        <v>0</v>
      </c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5"/>
      <c r="CH36" s="57"/>
      <c r="CI36" s="57"/>
      <c r="CJ36" s="57"/>
      <c r="CK36" s="57"/>
      <c r="CL36" s="57">
        <v>36</v>
      </c>
      <c r="CM36" s="57">
        <v>193</v>
      </c>
      <c r="CN36" s="57">
        <f>CM36*1.75</f>
        <v>337.75</v>
      </c>
      <c r="CO36" s="57">
        <f>SUM(S36:V36)</f>
        <v>396.1</v>
      </c>
      <c r="CP36" s="57">
        <f>SUM(W36:Z36)</f>
        <v>448.4</v>
      </c>
      <c r="CQ36" s="57">
        <f>SUM(AA36:AD36)</f>
        <v>430.6</v>
      </c>
      <c r="CR36" s="57">
        <f>SUM(AE36:AH36)</f>
        <v>422.7</v>
      </c>
      <c r="CS36" s="57">
        <f t="shared" si="57"/>
        <v>0</v>
      </c>
      <c r="CT36" s="57">
        <f>+CS36*2</f>
        <v>0</v>
      </c>
      <c r="CU36" s="57">
        <f>+CT36*1.05</f>
        <v>0</v>
      </c>
      <c r="CV36" s="57">
        <f t="shared" ref="CV36:CX36" si="62">+CU36*1.05</f>
        <v>0</v>
      </c>
      <c r="CW36" s="57">
        <f t="shared" si="62"/>
        <v>0</v>
      </c>
      <c r="CX36" s="57">
        <f t="shared" si="62"/>
        <v>0</v>
      </c>
      <c r="CY36" s="60"/>
      <c r="CZ36" s="60"/>
      <c r="DA36" s="55"/>
      <c r="DB36" s="55"/>
      <c r="DC36" s="55"/>
      <c r="DD36" s="55"/>
    </row>
    <row r="37" spans="2:108">
      <c r="B37" s="52" t="s">
        <v>61</v>
      </c>
      <c r="C37" s="57">
        <v>165</v>
      </c>
      <c r="D37" s="57">
        <v>129.80000000000001</v>
      </c>
      <c r="E37" s="57">
        <v>141</v>
      </c>
      <c r="F37" s="57">
        <v>123.1</v>
      </c>
      <c r="G37" s="57">
        <v>112.5</v>
      </c>
      <c r="H37" s="57">
        <v>114.2</v>
      </c>
      <c r="I37" s="57">
        <v>102.6</v>
      </c>
      <c r="J37" s="57">
        <v>114.4</v>
      </c>
      <c r="K37" s="57"/>
      <c r="L37" s="57"/>
      <c r="M37" s="57">
        <v>78</v>
      </c>
      <c r="N37" s="57"/>
      <c r="O37" s="57">
        <f>M37</f>
        <v>78</v>
      </c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5"/>
      <c r="CH37" s="57"/>
      <c r="CI37" s="57">
        <v>656</v>
      </c>
      <c r="CJ37" s="57">
        <v>645</v>
      </c>
      <c r="CK37" s="57">
        <v>559</v>
      </c>
      <c r="CL37" s="57">
        <v>454</v>
      </c>
      <c r="CM37" s="57">
        <v>327</v>
      </c>
      <c r="CN37" s="57">
        <f>CM37*0.95</f>
        <v>310.64999999999998</v>
      </c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60"/>
      <c r="CZ37" s="60"/>
      <c r="DA37" s="55"/>
      <c r="DB37" s="55"/>
      <c r="DC37" s="55"/>
      <c r="DD37" s="55"/>
    </row>
    <row r="38" spans="2:108">
      <c r="B38" s="52" t="s">
        <v>63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5"/>
      <c r="CH38" s="57"/>
      <c r="CI38" s="57">
        <v>198</v>
      </c>
      <c r="CJ38" s="57">
        <v>171</v>
      </c>
      <c r="CK38" s="57">
        <v>138</v>
      </c>
      <c r="CL38" s="57">
        <v>118</v>
      </c>
      <c r="CM38" s="57">
        <v>90</v>
      </c>
      <c r="CN38" s="57">
        <f>CM38*0.9</f>
        <v>81</v>
      </c>
      <c r="CO38" s="57">
        <f>CN38*0.9</f>
        <v>72.900000000000006</v>
      </c>
      <c r="CP38" s="57"/>
      <c r="CQ38" s="57"/>
      <c r="CR38" s="57"/>
      <c r="CS38" s="57"/>
      <c r="CT38" s="57"/>
      <c r="CU38" s="57"/>
      <c r="CV38" s="57"/>
      <c r="CW38" s="57"/>
      <c r="CX38" s="57"/>
      <c r="CY38" s="60"/>
      <c r="CZ38" s="60"/>
      <c r="DA38" s="55"/>
      <c r="DB38" s="55"/>
      <c r="DC38" s="55"/>
      <c r="DD38" s="55"/>
    </row>
    <row r="39" spans="2:108">
      <c r="B39" s="52" t="s">
        <v>64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5"/>
      <c r="CH39" s="57"/>
      <c r="CI39" s="57">
        <v>38</v>
      </c>
      <c r="CJ39" s="57">
        <v>32</v>
      </c>
      <c r="CK39" s="57">
        <v>55</v>
      </c>
      <c r="CL39" s="57">
        <v>28</v>
      </c>
      <c r="CM39" s="57">
        <v>17</v>
      </c>
      <c r="CN39" s="57">
        <v>16</v>
      </c>
      <c r="CO39" s="57">
        <v>16</v>
      </c>
      <c r="CP39" s="57"/>
      <c r="CQ39" s="57"/>
      <c r="CR39" s="57"/>
      <c r="CS39" s="57"/>
      <c r="CT39" s="57"/>
      <c r="CU39" s="57"/>
      <c r="CV39" s="57"/>
      <c r="CW39" s="57"/>
      <c r="CX39" s="57"/>
      <c r="CY39" s="60"/>
      <c r="CZ39" s="60"/>
      <c r="DA39" s="55"/>
      <c r="DB39" s="55"/>
      <c r="DC39" s="55"/>
      <c r="DD39" s="55"/>
    </row>
    <row r="40" spans="2:108">
      <c r="B40" s="52" t="s">
        <v>65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5"/>
      <c r="CH40" s="57"/>
      <c r="CI40" s="57">
        <v>75</v>
      </c>
      <c r="CJ40" s="57">
        <v>52</v>
      </c>
      <c r="CK40" s="57">
        <v>46</v>
      </c>
      <c r="CL40" s="57">
        <v>34</v>
      </c>
      <c r="CM40" s="57">
        <v>32</v>
      </c>
      <c r="CN40" s="57">
        <f>CM40*0.8</f>
        <v>25.6</v>
      </c>
      <c r="CO40" s="57">
        <f>CN40*0.8</f>
        <v>20.480000000000004</v>
      </c>
      <c r="CP40" s="57"/>
      <c r="CQ40" s="57"/>
      <c r="CR40" s="57"/>
      <c r="CS40" s="57"/>
      <c r="CT40" s="57"/>
      <c r="CU40" s="57"/>
      <c r="CV40" s="57"/>
      <c r="CW40" s="57"/>
      <c r="CX40" s="57"/>
      <c r="CY40" s="60"/>
      <c r="CZ40" s="60"/>
      <c r="DA40" s="55"/>
      <c r="DB40" s="55"/>
      <c r="DC40" s="55"/>
      <c r="DD40" s="55"/>
    </row>
    <row r="41" spans="2:108">
      <c r="B41" s="52" t="s">
        <v>66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>
        <v>25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5"/>
      <c r="CH41" s="57"/>
      <c r="CI41" s="57">
        <v>145</v>
      </c>
      <c r="CJ41" s="57">
        <v>173</v>
      </c>
      <c r="CK41" s="57">
        <v>198</v>
      </c>
      <c r="CL41" s="57">
        <v>240</v>
      </c>
      <c r="CM41" s="57">
        <v>154</v>
      </c>
      <c r="CN41" s="57">
        <v>136</v>
      </c>
      <c r="CO41" s="57">
        <v>143</v>
      </c>
      <c r="CP41" s="57"/>
      <c r="CQ41" s="57"/>
      <c r="CR41" s="57"/>
      <c r="CS41" s="57"/>
      <c r="CT41" s="57"/>
      <c r="CU41" s="57"/>
      <c r="CV41" s="57"/>
      <c r="CW41" s="57"/>
      <c r="CX41" s="57"/>
      <c r="CY41" s="60"/>
      <c r="CZ41" s="60"/>
      <c r="DA41" s="55"/>
      <c r="DB41" s="55"/>
      <c r="DC41" s="55"/>
      <c r="DD41" s="55"/>
    </row>
    <row r="42" spans="2:108">
      <c r="B42" s="52" t="s">
        <v>67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5"/>
      <c r="CH42" s="57"/>
      <c r="CI42" s="57">
        <v>122</v>
      </c>
      <c r="CJ42" s="57">
        <v>63</v>
      </c>
      <c r="CK42" s="57">
        <v>44</v>
      </c>
      <c r="CL42" s="57">
        <v>25</v>
      </c>
      <c r="CM42" s="57">
        <v>31</v>
      </c>
      <c r="CN42" s="57">
        <f>CM42*0.9</f>
        <v>27.900000000000002</v>
      </c>
      <c r="CO42" s="57">
        <f>CN42*0.9</f>
        <v>25.110000000000003</v>
      </c>
      <c r="CP42" s="57">
        <f>CO42*0.9</f>
        <v>22.599000000000004</v>
      </c>
      <c r="CQ42" s="57"/>
      <c r="CR42" s="57"/>
      <c r="CS42" s="57"/>
      <c r="CT42" s="57"/>
      <c r="CU42" s="57"/>
      <c r="CV42" s="57"/>
      <c r="CW42" s="57"/>
      <c r="CX42" s="57"/>
      <c r="CY42" s="60"/>
      <c r="CZ42" s="60"/>
      <c r="DA42" s="55"/>
      <c r="DB42" s="55"/>
      <c r="DC42" s="55"/>
      <c r="DD42" s="55"/>
    </row>
    <row r="43" spans="2:108">
      <c r="B43" s="52" t="s">
        <v>69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>
        <v>102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>
        <v>88.7</v>
      </c>
      <c r="BP43" s="57">
        <v>46.2</v>
      </c>
      <c r="BQ43" s="57">
        <v>50.7</v>
      </c>
      <c r="BR43" s="57">
        <v>110.8</v>
      </c>
      <c r="BS43" s="57">
        <v>64.900000000000006</v>
      </c>
      <c r="BT43" s="57">
        <v>22.4</v>
      </c>
      <c r="BU43" s="57">
        <v>50.2</v>
      </c>
      <c r="BV43" s="57">
        <v>51.4</v>
      </c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5"/>
      <c r="CH43" s="57"/>
      <c r="CI43" s="57">
        <v>329</v>
      </c>
      <c r="CJ43" s="57">
        <v>371</v>
      </c>
      <c r="CK43" s="57">
        <v>430</v>
      </c>
      <c r="CL43" s="57">
        <v>414</v>
      </c>
      <c r="CM43" s="57">
        <v>413</v>
      </c>
      <c r="CN43" s="57">
        <f>CM43*1.05</f>
        <v>433.65000000000003</v>
      </c>
      <c r="CO43" s="57">
        <f>CN43*1.05</f>
        <v>455.33250000000004</v>
      </c>
      <c r="CP43" s="57">
        <f>CO43*1.05</f>
        <v>478.09912500000007</v>
      </c>
      <c r="CQ43" s="57"/>
      <c r="CR43" s="57"/>
      <c r="CS43" s="57"/>
      <c r="CT43" s="57"/>
      <c r="CU43" s="57"/>
      <c r="CV43" s="57"/>
      <c r="CW43" s="57"/>
      <c r="CX43" s="57"/>
      <c r="CY43" s="60"/>
      <c r="CZ43" s="60"/>
      <c r="DA43" s="55">
        <f t="shared" ref="DA43" si="63">SUM(BO43:BR43)</f>
        <v>296.40000000000003</v>
      </c>
      <c r="DB43" s="55">
        <f t="shared" ref="DB43" si="64">SUM(BS43:BV43)</f>
        <v>188.9</v>
      </c>
      <c r="DC43" s="55">
        <f t="shared" ref="DC43" si="65">SUM(BW43:BZ43)</f>
        <v>0</v>
      </c>
      <c r="DD43" s="55">
        <f t="shared" ref="DD43" si="66">SUM(CA43:CD43)</f>
        <v>0</v>
      </c>
    </row>
    <row r="44" spans="2:108">
      <c r="B44" s="52" t="s">
        <v>71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5"/>
      <c r="CH44" s="57"/>
      <c r="CI44" s="57">
        <v>46</v>
      </c>
      <c r="CJ44" s="57">
        <v>43</v>
      </c>
      <c r="CK44" s="57">
        <v>34</v>
      </c>
      <c r="CL44" s="57">
        <v>52</v>
      </c>
      <c r="CM44" s="57">
        <v>34</v>
      </c>
      <c r="CN44" s="57">
        <v>34</v>
      </c>
      <c r="CO44" s="57">
        <v>35</v>
      </c>
      <c r="CP44" s="57"/>
      <c r="CQ44" s="57"/>
      <c r="CR44" s="57"/>
      <c r="CS44" s="57"/>
      <c r="CT44" s="57"/>
      <c r="CU44" s="57"/>
      <c r="CV44" s="57"/>
      <c r="CW44" s="57"/>
      <c r="CX44" s="57"/>
      <c r="CY44" s="60"/>
      <c r="CZ44" s="60"/>
      <c r="DA44" s="55"/>
      <c r="DB44" s="55"/>
      <c r="DC44" s="55"/>
      <c r="DD44" s="55"/>
    </row>
    <row r="45" spans="2:108">
      <c r="B45" s="52" t="s">
        <v>72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>
        <v>67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5"/>
      <c r="CH45" s="57"/>
      <c r="CI45" s="57">
        <v>384</v>
      </c>
      <c r="CJ45" s="57">
        <v>364</v>
      </c>
      <c r="CK45" s="57">
        <v>363</v>
      </c>
      <c r="CL45" s="57">
        <v>297</v>
      </c>
      <c r="CM45" s="57">
        <v>296</v>
      </c>
      <c r="CN45" s="57">
        <f>CM45*0.95</f>
        <v>281.2</v>
      </c>
      <c r="CO45" s="57">
        <f>CN45*0.95</f>
        <v>267.14</v>
      </c>
      <c r="CP45" s="57">
        <f>CO45*0.95</f>
        <v>253.78299999999999</v>
      </c>
      <c r="CQ45" s="57"/>
      <c r="CR45" s="57"/>
      <c r="CS45" s="57"/>
      <c r="CT45" s="57"/>
      <c r="CU45" s="57"/>
      <c r="CV45" s="57"/>
      <c r="CW45" s="57"/>
      <c r="CX45" s="57"/>
      <c r="CY45" s="60"/>
      <c r="CZ45" s="60"/>
      <c r="DA45" s="55"/>
      <c r="DB45" s="55"/>
      <c r="DC45" s="55"/>
      <c r="DD45" s="55"/>
    </row>
    <row r="46" spans="2:108">
      <c r="B46" s="52" t="s">
        <v>73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5"/>
      <c r="CH46" s="57"/>
      <c r="CI46" s="57">
        <v>60</v>
      </c>
      <c r="CJ46" s="57">
        <v>70</v>
      </c>
      <c r="CK46" s="57">
        <v>42</v>
      </c>
      <c r="CL46" s="57">
        <v>34</v>
      </c>
      <c r="CM46" s="57">
        <v>23</v>
      </c>
      <c r="CN46" s="57">
        <v>22</v>
      </c>
      <c r="CO46" s="57">
        <v>22</v>
      </c>
      <c r="CP46" s="57">
        <v>22</v>
      </c>
      <c r="CQ46" s="57"/>
      <c r="CR46" s="57"/>
      <c r="CS46" s="57"/>
      <c r="CT46" s="57"/>
      <c r="CU46" s="57"/>
      <c r="CV46" s="57"/>
      <c r="CW46" s="57"/>
      <c r="CX46" s="57"/>
      <c r="CY46" s="60"/>
      <c r="CZ46" s="60"/>
      <c r="DA46" s="55"/>
      <c r="DB46" s="55"/>
      <c r="DC46" s="55"/>
      <c r="DD46" s="55"/>
    </row>
    <row r="47" spans="2:108">
      <c r="B47" s="52" t="s">
        <v>68</v>
      </c>
      <c r="C47" s="57">
        <v>153.30000000000001</v>
      </c>
      <c r="D47" s="57">
        <v>112.4</v>
      </c>
      <c r="E47" s="57">
        <v>58.3</v>
      </c>
      <c r="F47" s="57">
        <v>128.9</v>
      </c>
      <c r="G47" s="57">
        <v>168.7</v>
      </c>
      <c r="H47" s="57">
        <v>105</v>
      </c>
      <c r="I47" s="57">
        <f>M47/1.2</f>
        <v>64.166666666666671</v>
      </c>
      <c r="J47" s="57">
        <v>155</v>
      </c>
      <c r="K47" s="57">
        <v>189</v>
      </c>
      <c r="L47" s="57">
        <v>93</v>
      </c>
      <c r="M47" s="57">
        <v>77</v>
      </c>
      <c r="N47" s="57">
        <f>R47/1.04</f>
        <v>89.615384615384613</v>
      </c>
      <c r="O47" s="57"/>
      <c r="P47" s="57"/>
      <c r="Q47" s="57">
        <v>97.8</v>
      </c>
      <c r="R47" s="57">
        <v>93.2</v>
      </c>
      <c r="S47" s="57">
        <v>84.1</v>
      </c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5"/>
      <c r="CH47" s="57"/>
      <c r="CI47" s="57">
        <v>391</v>
      </c>
      <c r="CJ47" s="57">
        <v>430</v>
      </c>
      <c r="CK47" s="57">
        <v>453</v>
      </c>
      <c r="CL47" s="57">
        <v>493</v>
      </c>
      <c r="CM47" s="57">
        <v>428</v>
      </c>
      <c r="CN47" s="57">
        <f>SUM(O47:R47)</f>
        <v>191</v>
      </c>
      <c r="CO47" s="57">
        <f>SUM(S47:V47)</f>
        <v>84.1</v>
      </c>
      <c r="CP47" s="57"/>
      <c r="CQ47" s="57"/>
      <c r="CR47" s="57"/>
      <c r="CS47" s="57"/>
      <c r="CT47" s="57"/>
      <c r="CU47" s="57"/>
      <c r="CV47" s="57"/>
      <c r="CW47" s="57"/>
      <c r="CX47" s="57"/>
      <c r="CY47" s="60"/>
      <c r="CZ47" s="60"/>
      <c r="DA47" s="55"/>
      <c r="DB47" s="55"/>
      <c r="DC47" s="55"/>
      <c r="DD47" s="55"/>
    </row>
    <row r="48" spans="2:108">
      <c r="B48" s="52" t="s">
        <v>74</v>
      </c>
      <c r="C48" s="57"/>
      <c r="D48" s="57"/>
      <c r="E48" s="57"/>
      <c r="F48" s="57">
        <f>J48*1.06</f>
        <v>54.908000000000001</v>
      </c>
      <c r="G48" s="57"/>
      <c r="H48" s="57"/>
      <c r="I48" s="57">
        <v>45.5</v>
      </c>
      <c r="J48" s="57">
        <v>51.8</v>
      </c>
      <c r="K48" s="57">
        <v>50</v>
      </c>
      <c r="L48" s="57">
        <v>48</v>
      </c>
      <c r="M48" s="57">
        <v>42</v>
      </c>
      <c r="N48" s="57"/>
      <c r="O48" s="57">
        <v>40</v>
      </c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5"/>
      <c r="CH48" s="57"/>
      <c r="CI48" s="57">
        <v>98</v>
      </c>
      <c r="CJ48" s="57">
        <v>161</v>
      </c>
      <c r="CK48" s="57">
        <v>202</v>
      </c>
      <c r="CL48" s="57">
        <v>215</v>
      </c>
      <c r="CM48" s="57">
        <v>212</v>
      </c>
      <c r="CN48" s="57">
        <f>CM48*0.8</f>
        <v>169.60000000000002</v>
      </c>
      <c r="CO48" s="57">
        <f>CN48*0.8</f>
        <v>135.68000000000004</v>
      </c>
      <c r="CP48" s="57">
        <f>CO48*0.8</f>
        <v>108.54400000000004</v>
      </c>
      <c r="CQ48" s="57"/>
      <c r="CR48" s="57"/>
      <c r="CS48" s="57"/>
      <c r="CT48" s="57"/>
      <c r="CU48" s="57"/>
      <c r="CV48" s="57"/>
      <c r="CW48" s="57"/>
      <c r="CX48" s="57"/>
      <c r="CY48" s="60"/>
      <c r="CZ48" s="60"/>
      <c r="DA48" s="55"/>
      <c r="DB48" s="55"/>
      <c r="DC48" s="55"/>
      <c r="DD48" s="55"/>
    </row>
    <row r="49" spans="2:115">
      <c r="B49" s="52" t="s">
        <v>17</v>
      </c>
      <c r="C49" s="57">
        <v>232.8</v>
      </c>
      <c r="D49" s="57">
        <v>276.60000000000002</v>
      </c>
      <c r="E49" s="57">
        <v>246.1</v>
      </c>
      <c r="F49" s="57">
        <v>257.3</v>
      </c>
      <c r="G49" s="57">
        <v>248.9</v>
      </c>
      <c r="H49" s="57">
        <v>261.60000000000002</v>
      </c>
      <c r="I49" s="57">
        <v>260.3</v>
      </c>
      <c r="J49" s="57">
        <v>265.3</v>
      </c>
      <c r="K49" s="57">
        <v>242</v>
      </c>
      <c r="L49" s="57">
        <v>276</v>
      </c>
      <c r="M49" s="57">
        <v>258</v>
      </c>
      <c r="N49" s="57">
        <v>270.3</v>
      </c>
      <c r="O49" s="57">
        <v>263.8</v>
      </c>
      <c r="P49" s="57">
        <v>278</v>
      </c>
      <c r="Q49" s="57">
        <v>263.2</v>
      </c>
      <c r="R49" s="57">
        <v>285.8</v>
      </c>
      <c r="S49" s="57">
        <v>261.10000000000002</v>
      </c>
      <c r="T49" s="57">
        <v>279.8</v>
      </c>
      <c r="U49" s="57">
        <v>265.7</v>
      </c>
      <c r="V49" s="57">
        <v>269</v>
      </c>
      <c r="W49" s="57">
        <v>256.89999999999998</v>
      </c>
      <c r="X49" s="57">
        <v>251.3</v>
      </c>
      <c r="Y49" s="57">
        <v>259.5</v>
      </c>
      <c r="Z49" s="57">
        <v>262.7</v>
      </c>
      <c r="AA49" s="57">
        <v>241.6</v>
      </c>
      <c r="AB49" s="57">
        <v>259.5</v>
      </c>
      <c r="AC49" s="57">
        <v>256.8</v>
      </c>
      <c r="AD49" s="57">
        <v>266.5</v>
      </c>
      <c r="AE49" s="57">
        <v>266.10000000000002</v>
      </c>
      <c r="AF49" s="57">
        <v>263.5</v>
      </c>
      <c r="AG49" s="57">
        <v>270.10000000000002</v>
      </c>
      <c r="AH49" s="57">
        <v>267.10000000000002</v>
      </c>
      <c r="AI49" s="57">
        <v>256.2</v>
      </c>
      <c r="AJ49" s="57">
        <v>265.89999999999998</v>
      </c>
      <c r="AK49" s="57">
        <v>247</v>
      </c>
      <c r="AL49" s="57">
        <f t="shared" ref="AL49:AP49" si="67">+AK49</f>
        <v>247</v>
      </c>
      <c r="AM49" s="57">
        <f t="shared" si="67"/>
        <v>247</v>
      </c>
      <c r="AN49" s="57">
        <f t="shared" si="67"/>
        <v>247</v>
      </c>
      <c r="AO49" s="57">
        <f t="shared" si="67"/>
        <v>247</v>
      </c>
      <c r="AP49" s="57">
        <f t="shared" si="67"/>
        <v>247</v>
      </c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5"/>
      <c r="CH49" s="57"/>
      <c r="CI49" s="57">
        <v>822</v>
      </c>
      <c r="CJ49" s="57">
        <v>922</v>
      </c>
      <c r="CK49" s="57">
        <v>1013</v>
      </c>
      <c r="CL49" s="57">
        <v>1036</v>
      </c>
      <c r="CM49" s="57">
        <f>SUM(K49:N49)</f>
        <v>1046.3</v>
      </c>
      <c r="CN49" s="57">
        <f>SUM(O49:R49)</f>
        <v>1090.8</v>
      </c>
      <c r="CO49" s="57">
        <f>SUM(S49:V49)</f>
        <v>1075.6000000000001</v>
      </c>
      <c r="CP49" s="57">
        <f>SUM(W49:Z49)</f>
        <v>1030.4000000000001</v>
      </c>
      <c r="CQ49" s="57">
        <f>SUM(AA49:AD49)</f>
        <v>1024.4000000000001</v>
      </c>
      <c r="CR49" s="57">
        <f>SUM(AE49:AH49)</f>
        <v>1066.8000000000002</v>
      </c>
      <c r="CS49" s="57">
        <f>SUM(AI49:AL49)</f>
        <v>1016.0999999999999</v>
      </c>
      <c r="CT49" s="57">
        <f>CS49*0.5</f>
        <v>508.04999999999995</v>
      </c>
      <c r="CU49" s="57"/>
      <c r="CV49" s="57"/>
      <c r="CW49" s="57"/>
      <c r="CX49" s="57"/>
      <c r="CY49" s="57"/>
      <c r="CZ49" s="57"/>
      <c r="DA49" s="55"/>
      <c r="DB49" s="55"/>
      <c r="DC49" s="55"/>
      <c r="DD49" s="55"/>
    </row>
    <row r="50" spans="2:115">
      <c r="B50" s="59" t="s">
        <v>240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5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60"/>
      <c r="CZ50" s="60"/>
      <c r="DA50" s="55"/>
      <c r="DB50" s="55"/>
      <c r="DC50" s="55"/>
      <c r="DD50" s="55"/>
    </row>
    <row r="51" spans="2:115" s="59" customFormat="1">
      <c r="B51" s="59" t="s">
        <v>279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6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>
        <v>200</v>
      </c>
      <c r="CU51" s="58">
        <v>250</v>
      </c>
      <c r="CV51" s="58">
        <v>300</v>
      </c>
      <c r="CW51" s="58">
        <v>350</v>
      </c>
      <c r="CX51" s="58">
        <v>400</v>
      </c>
      <c r="CY51" s="58">
        <v>400</v>
      </c>
      <c r="CZ51" s="58">
        <v>400</v>
      </c>
      <c r="DA51" s="55"/>
      <c r="DB51" s="55"/>
      <c r="DC51" s="55"/>
      <c r="DD51" s="55"/>
    </row>
    <row r="52" spans="2:115" s="59" customFormat="1">
      <c r="B52" s="59" t="s">
        <v>326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6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5"/>
      <c r="DB52" s="55"/>
      <c r="DC52" s="55"/>
      <c r="DD52" s="55"/>
    </row>
    <row r="53" spans="2:115">
      <c r="B53" s="52" t="s">
        <v>80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>
        <v>155.19999999999999</v>
      </c>
      <c r="X53" s="57">
        <v>179.5</v>
      </c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5"/>
      <c r="CH53" s="57"/>
      <c r="CI53" s="57">
        <v>59</v>
      </c>
      <c r="CJ53" s="57">
        <v>58</v>
      </c>
      <c r="CK53" s="57">
        <v>57</v>
      </c>
      <c r="CL53" s="57">
        <v>69</v>
      </c>
      <c r="CM53" s="57">
        <v>65</v>
      </c>
      <c r="CN53" s="57">
        <v>65</v>
      </c>
      <c r="CO53" s="57">
        <v>65</v>
      </c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5"/>
      <c r="DB53" s="55"/>
      <c r="DC53" s="55"/>
      <c r="DD53" s="55"/>
    </row>
    <row r="54" spans="2:115">
      <c r="B54" s="52" t="s">
        <v>76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5"/>
      <c r="CH54" s="57"/>
      <c r="CI54" s="57">
        <v>35</v>
      </c>
      <c r="CJ54" s="57">
        <v>32</v>
      </c>
      <c r="CK54" s="57">
        <v>19</v>
      </c>
      <c r="CL54" s="57">
        <v>12</v>
      </c>
      <c r="CM54" s="57">
        <v>14</v>
      </c>
      <c r="CN54" s="57">
        <v>10</v>
      </c>
      <c r="CO54" s="57">
        <v>10</v>
      </c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5"/>
      <c r="DB54" s="55"/>
      <c r="DC54" s="55"/>
      <c r="DD54" s="55"/>
    </row>
    <row r="55" spans="2:115">
      <c r="B55" s="59" t="s">
        <v>251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>
        <f>5210.5-SUM(V6:V54)</f>
        <v>481.80000000000018</v>
      </c>
      <c r="W55" s="57">
        <f>4891.8-SUM(W6:W54)</f>
        <v>186.30000000000018</v>
      </c>
      <c r="X55" s="57">
        <f>5113.5-SUM(X6:X54)</f>
        <v>71.599999999999454</v>
      </c>
      <c r="Y55" s="57">
        <f>5562-SUM(Y6:Y50)</f>
        <v>424.29999999999927</v>
      </c>
      <c r="Z55" s="57">
        <f>5934-SUM(Z6:Z50)</f>
        <v>449</v>
      </c>
      <c r="AA55" s="57">
        <f>5485.5-SUM(AA6:AA50)</f>
        <v>390.59999999999945</v>
      </c>
      <c r="AB55" s="57">
        <f>5748.7-SUM(AB6:AB50)</f>
        <v>410.40000000000055</v>
      </c>
      <c r="AC55" s="57">
        <f>5654.8-SUM(AC6:AC50)</f>
        <v>381.39999999999964</v>
      </c>
      <c r="AD55" s="57"/>
      <c r="AE55" s="57">
        <f>5839.2-SUM(AE6:AE50)</f>
        <v>410.09999999999854</v>
      </c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8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5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Y55" s="53"/>
      <c r="CZ55" s="53"/>
      <c r="DA55" s="55"/>
      <c r="DB55" s="55"/>
      <c r="DC55" s="55"/>
      <c r="DD55" s="55"/>
    </row>
    <row r="56" spans="2:115" s="62" customFormat="1">
      <c r="B56" s="62" t="s">
        <v>384</v>
      </c>
      <c r="C56" s="63"/>
      <c r="D56" s="63"/>
      <c r="E56" s="63"/>
      <c r="F56" s="63">
        <f>SUM(F6:F55)</f>
        <v>3152.5080000000003</v>
      </c>
      <c r="G56" s="63">
        <f>SUM(G6:G55)</f>
        <v>2999.8366336633662</v>
      </c>
      <c r="H56" s="63">
        <f>SUM(H6:H55)</f>
        <v>3165.6</v>
      </c>
      <c r="I56" s="63">
        <f>SUM(I6:I55)</f>
        <v>3164.1333333333332</v>
      </c>
      <c r="J56" s="63">
        <f>SUM(J6:J55)</f>
        <v>3455.3000000000006</v>
      </c>
      <c r="K56" s="63">
        <f>SUM(K6:K55)</f>
        <v>3227.7000000000003</v>
      </c>
      <c r="L56" s="63">
        <f>SUM(L6:L55)</f>
        <v>3423</v>
      </c>
      <c r="M56" s="63">
        <f>SUM(M6:M55)</f>
        <v>3699.7</v>
      </c>
      <c r="N56" s="63">
        <f>SUM(N6:N55)</f>
        <v>5680.6</v>
      </c>
      <c r="O56" s="63">
        <f>SUM(O6:O55)</f>
        <v>4236</v>
      </c>
      <c r="P56" s="63">
        <f>SUM(P6:P55)</f>
        <v>4193.8</v>
      </c>
      <c r="Q56" s="63">
        <f>SUM(Q6:Q55)</f>
        <v>5899.2999999999993</v>
      </c>
      <c r="R56" s="63">
        <f>SUM(R6:R55)</f>
        <v>6665.7000000000007</v>
      </c>
      <c r="S56" s="63">
        <f>SUM(S6:S55)</f>
        <v>6241.8000000000011</v>
      </c>
      <c r="T56" s="63">
        <f>SUM(T6:T55)</f>
        <v>6703.4999999999991</v>
      </c>
      <c r="U56" s="63">
        <f>SUM(U6:U55)</f>
        <v>6796.9000000000005</v>
      </c>
      <c r="V56" s="63">
        <f>SUM(V6:V55)</f>
        <v>5210.5</v>
      </c>
      <c r="W56" s="63">
        <f>SUM(W6:W55)</f>
        <v>4891.8</v>
      </c>
      <c r="X56" s="63">
        <f>SUM(X6:X55)</f>
        <v>5113.5</v>
      </c>
      <c r="Y56" s="63">
        <f>SUM(Y6:Y55)</f>
        <v>5562</v>
      </c>
      <c r="Z56" s="63">
        <f>SUM(Z6:Z55)</f>
        <v>5934</v>
      </c>
      <c r="AA56" s="63">
        <f>SUM(AA6:AA55)</f>
        <v>5485.5</v>
      </c>
      <c r="AB56" s="63">
        <f>SUM(AB6:AB55)</f>
        <v>5748.7</v>
      </c>
      <c r="AC56" s="63">
        <f>SUM(AC6:AC55)</f>
        <v>5654.8</v>
      </c>
      <c r="AD56" s="63">
        <f>SUM(AD6:AD55)</f>
        <v>6187.2000000000007</v>
      </c>
      <c r="AE56" s="63">
        <f>SUM(AE6:AE55)</f>
        <v>5839.2</v>
      </c>
      <c r="AF56" s="63">
        <f>SUM(AF6:AF55)</f>
        <v>6252.7999999999984</v>
      </c>
      <c r="AG56" s="63">
        <f>SUM(AG6:AG55)</f>
        <v>6148.1</v>
      </c>
      <c r="AH56" s="63">
        <f>SUM(AH6:AH55)</f>
        <v>6047.3</v>
      </c>
      <c r="AI56" s="63">
        <f>SUM(AI6:AI55)</f>
        <v>5602.4000000000005</v>
      </c>
      <c r="AJ56" s="63">
        <f>SUM(AJ6:AJ55)</f>
        <v>5600.4999999999991</v>
      </c>
      <c r="AK56" s="63">
        <f>SUM(AK6:AK55)</f>
        <v>5442.5</v>
      </c>
      <c r="AL56" s="63">
        <f>SUM(AL6:AL55)</f>
        <v>5371.2</v>
      </c>
      <c r="AM56" s="63">
        <f>SUM(AM6:AM55)</f>
        <v>5526.2</v>
      </c>
      <c r="AN56" s="63">
        <f>SUM(AN6:AN55)</f>
        <v>5508.2</v>
      </c>
      <c r="AO56" s="63">
        <f>SUM(AO6:AO55)</f>
        <v>5482.5</v>
      </c>
      <c r="AP56" s="63">
        <f>SUM(AP6:AP55)</f>
        <v>5411.2</v>
      </c>
      <c r="AQ56" s="63">
        <f>SUM(AQ6:AQ55)</f>
        <v>0</v>
      </c>
      <c r="AR56" s="63">
        <f>SUM(AR6:AR55)</f>
        <v>0</v>
      </c>
      <c r="AS56" s="63">
        <f>SUM(AS6:AS55)</f>
        <v>0</v>
      </c>
      <c r="AT56" s="63">
        <f>SUM(AT6:AT55)</f>
        <v>0</v>
      </c>
      <c r="AU56" s="63">
        <f>SUM(AU6:AU55)</f>
        <v>0</v>
      </c>
      <c r="AV56" s="63">
        <f>SUM(AV6:AV55)</f>
        <v>0</v>
      </c>
      <c r="AW56" s="63">
        <f>SUM(AW6:AW55)</f>
        <v>0</v>
      </c>
      <c r="AX56" s="63">
        <f>SUM(AX6:AX55)</f>
        <v>0</v>
      </c>
      <c r="AY56" s="63">
        <f>SUM(AY6:AY55)</f>
        <v>0</v>
      </c>
      <c r="AZ56" s="63">
        <f>SUM(AZ6:AZ55)</f>
        <v>0</v>
      </c>
      <c r="BA56" s="63">
        <f>SUM(BA6:BA55)</f>
        <v>0</v>
      </c>
      <c r="BB56" s="63">
        <f>SUM(BB6:BB55)</f>
        <v>0</v>
      </c>
      <c r="BC56" s="63">
        <f>SUM(BC6:BC55)</f>
        <v>0</v>
      </c>
      <c r="BD56" s="63">
        <f>SUM(BD6:BD55)</f>
        <v>0</v>
      </c>
      <c r="BE56" s="63">
        <f>SUM(BE6:BE55)</f>
        <v>0</v>
      </c>
      <c r="BF56" s="63">
        <f>SUM(BF6:BF55)</f>
        <v>0</v>
      </c>
      <c r="BG56" s="63">
        <f>SUM(BG6:BG55)</f>
        <v>0</v>
      </c>
      <c r="BH56" s="63">
        <f>SUM(BH6:BH55)</f>
        <v>0</v>
      </c>
      <c r="BI56" s="63">
        <f>SUM(BI6:BI55)</f>
        <v>0</v>
      </c>
      <c r="BJ56" s="63">
        <f>SUM(BJ6:BJ55)</f>
        <v>0</v>
      </c>
      <c r="BK56" s="63">
        <f>SUM(BK6:BK55)</f>
        <v>5092.1000000000004</v>
      </c>
      <c r="BL56" s="63">
        <f>SUM(BL6:BL55)</f>
        <v>5636.7000000000007</v>
      </c>
      <c r="BM56" s="63">
        <f>SUM(BM6:BM55)</f>
        <v>5476.8</v>
      </c>
      <c r="BN56" s="63">
        <f>SUM(BN6:BN55)</f>
        <v>6114.2999999999993</v>
      </c>
      <c r="BO56" s="63">
        <f>SUM(BO3:BO55)</f>
        <v>5859.7999999999975</v>
      </c>
      <c r="BP56" s="63">
        <f>SUM(BP3:BP55)</f>
        <v>5499.3999999999987</v>
      </c>
      <c r="BQ56" s="63">
        <f>SUM(BQ3:BQ44)</f>
        <v>5740.5999999999985</v>
      </c>
      <c r="BR56" s="63">
        <f>SUM(BR3:BR46)</f>
        <v>7440.0999999999995</v>
      </c>
      <c r="BS56" s="63">
        <f>SUM(BS3:BS44)</f>
        <v>6805.6</v>
      </c>
      <c r="BT56" s="63">
        <f>SUM(BT3:BT46)</f>
        <v>6739.9999999999973</v>
      </c>
      <c r="BU56" s="63">
        <f>SUM(BU3:BU44)</f>
        <v>6772.9999999999982</v>
      </c>
      <c r="BV56" s="63">
        <f>SUM(BV3:BV46)</f>
        <v>7999.9</v>
      </c>
      <c r="BW56" s="63">
        <f>SUM(BW3:BW29)</f>
        <v>7810.1</v>
      </c>
      <c r="BX56" s="63">
        <f>SUM(BX3:BX34)</f>
        <v>7099.375500000001</v>
      </c>
      <c r="BY56" s="63">
        <f>SUM(BY3:BY29)</f>
        <v>6965.7128125000008</v>
      </c>
      <c r="BZ56" s="63">
        <f>SUM(BZ3:BZ29)</f>
        <v>7323.698757812499</v>
      </c>
      <c r="CA56" s="63">
        <f>SUM(CA3:CA29)</f>
        <v>6737.269713945313</v>
      </c>
      <c r="CB56" s="63">
        <f>SUM(CB3:CB29)</f>
        <v>7042.4968459267575</v>
      </c>
      <c r="CC56" s="63">
        <f>SUM(CC3:CC29)</f>
        <v>7136.52310453684</v>
      </c>
      <c r="CD56" s="63">
        <f>SUM(CD3:CD29)</f>
        <v>7768.5842639078664</v>
      </c>
      <c r="CE56" s="63"/>
      <c r="CF56" s="63"/>
      <c r="CG56" s="64"/>
      <c r="CH56" s="63">
        <v>11629</v>
      </c>
      <c r="CI56" s="63">
        <f>SUM(CI6:CI55)</f>
        <v>11077</v>
      </c>
      <c r="CJ56" s="63">
        <f>SUM(CJ6:CJ55)</f>
        <v>12585</v>
      </c>
      <c r="CK56" s="63">
        <f>SUM(CK6:CK55)</f>
        <v>13859</v>
      </c>
      <c r="CL56" s="63">
        <f>SUM(CL6:CL55)</f>
        <v>14650</v>
      </c>
      <c r="CM56" s="63">
        <f>SUM(CM6:CM55)</f>
        <v>15783.499999999998</v>
      </c>
      <c r="CN56" s="63">
        <f>SUM(CN6:CN55)</f>
        <v>18492.3</v>
      </c>
      <c r="CO56" s="63">
        <f>SUM(CO6:CO55)</f>
        <v>19604.942499999997</v>
      </c>
      <c r="CP56" s="63">
        <f>SUM(CP6:CP55)</f>
        <v>20974.425124999998</v>
      </c>
      <c r="CQ56" s="63">
        <f>SUM(CQ6:CQ55)</f>
        <v>21893.8</v>
      </c>
      <c r="CR56" s="63">
        <f>SUM(CR6:CR55)</f>
        <v>23877.3</v>
      </c>
      <c r="CS56" s="63">
        <f>SUM(CS6:CS55)</f>
        <v>22016.6</v>
      </c>
      <c r="CT56" s="63">
        <f>SUM(CT6:CT55)</f>
        <v>21778.462</v>
      </c>
      <c r="CU56" s="63">
        <f>SUM(CU6:CU55)</f>
        <v>18061.697930000002</v>
      </c>
      <c r="CV56" s="63">
        <f>SUM(CV6:CV55)</f>
        <v>14123.451031000001</v>
      </c>
      <c r="CW56" s="63">
        <f>SUM(CW6:CW55)</f>
        <v>10747.537372065002</v>
      </c>
      <c r="CX56" s="63">
        <f>SUM(CX6:CX55)</f>
        <v>3266.822290000001</v>
      </c>
      <c r="CY56" s="63">
        <f>SUM(CY6:CY55)</f>
        <v>2392.2903889000008</v>
      </c>
      <c r="CZ56" s="63">
        <f>SUM(CZ6:CZ55)</f>
        <v>400</v>
      </c>
      <c r="DA56" s="63">
        <f t="shared" ref="DA56:DC56" si="68">SUM(DA3:DA55)</f>
        <v>24539.899999999998</v>
      </c>
      <c r="DB56" s="63">
        <f t="shared" si="68"/>
        <v>28318.5</v>
      </c>
      <c r="DC56" s="63">
        <f t="shared" si="68"/>
        <v>29198.887070312503</v>
      </c>
      <c r="DD56" s="63">
        <f>SUM(DD3:DD55)</f>
        <v>28784.873928316774</v>
      </c>
      <c r="DE56" s="63">
        <f t="shared" ref="DE56:DK56" si="69">SUM(DE3:DE55)</f>
        <v>30724.883125485096</v>
      </c>
      <c r="DF56" s="63">
        <f t="shared" si="69"/>
        <v>32190.052072636583</v>
      </c>
      <c r="DG56" s="63">
        <f t="shared" si="69"/>
        <v>34812.595856329928</v>
      </c>
      <c r="DH56" s="63">
        <f t="shared" si="69"/>
        <v>36353.288465088204</v>
      </c>
      <c r="DI56" s="63">
        <f t="shared" si="69"/>
        <v>38881.908741213105</v>
      </c>
      <c r="DJ56" s="63">
        <f t="shared" si="69"/>
        <v>40751.817423393062</v>
      </c>
      <c r="DK56" s="63">
        <f t="shared" si="69"/>
        <v>32272.255186098049</v>
      </c>
    </row>
    <row r="57" spans="2:115">
      <c r="B57" s="52" t="s">
        <v>58</v>
      </c>
      <c r="C57" s="57"/>
      <c r="D57" s="57"/>
      <c r="E57" s="57"/>
      <c r="F57" s="57">
        <v>865.7</v>
      </c>
      <c r="G57" s="57">
        <v>859</v>
      </c>
      <c r="H57" s="57">
        <v>871.3</v>
      </c>
      <c r="I57" s="57">
        <v>845.7</v>
      </c>
      <c r="J57" s="57">
        <v>898.2</v>
      </c>
      <c r="K57" s="57">
        <v>806.5</v>
      </c>
      <c r="L57" s="53">
        <v>861</v>
      </c>
      <c r="M57" s="57">
        <v>906.2</v>
      </c>
      <c r="N57" s="57">
        <v>1066.7</v>
      </c>
      <c r="O57" s="57">
        <v>922.5</v>
      </c>
      <c r="P57" s="57">
        <v>998.9</v>
      </c>
      <c r="Q57" s="57">
        <v>1054.5999999999999</v>
      </c>
      <c r="R57" s="57">
        <v>1272.8</v>
      </c>
      <c r="S57" s="57">
        <v>1111.3</v>
      </c>
      <c r="T57" s="57">
        <v>1200.9000000000001</v>
      </c>
      <c r="U57" s="57">
        <v>1155.2</v>
      </c>
      <c r="V57" s="57">
        <v>899.6</v>
      </c>
      <c r="W57" s="57">
        <v>816.4</v>
      </c>
      <c r="X57" s="57">
        <v>947.4</v>
      </c>
      <c r="Y57" s="57">
        <v>1051.9000000000001</v>
      </c>
      <c r="Z57" s="57">
        <v>1431.3</v>
      </c>
      <c r="AA57" s="57">
        <v>1122.5</v>
      </c>
      <c r="AB57" s="57">
        <v>1023.9</v>
      </c>
      <c r="AC57" s="57">
        <v>987.6</v>
      </c>
      <c r="AD57" s="57">
        <v>1232.2</v>
      </c>
      <c r="AE57" s="57">
        <v>1180.0999999999999</v>
      </c>
      <c r="AF57" s="57">
        <v>1228</v>
      </c>
      <c r="AG57" s="57">
        <v>1338.1</v>
      </c>
      <c r="AH57" s="57">
        <v>1321.7</v>
      </c>
      <c r="AI57" s="57">
        <v>1197.9000000000001</v>
      </c>
      <c r="AJ57" s="57">
        <v>1146.7</v>
      </c>
      <c r="AK57" s="57">
        <v>1203.5999999999999</v>
      </c>
      <c r="AL57" s="57">
        <f>+AH57</f>
        <v>1321.7</v>
      </c>
      <c r="AM57" s="57">
        <f>+AI57</f>
        <v>1197.9000000000001</v>
      </c>
      <c r="AN57" s="57">
        <f t="shared" ref="AN57:AP57" si="70">+AJ57</f>
        <v>1146.7</v>
      </c>
      <c r="AO57" s="57">
        <f t="shared" si="70"/>
        <v>1203.5999999999999</v>
      </c>
      <c r="AP57" s="57">
        <f t="shared" si="70"/>
        <v>1321.7</v>
      </c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>
        <v>1010.5</v>
      </c>
      <c r="BL57" s="57">
        <v>1073.3</v>
      </c>
      <c r="BM57" s="57">
        <v>1118.4000000000001</v>
      </c>
      <c r="BN57" s="57">
        <v>1229.4000000000001</v>
      </c>
      <c r="BO57" s="57">
        <v>1156.5</v>
      </c>
      <c r="BP57" s="57">
        <v>1119.2</v>
      </c>
      <c r="BQ57" s="57">
        <v>1199.9000000000001</v>
      </c>
      <c r="BR57" s="57">
        <v>1719.8</v>
      </c>
      <c r="BS57" s="57">
        <v>1671.4</v>
      </c>
      <c r="BT57" s="57">
        <v>1398</v>
      </c>
      <c r="BU57" s="57">
        <v>1421.8</v>
      </c>
      <c r="BV57" s="57">
        <v>2050.1999999999998</v>
      </c>
      <c r="BW57" s="57">
        <v>1867.5</v>
      </c>
      <c r="BX57" s="57">
        <f>+BX56-BX58</f>
        <v>1490.8688549999997</v>
      </c>
      <c r="BY57" s="57">
        <f t="shared" ref="BY57:CD57" si="71">+BY56-BY58</f>
        <v>1462.799690625</v>
      </c>
      <c r="BZ57" s="57">
        <f t="shared" si="71"/>
        <v>1537.9767391406249</v>
      </c>
      <c r="CA57" s="57">
        <f t="shared" si="71"/>
        <v>1414.8266399285158</v>
      </c>
      <c r="CB57" s="57">
        <f t="shared" si="71"/>
        <v>1478.9243376446184</v>
      </c>
      <c r="CC57" s="57">
        <f t="shared" si="71"/>
        <v>1498.6698519527363</v>
      </c>
      <c r="CD57" s="57">
        <f t="shared" si="71"/>
        <v>1631.402695420652</v>
      </c>
      <c r="CE57" s="57"/>
      <c r="CF57" s="57"/>
      <c r="CH57" s="57">
        <v>2160</v>
      </c>
      <c r="CI57" s="57">
        <v>2177</v>
      </c>
      <c r="CJ57" s="57">
        <v>2675</v>
      </c>
      <c r="CK57" s="57">
        <v>3224</v>
      </c>
      <c r="CL57" s="57">
        <v>3474</v>
      </c>
      <c r="CM57" s="57">
        <v>3501</v>
      </c>
      <c r="CN57" s="57">
        <f>CN56-CN58</f>
        <v>4068.3059999999987</v>
      </c>
      <c r="CO57" s="57">
        <f>CO56-CO58</f>
        <v>-980.75749999999971</v>
      </c>
      <c r="CP57" s="57">
        <f>CP56-CP58</f>
        <v>3720.1251249999987</v>
      </c>
      <c r="CQ57" s="57">
        <f>SUM(AA57:AD57)</f>
        <v>4366.2</v>
      </c>
      <c r="CR57" s="57">
        <f>SUM(AE57:AH57)</f>
        <v>5067.8999999999996</v>
      </c>
      <c r="CS57" s="57">
        <f>SUM(AI57:AL57)</f>
        <v>4869.9000000000005</v>
      </c>
      <c r="CT57" s="57">
        <f t="shared" ref="CT57:CW57" si="72">CT56-CT58</f>
        <v>21778.462</v>
      </c>
      <c r="CU57" s="57">
        <f t="shared" si="72"/>
        <v>18061.697930000002</v>
      </c>
      <c r="CV57" s="57">
        <f t="shared" si="72"/>
        <v>14123.451031000001</v>
      </c>
      <c r="CW57" s="57">
        <f t="shared" si="72"/>
        <v>10747.537372065002</v>
      </c>
      <c r="CX57" s="57">
        <f>CX56-CX58</f>
        <v>3266.822290000001</v>
      </c>
      <c r="CY57" s="57">
        <f t="shared" ref="CY57:CZ57" si="73">CY56-CY58</f>
        <v>2392.2903889000008</v>
      </c>
      <c r="CZ57" s="57">
        <f t="shared" si="73"/>
        <v>400</v>
      </c>
      <c r="DA57" s="55">
        <f t="shared" ref="DA57" si="74">SUM(BO57:BR57)</f>
        <v>5195.3999999999996</v>
      </c>
      <c r="DB57" s="55">
        <f t="shared" ref="DB57" si="75">SUM(BS57:BV57)</f>
        <v>6541.4</v>
      </c>
      <c r="DC57" s="55">
        <f t="shared" ref="DC57" si="76">SUM(BW57:BZ57)</f>
        <v>6359.1452847656246</v>
      </c>
      <c r="DD57" s="55">
        <f t="shared" ref="DD57" si="77">SUM(CA57:CD57)</f>
        <v>6023.8235249465224</v>
      </c>
      <c r="DE57" s="55">
        <f t="shared" ref="DE57" si="78">SUM(CB57:CE57)</f>
        <v>4608.9968850180067</v>
      </c>
      <c r="DF57" s="55">
        <f t="shared" ref="DF57" si="79">SUM(CC57:CF57)</f>
        <v>3130.0725473733883</v>
      </c>
      <c r="DG57" s="55">
        <f t="shared" ref="DG57" si="80">SUM(CD57:CG57)</f>
        <v>1631.402695420652</v>
      </c>
      <c r="DH57" s="55">
        <f t="shared" ref="DH57" si="81">SUM(CE57:CH57)</f>
        <v>2160</v>
      </c>
      <c r="DI57" s="55">
        <f t="shared" ref="DI57" si="82">SUM(CF57:CI57)</f>
        <v>4337</v>
      </c>
      <c r="DJ57" s="55">
        <f t="shared" ref="DJ57" si="83">SUM(CG57:CJ57)</f>
        <v>7012</v>
      </c>
      <c r="DK57" s="55">
        <f t="shared" ref="DK57" si="84">SUM(CH57:CK57)</f>
        <v>10236</v>
      </c>
    </row>
    <row r="58" spans="2:115">
      <c r="B58" s="52" t="s">
        <v>123</v>
      </c>
      <c r="C58" s="57"/>
      <c r="D58" s="57"/>
      <c r="E58" s="57"/>
      <c r="F58" s="57">
        <f t="shared" ref="F58:N58" si="85">F56-F57</f>
        <v>2286.808</v>
      </c>
      <c r="G58" s="57">
        <f t="shared" si="85"/>
        <v>2140.8366336633662</v>
      </c>
      <c r="H58" s="57">
        <f t="shared" si="85"/>
        <v>2294.3000000000002</v>
      </c>
      <c r="I58" s="57">
        <f t="shared" si="85"/>
        <v>2318.4333333333334</v>
      </c>
      <c r="J58" s="57">
        <f t="shared" si="85"/>
        <v>2557.1000000000004</v>
      </c>
      <c r="K58" s="57">
        <f t="shared" si="85"/>
        <v>2421.2000000000003</v>
      </c>
      <c r="L58" s="57">
        <f t="shared" si="85"/>
        <v>2562</v>
      </c>
      <c r="M58" s="57">
        <f t="shared" si="85"/>
        <v>2793.5</v>
      </c>
      <c r="N58" s="57">
        <f t="shared" si="85"/>
        <v>4613.9000000000005</v>
      </c>
      <c r="O58" s="57">
        <f t="shared" ref="O58:W58" si="86">O56-O57</f>
        <v>3313.5</v>
      </c>
      <c r="P58" s="57">
        <f t="shared" si="86"/>
        <v>3194.9</v>
      </c>
      <c r="Q58" s="57">
        <f t="shared" si="86"/>
        <v>4844.6999999999989</v>
      </c>
      <c r="R58" s="57">
        <f t="shared" si="86"/>
        <v>5392.9000000000005</v>
      </c>
      <c r="S58" s="57">
        <f t="shared" si="86"/>
        <v>5130.5000000000009</v>
      </c>
      <c r="T58" s="57">
        <f t="shared" si="86"/>
        <v>5502.5999999999985</v>
      </c>
      <c r="U58" s="57">
        <f t="shared" si="86"/>
        <v>5641.7000000000007</v>
      </c>
      <c r="V58" s="57">
        <f t="shared" si="86"/>
        <v>4310.8999999999996</v>
      </c>
      <c r="W58" s="57">
        <f t="shared" si="86"/>
        <v>4075.4</v>
      </c>
      <c r="X58" s="57">
        <f t="shared" ref="X58:AC58" si="87">X56-X57</f>
        <v>4166.1000000000004</v>
      </c>
      <c r="Y58" s="57">
        <f t="shared" si="87"/>
        <v>4510.1000000000004</v>
      </c>
      <c r="Z58" s="57">
        <f t="shared" si="87"/>
        <v>4502.7</v>
      </c>
      <c r="AA58" s="57">
        <f t="shared" si="87"/>
        <v>4363</v>
      </c>
      <c r="AB58" s="57">
        <f t="shared" si="87"/>
        <v>4724.8</v>
      </c>
      <c r="AC58" s="57">
        <f t="shared" si="87"/>
        <v>4667.2</v>
      </c>
      <c r="AD58" s="57">
        <f>+AD56-AD57</f>
        <v>4955.0000000000009</v>
      </c>
      <c r="AE58" s="57">
        <f>+AE56-AE57</f>
        <v>4659.1000000000004</v>
      </c>
      <c r="AF58" s="57">
        <f>AF56-AF57</f>
        <v>5024.7999999999984</v>
      </c>
      <c r="AG58" s="57">
        <f>AG56-AG57</f>
        <v>4810</v>
      </c>
      <c r="AH58" s="57">
        <f>+AH56-AH57</f>
        <v>4725.6000000000004</v>
      </c>
      <c r="AI58" s="57">
        <f>+AI56-AI57</f>
        <v>4404.5</v>
      </c>
      <c r="AJ58" s="57">
        <f>+AJ56-AJ57</f>
        <v>4453.7999999999993</v>
      </c>
      <c r="AK58" s="57">
        <f>+AK56-AK57</f>
        <v>4238.8999999999996</v>
      </c>
      <c r="AL58" s="57">
        <f>+AL56-AL57</f>
        <v>4049.5</v>
      </c>
      <c r="AM58" s="57">
        <f t="shared" ref="AM58:AP58" si="88">+AM56-AM57</f>
        <v>4328.2999999999993</v>
      </c>
      <c r="AN58" s="57">
        <f t="shared" si="88"/>
        <v>4361.5</v>
      </c>
      <c r="AO58" s="57">
        <f t="shared" si="88"/>
        <v>4278.8999999999996</v>
      </c>
      <c r="AP58" s="57">
        <f t="shared" si="88"/>
        <v>4089.5</v>
      </c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>
        <f t="shared" ref="BK58:BW58" si="89">BK56-BK57</f>
        <v>4081.6000000000004</v>
      </c>
      <c r="BL58" s="57">
        <f t="shared" si="89"/>
        <v>4563.4000000000005</v>
      </c>
      <c r="BM58" s="57">
        <f t="shared" si="89"/>
        <v>4358.3999999999996</v>
      </c>
      <c r="BN58" s="57">
        <f t="shared" si="89"/>
        <v>4884.8999999999996</v>
      </c>
      <c r="BO58" s="57">
        <f t="shared" si="89"/>
        <v>4703.2999999999975</v>
      </c>
      <c r="BP58" s="57">
        <f t="shared" si="89"/>
        <v>4380.1999999999989</v>
      </c>
      <c r="BQ58" s="57">
        <f t="shared" si="89"/>
        <v>4540.6999999999989</v>
      </c>
      <c r="BR58" s="57">
        <f t="shared" si="89"/>
        <v>5720.2999999999993</v>
      </c>
      <c r="BS58" s="57">
        <f t="shared" si="89"/>
        <v>5134.2000000000007</v>
      </c>
      <c r="BT58" s="57">
        <f t="shared" si="89"/>
        <v>5341.9999999999973</v>
      </c>
      <c r="BU58" s="57">
        <f t="shared" si="89"/>
        <v>5351.199999999998</v>
      </c>
      <c r="BV58" s="57">
        <f t="shared" si="89"/>
        <v>5949.7</v>
      </c>
      <c r="BW58" s="57">
        <f t="shared" si="89"/>
        <v>5942.6</v>
      </c>
      <c r="BX58" s="57">
        <f>+BX56*0.79</f>
        <v>5608.5066450000013</v>
      </c>
      <c r="BY58" s="57">
        <f t="shared" ref="BY58:CD58" si="90">+BY56*0.79</f>
        <v>5502.9131218750008</v>
      </c>
      <c r="BZ58" s="57">
        <f t="shared" si="90"/>
        <v>5785.7220186718741</v>
      </c>
      <c r="CA58" s="57">
        <f t="shared" si="90"/>
        <v>5322.4430740167973</v>
      </c>
      <c r="CB58" s="57">
        <f t="shared" si="90"/>
        <v>5563.5725082821391</v>
      </c>
      <c r="CC58" s="57">
        <f t="shared" si="90"/>
        <v>5637.8532525841038</v>
      </c>
      <c r="CD58" s="57">
        <f t="shared" si="90"/>
        <v>6137.1815684872145</v>
      </c>
      <c r="CE58" s="57"/>
      <c r="CF58" s="57"/>
      <c r="CH58" s="57">
        <f t="shared" ref="CH58:CM58" si="91">CH56-CH57</f>
        <v>9469</v>
      </c>
      <c r="CI58" s="57">
        <f t="shared" si="91"/>
        <v>8900</v>
      </c>
      <c r="CJ58" s="57">
        <f t="shared" si="91"/>
        <v>9910</v>
      </c>
      <c r="CK58" s="57">
        <f t="shared" si="91"/>
        <v>10635</v>
      </c>
      <c r="CL58" s="57">
        <f t="shared" si="91"/>
        <v>11176</v>
      </c>
      <c r="CM58" s="57">
        <f t="shared" si="91"/>
        <v>12282.499999999998</v>
      </c>
      <c r="CN58" s="57">
        <f>CN56*CN77</f>
        <v>14423.994000000001</v>
      </c>
      <c r="CO58" s="57">
        <f>SUM(S58:V58)</f>
        <v>20585.699999999997</v>
      </c>
      <c r="CP58" s="57">
        <f>SUM(W58:Z58)</f>
        <v>17254.3</v>
      </c>
      <c r="CQ58" s="57">
        <f>CQ56-CQ57</f>
        <v>17527.599999999999</v>
      </c>
      <c r="CR58" s="57">
        <f>CR56-CR57</f>
        <v>18809.400000000001</v>
      </c>
      <c r="CS58" s="57">
        <f>CS56-CS57</f>
        <v>17146.699999999997</v>
      </c>
      <c r="CT58" s="57">
        <f t="shared" ref="CT58:CZ58" si="92">CT56*CT77</f>
        <v>0</v>
      </c>
      <c r="CU58" s="57">
        <f t="shared" si="92"/>
        <v>0</v>
      </c>
      <c r="CV58" s="57">
        <f t="shared" si="92"/>
        <v>0</v>
      </c>
      <c r="CW58" s="57">
        <f t="shared" si="92"/>
        <v>0</v>
      </c>
      <c r="CX58" s="57">
        <f t="shared" si="92"/>
        <v>0</v>
      </c>
      <c r="CY58" s="57">
        <f t="shared" si="92"/>
        <v>0</v>
      </c>
      <c r="CZ58" s="57">
        <f t="shared" si="92"/>
        <v>0</v>
      </c>
      <c r="DA58" s="57">
        <f>+DA56-DA57</f>
        <v>19344.5</v>
      </c>
      <c r="DB58" s="57">
        <f t="shared" ref="DB58:DD58" si="93">+DB56-DB57</f>
        <v>21777.1</v>
      </c>
      <c r="DC58" s="57">
        <f t="shared" si="93"/>
        <v>22839.741785546878</v>
      </c>
      <c r="DD58" s="57">
        <f t="shared" si="93"/>
        <v>22761.050403370253</v>
      </c>
      <c r="DE58" s="57">
        <f t="shared" ref="DE58" si="94">+DE56-DE57</f>
        <v>26115.886240467087</v>
      </c>
      <c r="DF58" s="57">
        <f t="shared" ref="DF58" si="95">+DF56-DF57</f>
        <v>29059.979525263196</v>
      </c>
      <c r="DG58" s="57">
        <f t="shared" ref="DG58" si="96">+DG56-DG57</f>
        <v>33181.193160909279</v>
      </c>
      <c r="DH58" s="57">
        <f t="shared" ref="DH58" si="97">+DH56-DH57</f>
        <v>34193.288465088204</v>
      </c>
      <c r="DI58" s="57">
        <f t="shared" ref="DI58" si="98">+DI56-DI57</f>
        <v>34544.908741213105</v>
      </c>
      <c r="DJ58" s="57">
        <f t="shared" ref="DJ58" si="99">+DJ56-DJ57</f>
        <v>33739.817423393062</v>
      </c>
      <c r="DK58" s="57">
        <f t="shared" ref="DK58" si="100">+DK56-DK57</f>
        <v>22036.255186098049</v>
      </c>
    </row>
    <row r="59" spans="2:115">
      <c r="B59" s="52" t="s">
        <v>59</v>
      </c>
      <c r="C59" s="57"/>
      <c r="D59" s="57"/>
      <c r="E59" s="57"/>
      <c r="F59" s="57">
        <v>1098</v>
      </c>
      <c r="G59" s="57">
        <v>1090</v>
      </c>
      <c r="H59" s="57">
        <v>1146.0999999999999</v>
      </c>
      <c r="I59" s="57">
        <v>1070.9000000000001</v>
      </c>
      <c r="J59" s="57">
        <v>1190</v>
      </c>
      <c r="K59" s="57">
        <v>1143</v>
      </c>
      <c r="L59" s="57">
        <v>1238</v>
      </c>
      <c r="M59" s="57">
        <v>1302.3</v>
      </c>
      <c r="N59" s="57">
        <v>1422.1</v>
      </c>
      <c r="O59" s="57">
        <v>1336.8</v>
      </c>
      <c r="P59" s="57">
        <v>1524.7</v>
      </c>
      <c r="Q59" s="57">
        <v>1477.8</v>
      </c>
      <c r="R59" s="57">
        <v>1755.8</v>
      </c>
      <c r="S59" s="57">
        <v>1550.5</v>
      </c>
      <c r="T59" s="57">
        <v>1700.1</v>
      </c>
      <c r="U59" s="57">
        <v>1649.2</v>
      </c>
      <c r="V59" s="57">
        <v>1718.6</v>
      </c>
      <c r="W59" s="57">
        <v>1529.2</v>
      </c>
      <c r="X59" s="57">
        <v>1708.2</v>
      </c>
      <c r="Y59" s="57">
        <v>1701.8</v>
      </c>
      <c r="Z59" s="57">
        <v>1953.3</v>
      </c>
      <c r="AA59" s="57">
        <v>1614.4</v>
      </c>
      <c r="AB59" s="57">
        <v>1755.4</v>
      </c>
      <c r="AC59" s="57">
        <v>1694.9</v>
      </c>
      <c r="AD59" s="57">
        <v>1988.7</v>
      </c>
      <c r="AE59" s="57">
        <v>1785.7</v>
      </c>
      <c r="AF59" s="57">
        <v>2043</v>
      </c>
      <c r="AG59" s="57">
        <v>1917.8</v>
      </c>
      <c r="AH59" s="57">
        <v>2133.4</v>
      </c>
      <c r="AI59" s="57">
        <v>1847.5</v>
      </c>
      <c r="AJ59" s="57">
        <v>1931.1</v>
      </c>
      <c r="AK59" s="57">
        <v>1757.4</v>
      </c>
      <c r="AL59" s="57">
        <f>+AH59-200</f>
        <v>1933.4</v>
      </c>
      <c r="AM59" s="57">
        <f>+AI59</f>
        <v>1847.5</v>
      </c>
      <c r="AN59" s="57">
        <f t="shared" ref="AN59:AN60" si="101">+AJ59</f>
        <v>1931.1</v>
      </c>
      <c r="AO59" s="57">
        <f t="shared" ref="AO59:AO60" si="102">+AK59</f>
        <v>1757.4</v>
      </c>
      <c r="AP59" s="57">
        <f t="shared" ref="AP59:AP60" si="103">+AL59</f>
        <v>1933.4</v>
      </c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>
        <v>1517.1</v>
      </c>
      <c r="BL59" s="57">
        <v>1586.3</v>
      </c>
      <c r="BM59" s="57">
        <v>1412.3</v>
      </c>
      <c r="BN59" s="57">
        <v>1698.1</v>
      </c>
      <c r="BO59" s="57">
        <v>1549.6</v>
      </c>
      <c r="BP59" s="57">
        <v>1448.6</v>
      </c>
      <c r="BQ59" s="57">
        <v>1569.1</v>
      </c>
      <c r="BR59" s="57">
        <v>1553.9</v>
      </c>
      <c r="BS59" s="57">
        <v>1576</v>
      </c>
      <c r="BT59" s="57">
        <v>1685.7</v>
      </c>
      <c r="BU59" s="57">
        <v>1577.9</v>
      </c>
      <c r="BV59" s="57">
        <v>1592</v>
      </c>
      <c r="BW59" s="57">
        <v>1557.9</v>
      </c>
      <c r="BX59" s="57">
        <f>+BT59</f>
        <v>1685.7</v>
      </c>
      <c r="BY59" s="57">
        <f t="shared" ref="BY59:BY60" si="104">+BU59</f>
        <v>1577.9</v>
      </c>
      <c r="BZ59" s="57">
        <f t="shared" ref="BZ59:BZ60" si="105">+BV59</f>
        <v>1592</v>
      </c>
      <c r="CA59" s="57">
        <f t="shared" ref="CA59:CA60" si="106">+BW59</f>
        <v>1557.9</v>
      </c>
      <c r="CB59" s="57">
        <f t="shared" ref="CB59:CB60" si="107">+BX59</f>
        <v>1685.7</v>
      </c>
      <c r="CC59" s="57">
        <f t="shared" ref="CC59:CC60" si="108">+BY59</f>
        <v>1577.9</v>
      </c>
      <c r="CD59" s="57">
        <f t="shared" ref="CD59:CD60" si="109">+BZ59</f>
        <v>1592</v>
      </c>
      <c r="CE59" s="57"/>
      <c r="CF59" s="57"/>
      <c r="CH59" s="57">
        <v>3417</v>
      </c>
      <c r="CI59" s="57">
        <v>3424</v>
      </c>
      <c r="CJ59" s="57">
        <v>4055</v>
      </c>
      <c r="CK59" s="57">
        <v>4284</v>
      </c>
      <c r="CL59" s="57">
        <v>4497</v>
      </c>
      <c r="CM59" s="57">
        <v>4752</v>
      </c>
      <c r="CN59" s="57">
        <f>CM59*1.03</f>
        <v>4894.5600000000004</v>
      </c>
      <c r="CO59" s="57">
        <f>SUM(S59:V59)</f>
        <v>6618.4</v>
      </c>
      <c r="CP59" s="57">
        <f>SUM(W59:Z59)</f>
        <v>6892.5</v>
      </c>
      <c r="CQ59" s="57">
        <f>SUM(AA59:AD59)</f>
        <v>7053.4000000000005</v>
      </c>
      <c r="CR59" s="57">
        <f t="shared" ref="CR59:CR60" si="110">SUM(AE59:AH59)</f>
        <v>7879.9</v>
      </c>
      <c r="CS59" s="57">
        <f t="shared" ref="CS59" si="111">SUM(AI59:AL59)</f>
        <v>7469.4</v>
      </c>
      <c r="CT59" s="57">
        <f>CS59*0.95</f>
        <v>7095.9299999999994</v>
      </c>
      <c r="CU59" s="57">
        <f>CT59*0.8</f>
        <v>5676.7439999999997</v>
      </c>
      <c r="CV59" s="57">
        <f>CU59*0.95</f>
        <v>5392.9067999999997</v>
      </c>
      <c r="CW59" s="57">
        <f>+CV59*0.9</f>
        <v>4853.6161199999997</v>
      </c>
      <c r="CX59" s="57">
        <f>+CW59*0.9</f>
        <v>4368.254508</v>
      </c>
      <c r="CY59" s="57">
        <f t="shared" ref="CY59:CZ59" si="112">+CX59*0.9</f>
        <v>3931.4290572</v>
      </c>
      <c r="CZ59" s="57">
        <f t="shared" si="112"/>
        <v>3538.2861514800002</v>
      </c>
      <c r="DA59" s="55">
        <f t="shared" ref="DA59:DA60" si="113">SUM(BO59:BR59)</f>
        <v>6121.1999999999989</v>
      </c>
      <c r="DB59" s="55">
        <f t="shared" ref="DB59:DB60" si="114">SUM(BS59:BV59)</f>
        <v>6431.6</v>
      </c>
      <c r="DC59" s="55">
        <f t="shared" ref="DC59:DC60" si="115">SUM(BW59:BZ59)</f>
        <v>6413.5</v>
      </c>
      <c r="DD59" s="55">
        <f t="shared" ref="DD59:DD60" si="116">SUM(CA59:CD59)</f>
        <v>6413.5</v>
      </c>
      <c r="DE59" s="55">
        <f>+DE56*0.25</f>
        <v>7681.2207813712739</v>
      </c>
      <c r="DF59" s="55">
        <f t="shared" ref="DF59:DK59" si="117">+DF56*0.25</f>
        <v>8047.5130181591458</v>
      </c>
      <c r="DG59" s="55">
        <f t="shared" si="117"/>
        <v>8703.1489640824821</v>
      </c>
      <c r="DH59" s="55">
        <f t="shared" si="117"/>
        <v>9088.3221162720511</v>
      </c>
      <c r="DI59" s="55">
        <f t="shared" si="117"/>
        <v>9720.4771853032762</v>
      </c>
      <c r="DJ59" s="55">
        <f t="shared" si="117"/>
        <v>10187.954355848266</v>
      </c>
      <c r="DK59" s="55">
        <f t="shared" si="117"/>
        <v>8068.0637965245123</v>
      </c>
    </row>
    <row r="60" spans="2:115">
      <c r="B60" s="52" t="s">
        <v>60</v>
      </c>
      <c r="C60" s="57"/>
      <c r="D60" s="57"/>
      <c r="E60" s="57"/>
      <c r="F60" s="57">
        <v>706</v>
      </c>
      <c r="G60" s="57">
        <v>702</v>
      </c>
      <c r="H60" s="57">
        <v>762.4</v>
      </c>
      <c r="I60" s="57">
        <v>751</v>
      </c>
      <c r="J60" s="57">
        <v>810</v>
      </c>
      <c r="K60" s="57">
        <v>741</v>
      </c>
      <c r="L60" s="57">
        <v>775</v>
      </c>
      <c r="M60" s="57">
        <v>788.8</v>
      </c>
      <c r="N60" s="57">
        <v>890</v>
      </c>
      <c r="O60" s="57">
        <v>834.2</v>
      </c>
      <c r="P60" s="57">
        <v>854.4</v>
      </c>
      <c r="Q60" s="57">
        <v>844.5</v>
      </c>
      <c r="R60" s="57">
        <v>953.6</v>
      </c>
      <c r="S60" s="57">
        <v>877.1</v>
      </c>
      <c r="T60" s="57">
        <v>951.5</v>
      </c>
      <c r="U60" s="57">
        <v>953</v>
      </c>
      <c r="V60" s="57">
        <v>1036.0999999999999</v>
      </c>
      <c r="W60" s="57">
        <v>947.3</v>
      </c>
      <c r="X60" s="57">
        <v>1040.4000000000001</v>
      </c>
      <c r="Y60" s="57">
        <v>1122.0999999999999</v>
      </c>
      <c r="Z60" s="57">
        <v>1216.7</v>
      </c>
      <c r="AA60" s="57">
        <v>1039.0999999999999</v>
      </c>
      <c r="AB60" s="57">
        <v>1187.2</v>
      </c>
      <c r="AC60" s="57">
        <v>1219.8</v>
      </c>
      <c r="AD60" s="57">
        <v>1438.1</v>
      </c>
      <c r="AE60" s="57">
        <v>1124</v>
      </c>
      <c r="AF60" s="57">
        <v>1260.5999999999999</v>
      </c>
      <c r="AG60" s="57">
        <v>1280.9000000000001</v>
      </c>
      <c r="AH60" s="57">
        <v>1355.3</v>
      </c>
      <c r="AI60" s="57">
        <v>1151.5</v>
      </c>
      <c r="AJ60" s="57">
        <v>1320.7</v>
      </c>
      <c r="AK60" s="57">
        <v>1342.8</v>
      </c>
      <c r="AL60" s="57">
        <f>+AH60-50</f>
        <v>1305.3</v>
      </c>
      <c r="AM60" s="57">
        <f t="shared" ref="AM60" si="118">+AI60</f>
        <v>1151.5</v>
      </c>
      <c r="AN60" s="57">
        <f t="shared" si="101"/>
        <v>1320.7</v>
      </c>
      <c r="AO60" s="57">
        <f t="shared" si="102"/>
        <v>1342.8</v>
      </c>
      <c r="AP60" s="57">
        <f t="shared" si="103"/>
        <v>1305.3</v>
      </c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>
        <v>1230.5</v>
      </c>
      <c r="BL60" s="57">
        <v>1402.2</v>
      </c>
      <c r="BM60" s="57">
        <v>1380.9</v>
      </c>
      <c r="BN60" s="57">
        <v>1581.4</v>
      </c>
      <c r="BO60" s="57">
        <v>1392.1</v>
      </c>
      <c r="BP60" s="57">
        <v>1390.2</v>
      </c>
      <c r="BQ60" s="57">
        <v>1465.4</v>
      </c>
      <c r="BR60" s="57">
        <v>1838</v>
      </c>
      <c r="BS60" s="57">
        <v>1672.1</v>
      </c>
      <c r="BT60" s="57">
        <v>1672.8</v>
      </c>
      <c r="BU60" s="57">
        <v>1708.9</v>
      </c>
      <c r="BV60" s="57">
        <v>1959.4</v>
      </c>
      <c r="BW60" s="57">
        <v>1610.1</v>
      </c>
      <c r="BX60" s="57">
        <f t="shared" ref="BX60" si="119">+BT60</f>
        <v>1672.8</v>
      </c>
      <c r="BY60" s="57">
        <f t="shared" si="104"/>
        <v>1708.9</v>
      </c>
      <c r="BZ60" s="57">
        <f t="shared" si="105"/>
        <v>1959.4</v>
      </c>
      <c r="CA60" s="57">
        <f t="shared" si="106"/>
        <v>1610.1</v>
      </c>
      <c r="CB60" s="57">
        <f t="shared" si="107"/>
        <v>1672.8</v>
      </c>
      <c r="CC60" s="57">
        <f t="shared" si="108"/>
        <v>1708.9</v>
      </c>
      <c r="CD60" s="57">
        <f t="shared" si="109"/>
        <v>1959.4</v>
      </c>
      <c r="CE60" s="57"/>
      <c r="CF60" s="57"/>
      <c r="CH60" s="57">
        <v>2235</v>
      </c>
      <c r="CI60" s="57">
        <v>2149</v>
      </c>
      <c r="CJ60" s="57">
        <v>2350</v>
      </c>
      <c r="CK60" s="57">
        <v>2691</v>
      </c>
      <c r="CL60" s="57">
        <v>3026</v>
      </c>
      <c r="CM60" s="57">
        <v>3130</v>
      </c>
      <c r="CN60" s="57">
        <f>CM60*1.02</f>
        <v>3192.6</v>
      </c>
      <c r="CO60" s="57">
        <f>SUM(S60:V60)</f>
        <v>3817.7</v>
      </c>
      <c r="CP60" s="57">
        <f>SUM(W60:Z60)</f>
        <v>4326.5</v>
      </c>
      <c r="CQ60" s="57">
        <f>SUM(AA60:AD60)</f>
        <v>4884.2000000000007</v>
      </c>
      <c r="CR60" s="57">
        <f t="shared" si="110"/>
        <v>5020.8</v>
      </c>
      <c r="CS60" s="57">
        <f>SUM(AI60:AL60)</f>
        <v>5120.3</v>
      </c>
      <c r="CT60" s="57"/>
      <c r="CU60" s="57"/>
      <c r="CV60" s="57"/>
      <c r="CW60" s="57"/>
      <c r="CX60" s="57"/>
      <c r="CY60" s="60"/>
      <c r="CZ60" s="60"/>
      <c r="DA60" s="55">
        <f t="shared" si="113"/>
        <v>6085.7000000000007</v>
      </c>
      <c r="DB60" s="55">
        <f t="shared" si="114"/>
        <v>7013.1999999999989</v>
      </c>
      <c r="DC60" s="55">
        <f t="shared" si="115"/>
        <v>6951.1999999999989</v>
      </c>
      <c r="DD60" s="55">
        <f t="shared" si="116"/>
        <v>6951.1999999999989</v>
      </c>
      <c r="DE60" s="55"/>
      <c r="DF60" s="55"/>
      <c r="DG60" s="55"/>
      <c r="DH60" s="55"/>
      <c r="DI60" s="55"/>
      <c r="DJ60" s="55"/>
      <c r="DK60" s="55"/>
    </row>
    <row r="61" spans="2:115">
      <c r="B61" s="59" t="s">
        <v>252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>
        <f t="shared" ref="V61:AA61" si="120">V60+V59</f>
        <v>2754.7</v>
      </c>
      <c r="W61" s="57">
        <f t="shared" si="120"/>
        <v>2476.5</v>
      </c>
      <c r="X61" s="57">
        <f t="shared" si="120"/>
        <v>2748.6000000000004</v>
      </c>
      <c r="Y61" s="57">
        <f t="shared" si="120"/>
        <v>2823.8999999999996</v>
      </c>
      <c r="Z61" s="57">
        <f t="shared" si="120"/>
        <v>3170</v>
      </c>
      <c r="AA61" s="57">
        <f t="shared" si="120"/>
        <v>2653.5</v>
      </c>
      <c r="AB61" s="57">
        <f t="shared" ref="AB61:AD61" si="121">AB60+AB59</f>
        <v>2942.6000000000004</v>
      </c>
      <c r="AC61" s="57">
        <f t="shared" si="121"/>
        <v>2914.7</v>
      </c>
      <c r="AD61" s="57">
        <f t="shared" si="121"/>
        <v>3426.8</v>
      </c>
      <c r="AE61" s="57">
        <f>AE60+AE59</f>
        <v>2909.7</v>
      </c>
      <c r="AF61" s="57">
        <f>AF60+AF59</f>
        <v>3303.6</v>
      </c>
      <c r="AG61" s="57">
        <f>AG60+AG59</f>
        <v>3198.7</v>
      </c>
      <c r="AH61" s="57">
        <f>AH60+AH59</f>
        <v>3488.7</v>
      </c>
      <c r="AI61" s="57">
        <f>+AI60+AI59</f>
        <v>2999</v>
      </c>
      <c r="AJ61" s="57">
        <f>+AJ60+AJ59</f>
        <v>3251.8</v>
      </c>
      <c r="AK61" s="57">
        <f>+AK60+AK59</f>
        <v>3100.2</v>
      </c>
      <c r="AL61" s="57">
        <f>+AL60+AL59</f>
        <v>3238.7</v>
      </c>
      <c r="AM61" s="57">
        <f t="shared" ref="AM61:AP61" si="122">+AM60+AM59</f>
        <v>2999</v>
      </c>
      <c r="AN61" s="57">
        <f t="shared" si="122"/>
        <v>3251.8</v>
      </c>
      <c r="AO61" s="57">
        <f t="shared" si="122"/>
        <v>3100.2</v>
      </c>
      <c r="AP61" s="57">
        <f t="shared" si="122"/>
        <v>3238.7</v>
      </c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>
        <f t="shared" ref="BK61:BW61" si="123">SUM(BK59:BK60)</f>
        <v>2747.6</v>
      </c>
      <c r="BL61" s="57">
        <f t="shared" si="123"/>
        <v>2988.5</v>
      </c>
      <c r="BM61" s="57">
        <f t="shared" si="123"/>
        <v>2793.2</v>
      </c>
      <c r="BN61" s="57">
        <f t="shared" si="123"/>
        <v>3279.5</v>
      </c>
      <c r="BO61" s="57">
        <f t="shared" si="123"/>
        <v>2941.7</v>
      </c>
      <c r="BP61" s="57">
        <f t="shared" si="123"/>
        <v>2838.8</v>
      </c>
      <c r="BQ61" s="57">
        <f t="shared" si="123"/>
        <v>3034.5</v>
      </c>
      <c r="BR61" s="57">
        <f t="shared" si="123"/>
        <v>3391.9</v>
      </c>
      <c r="BS61" s="57">
        <f t="shared" si="123"/>
        <v>3248.1</v>
      </c>
      <c r="BT61" s="57">
        <f t="shared" si="123"/>
        <v>3358.5</v>
      </c>
      <c r="BU61" s="57">
        <f t="shared" si="123"/>
        <v>3286.8</v>
      </c>
      <c r="BV61" s="57">
        <f t="shared" si="123"/>
        <v>3551.4</v>
      </c>
      <c r="BW61" s="57">
        <f t="shared" si="123"/>
        <v>3168</v>
      </c>
      <c r="BX61" s="57">
        <f t="shared" ref="BX61:CD61" si="124">SUM(BX59:BX60)</f>
        <v>3358.5</v>
      </c>
      <c r="BY61" s="57">
        <f t="shared" si="124"/>
        <v>3286.8</v>
      </c>
      <c r="BZ61" s="57">
        <f t="shared" si="124"/>
        <v>3551.4</v>
      </c>
      <c r="CA61" s="57">
        <f t="shared" si="124"/>
        <v>3168</v>
      </c>
      <c r="CB61" s="57">
        <f t="shared" si="124"/>
        <v>3358.5</v>
      </c>
      <c r="CC61" s="57">
        <f t="shared" si="124"/>
        <v>3286.8</v>
      </c>
      <c r="CD61" s="57">
        <f t="shared" si="124"/>
        <v>3551.4</v>
      </c>
      <c r="CE61" s="57"/>
      <c r="CF61" s="57"/>
      <c r="CH61" s="57">
        <f t="shared" ref="CH61:CN61" si="125">CH60+CH59</f>
        <v>5652</v>
      </c>
      <c r="CI61" s="57">
        <f t="shared" si="125"/>
        <v>5573</v>
      </c>
      <c r="CJ61" s="57">
        <f t="shared" si="125"/>
        <v>6405</v>
      </c>
      <c r="CK61" s="57">
        <f t="shared" si="125"/>
        <v>6975</v>
      </c>
      <c r="CL61" s="57">
        <f t="shared" si="125"/>
        <v>7523</v>
      </c>
      <c r="CM61" s="57">
        <f t="shared" si="125"/>
        <v>7882</v>
      </c>
      <c r="CN61" s="57">
        <f t="shared" si="125"/>
        <v>8087.16</v>
      </c>
      <c r="CO61" s="57">
        <f>CO60+CO59</f>
        <v>10436.099999999999</v>
      </c>
      <c r="CP61" s="57">
        <f t="shared" ref="CP61:CV61" si="126">CP60+CP59</f>
        <v>11219</v>
      </c>
      <c r="CQ61" s="57">
        <f>CQ60+CQ59</f>
        <v>11937.600000000002</v>
      </c>
      <c r="CR61" s="57">
        <f>CR60+CR59</f>
        <v>12900.7</v>
      </c>
      <c r="CS61" s="57">
        <f>CS60+CS59</f>
        <v>12589.7</v>
      </c>
      <c r="CT61" s="57">
        <f t="shared" si="126"/>
        <v>7095.9299999999994</v>
      </c>
      <c r="CU61" s="57">
        <f t="shared" si="126"/>
        <v>5676.7439999999997</v>
      </c>
      <c r="CV61" s="57">
        <f t="shared" si="126"/>
        <v>5392.9067999999997</v>
      </c>
      <c r="CW61" s="57">
        <f>CW60+CW59</f>
        <v>4853.6161199999997</v>
      </c>
      <c r="CX61" s="57">
        <f>CX60+CX59</f>
        <v>4368.254508</v>
      </c>
      <c r="CY61" s="57">
        <f t="shared" ref="CY61:CZ61" si="127">CY60+CY59</f>
        <v>3931.4290572</v>
      </c>
      <c r="CZ61" s="57">
        <f t="shared" si="127"/>
        <v>3538.2861514800002</v>
      </c>
      <c r="DA61" s="57">
        <f>DA60+DA59</f>
        <v>12206.9</v>
      </c>
      <c r="DB61" s="57">
        <f t="shared" ref="DB61:DD61" si="128">DB60+DB59</f>
        <v>13444.8</v>
      </c>
      <c r="DC61" s="57">
        <f t="shared" si="128"/>
        <v>13364.699999999999</v>
      </c>
      <c r="DD61" s="57">
        <f t="shared" si="128"/>
        <v>13364.699999999999</v>
      </c>
      <c r="DE61" s="57">
        <f t="shared" ref="DE61" si="129">DE60+DE59</f>
        <v>7681.2207813712739</v>
      </c>
      <c r="DF61" s="57">
        <f t="shared" ref="DF61" si="130">DF60+DF59</f>
        <v>8047.5130181591458</v>
      </c>
      <c r="DG61" s="57">
        <f t="shared" ref="DG61" si="131">DG60+DG59</f>
        <v>8703.1489640824821</v>
      </c>
      <c r="DH61" s="57">
        <f t="shared" ref="DH61" si="132">DH60+DH59</f>
        <v>9088.3221162720511</v>
      </c>
      <c r="DI61" s="57">
        <f t="shared" ref="DI61" si="133">DI60+DI59</f>
        <v>9720.4771853032762</v>
      </c>
      <c r="DJ61" s="57">
        <f t="shared" ref="DJ61" si="134">DJ60+DJ59</f>
        <v>10187.954355848266</v>
      </c>
      <c r="DK61" s="57">
        <f t="shared" ref="DK61" si="135">DK60+DK59</f>
        <v>8068.0637965245123</v>
      </c>
    </row>
    <row r="62" spans="2:115" s="67" customFormat="1">
      <c r="B62" s="65" t="s">
        <v>253</v>
      </c>
      <c r="C62" s="66"/>
      <c r="D62" s="66"/>
      <c r="E62" s="66"/>
      <c r="F62" s="66">
        <f t="shared" ref="F62:O62" si="136">F58-F59-F60</f>
        <v>482.80799999999999</v>
      </c>
      <c r="G62" s="66">
        <f t="shared" si="136"/>
        <v>348.83663366336623</v>
      </c>
      <c r="H62" s="66">
        <f t="shared" si="136"/>
        <v>385.8000000000003</v>
      </c>
      <c r="I62" s="66">
        <f t="shared" si="136"/>
        <v>496.5333333333333</v>
      </c>
      <c r="J62" s="66">
        <f t="shared" si="136"/>
        <v>557.10000000000036</v>
      </c>
      <c r="K62" s="66">
        <f t="shared" si="136"/>
        <v>537.20000000000027</v>
      </c>
      <c r="L62" s="66">
        <f t="shared" si="136"/>
        <v>549</v>
      </c>
      <c r="M62" s="66">
        <f t="shared" si="136"/>
        <v>702.40000000000009</v>
      </c>
      <c r="N62" s="66">
        <f t="shared" si="136"/>
        <v>2301.8000000000006</v>
      </c>
      <c r="O62" s="66">
        <f t="shared" si="136"/>
        <v>1142.5</v>
      </c>
      <c r="P62" s="66">
        <f t="shared" ref="P62:U62" si="137">P58-P59-P60</f>
        <v>815.80000000000007</v>
      </c>
      <c r="Q62" s="66">
        <f t="shared" si="137"/>
        <v>2522.3999999999987</v>
      </c>
      <c r="R62" s="66">
        <f t="shared" si="137"/>
        <v>2683.5000000000005</v>
      </c>
      <c r="S62" s="66">
        <f t="shared" si="137"/>
        <v>2702.900000000001</v>
      </c>
      <c r="T62" s="66">
        <f t="shared" si="137"/>
        <v>2850.9999999999986</v>
      </c>
      <c r="U62" s="66">
        <f t="shared" si="137"/>
        <v>3039.5000000000009</v>
      </c>
      <c r="V62" s="66">
        <f t="shared" ref="V62:AA62" si="138">V58-V61</f>
        <v>1556.1999999999998</v>
      </c>
      <c r="W62" s="66">
        <f t="shared" si="138"/>
        <v>1598.9</v>
      </c>
      <c r="X62" s="66">
        <f t="shared" si="138"/>
        <v>1417.5</v>
      </c>
      <c r="Y62" s="66">
        <f t="shared" si="138"/>
        <v>1686.2000000000007</v>
      </c>
      <c r="Z62" s="66">
        <f t="shared" si="138"/>
        <v>1332.6999999999998</v>
      </c>
      <c r="AA62" s="66">
        <f t="shared" si="138"/>
        <v>1709.5</v>
      </c>
      <c r="AB62" s="66">
        <f t="shared" ref="AB62:AD62" si="139">AB58-AB61</f>
        <v>1782.1999999999998</v>
      </c>
      <c r="AC62" s="66">
        <f t="shared" si="139"/>
        <v>1752.5</v>
      </c>
      <c r="AD62" s="66">
        <f t="shared" si="139"/>
        <v>1528.2000000000007</v>
      </c>
      <c r="AE62" s="66">
        <f>AE58-AE61</f>
        <v>1749.4000000000005</v>
      </c>
      <c r="AF62" s="66">
        <f>AF58-AF61</f>
        <v>1721.1999999999985</v>
      </c>
      <c r="AG62" s="66">
        <f>AG58-AG61</f>
        <v>1611.3000000000002</v>
      </c>
      <c r="AH62" s="66">
        <f>AH58-AH61</f>
        <v>1236.9000000000005</v>
      </c>
      <c r="AI62" s="66">
        <f>+AI58-AI61</f>
        <v>1405.5</v>
      </c>
      <c r="AJ62" s="66">
        <f>+AJ58-AJ61</f>
        <v>1201.9999999999991</v>
      </c>
      <c r="AK62" s="66">
        <f>+AK58-AK61</f>
        <v>1138.6999999999998</v>
      </c>
      <c r="AL62" s="66">
        <f>+AL58-AL61</f>
        <v>810.80000000000018</v>
      </c>
      <c r="AM62" s="66">
        <f t="shared" ref="AM62:AP62" si="140">+AM58-AM61</f>
        <v>1329.2999999999993</v>
      </c>
      <c r="AN62" s="66">
        <f t="shared" si="140"/>
        <v>1109.6999999999998</v>
      </c>
      <c r="AO62" s="66">
        <f t="shared" si="140"/>
        <v>1178.6999999999998</v>
      </c>
      <c r="AP62" s="66">
        <f t="shared" si="140"/>
        <v>850.80000000000018</v>
      </c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>
        <f t="shared" ref="BK62:BW62" si="141">BK58-BK61</f>
        <v>1334.0000000000005</v>
      </c>
      <c r="BL62" s="66">
        <f t="shared" si="141"/>
        <v>1574.9000000000005</v>
      </c>
      <c r="BM62" s="66">
        <f t="shared" si="141"/>
        <v>1565.1999999999998</v>
      </c>
      <c r="BN62" s="66">
        <f t="shared" si="141"/>
        <v>1605.3999999999996</v>
      </c>
      <c r="BO62" s="66">
        <f t="shared" si="141"/>
        <v>1761.5999999999976</v>
      </c>
      <c r="BP62" s="66">
        <f t="shared" si="141"/>
        <v>1541.3999999999987</v>
      </c>
      <c r="BQ62" s="66">
        <f t="shared" si="141"/>
        <v>1506.1999999999989</v>
      </c>
      <c r="BR62" s="66">
        <f t="shared" si="141"/>
        <v>2328.3999999999992</v>
      </c>
      <c r="BS62" s="66">
        <f t="shared" si="141"/>
        <v>1886.1000000000008</v>
      </c>
      <c r="BT62" s="66">
        <f t="shared" si="141"/>
        <v>1983.4999999999973</v>
      </c>
      <c r="BU62" s="66">
        <f t="shared" si="141"/>
        <v>2064.3999999999978</v>
      </c>
      <c r="BV62" s="66">
        <f t="shared" si="141"/>
        <v>2398.2999999999997</v>
      </c>
      <c r="BW62" s="66">
        <f t="shared" si="141"/>
        <v>2774.6000000000004</v>
      </c>
      <c r="BX62" s="66">
        <f t="shared" ref="BX62:CD62" si="142">BX58-BX61</f>
        <v>2250.0066450000013</v>
      </c>
      <c r="BY62" s="66">
        <f t="shared" si="142"/>
        <v>2216.1131218750006</v>
      </c>
      <c r="BZ62" s="66">
        <f t="shared" si="142"/>
        <v>2234.322018671874</v>
      </c>
      <c r="CA62" s="66">
        <f t="shared" si="142"/>
        <v>2154.4430740167973</v>
      </c>
      <c r="CB62" s="66">
        <f t="shared" si="142"/>
        <v>2205.0725082821391</v>
      </c>
      <c r="CC62" s="66">
        <f t="shared" si="142"/>
        <v>2351.0532525841036</v>
      </c>
      <c r="CD62" s="66">
        <f t="shared" si="142"/>
        <v>2585.7815684872144</v>
      </c>
      <c r="CE62" s="66"/>
      <c r="CF62" s="66"/>
      <c r="CH62" s="66">
        <f t="shared" ref="CH62:CP62" si="143">CH58-CH59-CH60</f>
        <v>3817</v>
      </c>
      <c r="CI62" s="66">
        <f t="shared" si="143"/>
        <v>3327</v>
      </c>
      <c r="CJ62" s="66">
        <f t="shared" si="143"/>
        <v>3505</v>
      </c>
      <c r="CK62" s="66">
        <f t="shared" si="143"/>
        <v>3660</v>
      </c>
      <c r="CL62" s="66">
        <f t="shared" si="143"/>
        <v>3653</v>
      </c>
      <c r="CM62" s="66">
        <f t="shared" si="143"/>
        <v>4400.4999999999982</v>
      </c>
      <c r="CN62" s="66">
        <f t="shared" si="143"/>
        <v>6336.8340000000007</v>
      </c>
      <c r="CO62" s="66">
        <f>CO58-CO59-CO60</f>
        <v>10149.599999999999</v>
      </c>
      <c r="CP62" s="66">
        <f t="shared" si="143"/>
        <v>6035.2999999999993</v>
      </c>
      <c r="CQ62" s="66">
        <f>CQ58-CQ59-CQ60</f>
        <v>5589.9999999999964</v>
      </c>
      <c r="CR62" s="66">
        <f>CR58-CR59-CR60</f>
        <v>5908.7000000000016</v>
      </c>
      <c r="CS62" s="66">
        <f>CS58-CS59-CS60</f>
        <v>4556.9999999999973</v>
      </c>
      <c r="CT62" s="66">
        <f t="shared" ref="CT62:CW62" si="144">CT58-CT59-CT60</f>
        <v>-7095.9299999999994</v>
      </c>
      <c r="CU62" s="66">
        <f t="shared" si="144"/>
        <v>-5676.7439999999997</v>
      </c>
      <c r="CV62" s="66">
        <f t="shared" si="144"/>
        <v>-5392.9067999999997</v>
      </c>
      <c r="CW62" s="66">
        <f t="shared" si="144"/>
        <v>-4853.6161199999997</v>
      </c>
      <c r="CX62" s="66">
        <f>CX58-CX59-CX60</f>
        <v>-4368.254508</v>
      </c>
      <c r="CY62" s="66">
        <f t="shared" ref="CY62:CZ62" si="145">CY58-CY59-CY60</f>
        <v>-3931.4290572</v>
      </c>
      <c r="CZ62" s="66">
        <f t="shared" si="145"/>
        <v>-3538.2861514800002</v>
      </c>
      <c r="DA62" s="66">
        <f>+DA58-DA61</f>
        <v>7137.6</v>
      </c>
      <c r="DB62" s="66">
        <f t="shared" ref="DB62:DD62" si="146">+DB58-DB61</f>
        <v>8332.2999999999993</v>
      </c>
      <c r="DC62" s="66">
        <f t="shared" si="146"/>
        <v>9475.0417855468786</v>
      </c>
      <c r="DD62" s="66">
        <f t="shared" si="146"/>
        <v>9396.3504033702538</v>
      </c>
      <c r="DE62" s="66">
        <f t="shared" ref="DE62" si="147">+DE58-DE61</f>
        <v>18434.665459095813</v>
      </c>
      <c r="DF62" s="66">
        <f t="shared" ref="DF62" si="148">+DF58-DF61</f>
        <v>21012.466507104051</v>
      </c>
      <c r="DG62" s="66">
        <f t="shared" ref="DG62" si="149">+DG58-DG61</f>
        <v>24478.044196826799</v>
      </c>
      <c r="DH62" s="66">
        <f t="shared" ref="DH62" si="150">+DH58-DH61</f>
        <v>25104.966348816153</v>
      </c>
      <c r="DI62" s="66">
        <f t="shared" ref="DI62" si="151">+DI58-DI61</f>
        <v>24824.431555909829</v>
      </c>
      <c r="DJ62" s="66">
        <f t="shared" ref="DJ62" si="152">+DJ58-DJ61</f>
        <v>23551.863067544797</v>
      </c>
      <c r="DK62" s="66">
        <f t="shared" ref="DK62" si="153">+DK58-DK61</f>
        <v>13968.191389573538</v>
      </c>
    </row>
    <row r="63" spans="2:115">
      <c r="B63" s="52" t="s">
        <v>78</v>
      </c>
      <c r="C63" s="57"/>
      <c r="D63" s="57"/>
      <c r="E63" s="57"/>
      <c r="F63" s="57">
        <v>69.099999999999994</v>
      </c>
      <c r="G63" s="57">
        <v>99</v>
      </c>
      <c r="H63" s="57">
        <v>45.4</v>
      </c>
      <c r="I63" s="57">
        <v>85</v>
      </c>
      <c r="J63" s="57">
        <v>85.2</v>
      </c>
      <c r="K63" s="57">
        <v>32</v>
      </c>
      <c r="L63" s="57">
        <v>47</v>
      </c>
      <c r="M63" s="57">
        <v>-4.8</v>
      </c>
      <c r="N63" s="57">
        <v>38.9</v>
      </c>
      <c r="O63" s="57">
        <v>38.299999999999997</v>
      </c>
      <c r="P63" s="57">
        <v>1.8</v>
      </c>
      <c r="Q63" s="57">
        <v>49.8</v>
      </c>
      <c r="R63" s="57">
        <v>32.1</v>
      </c>
      <c r="S63" s="57">
        <v>20.3</v>
      </c>
      <c r="T63" s="57">
        <v>32.299999999999997</v>
      </c>
      <c r="U63" s="57">
        <v>2.5</v>
      </c>
      <c r="V63" s="57">
        <v>-48.2</v>
      </c>
      <c r="W63" s="57">
        <v>-70.7</v>
      </c>
      <c r="X63" s="57">
        <v>-24.1</v>
      </c>
      <c r="Y63" s="57">
        <f>-44-22.9</f>
        <v>-66.900000000000006</v>
      </c>
      <c r="Z63" s="57">
        <v>-67.8</v>
      </c>
      <c r="AA63" s="57">
        <v>74.5</v>
      </c>
      <c r="AB63" s="57">
        <f>-36.5+18.1-18.4</f>
        <v>-36.799999999999997</v>
      </c>
      <c r="AC63" s="57">
        <f>-30.9+9.2-21.7</f>
        <v>-43.4</v>
      </c>
      <c r="AD63" s="57">
        <v>-39.4</v>
      </c>
      <c r="AE63" s="57">
        <v>-11.2</v>
      </c>
      <c r="AF63" s="57">
        <v>-57.6</v>
      </c>
      <c r="AG63" s="57">
        <f>-22.8-60.6</f>
        <v>-83.4</v>
      </c>
      <c r="AH63" s="57">
        <v>-26.8</v>
      </c>
      <c r="AI63" s="57">
        <f>-19.2-26.8</f>
        <v>-46</v>
      </c>
      <c r="AJ63" s="57">
        <f>-15.8-0.7</f>
        <v>-16.5</v>
      </c>
      <c r="AK63" s="57">
        <f>-21.3+22</f>
        <v>0.69999999999999929</v>
      </c>
      <c r="AL63" s="57">
        <f>+AH63</f>
        <v>-26.8</v>
      </c>
      <c r="AM63" s="57">
        <f t="shared" ref="AM63:AP63" si="154">+AI63</f>
        <v>-46</v>
      </c>
      <c r="AN63" s="57">
        <f t="shared" si="154"/>
        <v>-16.5</v>
      </c>
      <c r="AO63" s="57">
        <f t="shared" si="154"/>
        <v>0.69999999999999929</v>
      </c>
      <c r="AP63" s="57">
        <f t="shared" si="154"/>
        <v>-26.8</v>
      </c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>
        <v>55.9</v>
      </c>
      <c r="BL63" s="57">
        <v>91.5</v>
      </c>
      <c r="BM63" s="57">
        <v>90.1</v>
      </c>
      <c r="BN63" s="57">
        <v>82.7</v>
      </c>
      <c r="BO63" s="57">
        <v>78.2</v>
      </c>
      <c r="BP63" s="57">
        <v>81.2</v>
      </c>
      <c r="BQ63" s="57">
        <v>83.8</v>
      </c>
      <c r="BR63" s="57">
        <v>83.4</v>
      </c>
      <c r="BS63" s="57">
        <v>-34.6</v>
      </c>
      <c r="BT63" s="57">
        <v>81.5</v>
      </c>
      <c r="BU63" s="57">
        <v>77.599999999999994</v>
      </c>
      <c r="BV63" s="57">
        <v>77.3</v>
      </c>
      <c r="BW63" s="57">
        <v>-37.700000000000003</v>
      </c>
      <c r="BX63" s="57">
        <v>0</v>
      </c>
      <c r="BY63" s="57">
        <v>0</v>
      </c>
      <c r="BZ63" s="57">
        <v>0</v>
      </c>
      <c r="CA63" s="57">
        <v>0</v>
      </c>
      <c r="CB63" s="57">
        <v>0</v>
      </c>
      <c r="CC63" s="57">
        <v>0</v>
      </c>
      <c r="CD63" s="57">
        <v>0</v>
      </c>
      <c r="CE63" s="57"/>
      <c r="CF63" s="57"/>
      <c r="CH63" s="57">
        <v>134</v>
      </c>
      <c r="CI63" s="57">
        <v>214</v>
      </c>
      <c r="CJ63" s="57">
        <v>85</v>
      </c>
      <c r="CK63" s="57">
        <v>279</v>
      </c>
      <c r="CL63" s="57">
        <v>313</v>
      </c>
      <c r="CM63" s="57">
        <v>201</v>
      </c>
      <c r="CN63" s="57">
        <v>100</v>
      </c>
      <c r="CO63" s="57">
        <f>SUM(S63:V63)</f>
        <v>6.8999999999999915</v>
      </c>
      <c r="CP63" s="57">
        <f>SUM(W63:Z63)</f>
        <v>-229.5</v>
      </c>
      <c r="CQ63" s="57">
        <f>SUM(AA63:AD63)</f>
        <v>-45.099999999999994</v>
      </c>
      <c r="CR63" s="57">
        <f t="shared" ref="CR63" si="155">SUM(AE63:AH63)</f>
        <v>-179</v>
      </c>
      <c r="CS63" s="57">
        <f>SUM(AI63:AL63)</f>
        <v>-88.6</v>
      </c>
      <c r="CT63" s="57"/>
      <c r="CU63" s="57"/>
      <c r="CV63" s="57"/>
      <c r="CW63" s="57"/>
      <c r="CX63" s="57"/>
      <c r="CY63" s="60"/>
      <c r="CZ63" s="60"/>
      <c r="DE63" s="55">
        <f>+DD82*$DM$80</f>
        <v>28.040954498569072</v>
      </c>
      <c r="DF63" s="55">
        <f t="shared" ref="DF63:DK63" si="156">+DE82*$DM$80</f>
        <v>184.97395901412133</v>
      </c>
      <c r="DG63" s="55">
        <f t="shared" si="156"/>
        <v>365.15220297612581</v>
      </c>
      <c r="DH63" s="55">
        <f t="shared" si="156"/>
        <v>576.31937237445061</v>
      </c>
      <c r="DI63" s="55">
        <f t="shared" si="156"/>
        <v>794.61030100457083</v>
      </c>
      <c r="DJ63" s="55">
        <f t="shared" si="156"/>
        <v>1012.3721567883433</v>
      </c>
      <c r="DK63" s="55">
        <f t="shared" si="156"/>
        <v>1221.168156195175</v>
      </c>
    </row>
    <row r="64" spans="2:115">
      <c r="B64" s="52" t="s">
        <v>81</v>
      </c>
      <c r="C64" s="57"/>
      <c r="D64" s="57"/>
      <c r="E64" s="57"/>
      <c r="F64" s="57">
        <f t="shared" ref="F64:O64" si="157">F62+F63</f>
        <v>551.90800000000002</v>
      </c>
      <c r="G64" s="57">
        <f t="shared" si="157"/>
        <v>447.83663366336623</v>
      </c>
      <c r="H64" s="57">
        <f t="shared" si="157"/>
        <v>431.20000000000027</v>
      </c>
      <c r="I64" s="57">
        <f t="shared" si="157"/>
        <v>581.5333333333333</v>
      </c>
      <c r="J64" s="57">
        <f t="shared" si="157"/>
        <v>642.30000000000041</v>
      </c>
      <c r="K64" s="57">
        <f t="shared" si="157"/>
        <v>569.20000000000027</v>
      </c>
      <c r="L64" s="57">
        <f t="shared" si="157"/>
        <v>596</v>
      </c>
      <c r="M64" s="57">
        <f t="shared" si="157"/>
        <v>697.60000000000014</v>
      </c>
      <c r="N64" s="57">
        <f t="shared" si="157"/>
        <v>2340.7000000000007</v>
      </c>
      <c r="O64" s="57">
        <f t="shared" si="157"/>
        <v>1180.8</v>
      </c>
      <c r="P64" s="57">
        <f t="shared" ref="P64:W64" si="158">P62+P63</f>
        <v>817.6</v>
      </c>
      <c r="Q64" s="57">
        <f t="shared" si="158"/>
        <v>2572.1999999999989</v>
      </c>
      <c r="R64" s="57">
        <f t="shared" si="158"/>
        <v>2715.6000000000004</v>
      </c>
      <c r="S64" s="57">
        <f t="shared" si="158"/>
        <v>2723.2000000000012</v>
      </c>
      <c r="T64" s="57">
        <f t="shared" si="158"/>
        <v>2883.2999999999988</v>
      </c>
      <c r="U64" s="57">
        <f t="shared" si="158"/>
        <v>3042.0000000000009</v>
      </c>
      <c r="V64" s="57">
        <f t="shared" si="158"/>
        <v>1507.9999999999998</v>
      </c>
      <c r="W64" s="57">
        <f t="shared" si="158"/>
        <v>1528.2</v>
      </c>
      <c r="X64" s="57">
        <f t="shared" ref="X64:AC64" si="159">X62+X63</f>
        <v>1393.4</v>
      </c>
      <c r="Y64" s="57">
        <f t="shared" si="159"/>
        <v>1619.3000000000006</v>
      </c>
      <c r="Z64" s="57">
        <f t="shared" si="159"/>
        <v>1264.8999999999999</v>
      </c>
      <c r="AA64" s="57">
        <f t="shared" si="159"/>
        <v>1784</v>
      </c>
      <c r="AB64" s="57">
        <f t="shared" si="159"/>
        <v>1745.3999999999999</v>
      </c>
      <c r="AC64" s="57">
        <f t="shared" si="159"/>
        <v>1709.1</v>
      </c>
      <c r="AD64" s="57">
        <f>AD62+AD63</f>
        <v>1488.8000000000006</v>
      </c>
      <c r="AE64" s="57">
        <f>AE62+AE63</f>
        <v>1738.2000000000005</v>
      </c>
      <c r="AF64" s="57">
        <f>AF62+AF63</f>
        <v>1663.5999999999985</v>
      </c>
      <c r="AG64" s="57">
        <f>AG62+AG63</f>
        <v>1527.9</v>
      </c>
      <c r="AH64" s="57">
        <f>AH62+AH63</f>
        <v>1210.1000000000006</v>
      </c>
      <c r="AI64" s="57">
        <f>+AI62+AI63</f>
        <v>1359.5</v>
      </c>
      <c r="AJ64" s="57">
        <f>+AJ62+AJ63</f>
        <v>1185.4999999999991</v>
      </c>
      <c r="AK64" s="57">
        <f>+AK62+AK63</f>
        <v>1139.3999999999999</v>
      </c>
      <c r="AL64" s="57">
        <f>+AL62+AL63</f>
        <v>784.00000000000023</v>
      </c>
      <c r="AM64" s="57">
        <f t="shared" ref="AM64:AP64" si="160">+AM62+AM63</f>
        <v>1283.2999999999993</v>
      </c>
      <c r="AN64" s="57">
        <f t="shared" si="160"/>
        <v>1093.1999999999998</v>
      </c>
      <c r="AO64" s="57">
        <f t="shared" si="160"/>
        <v>1179.3999999999999</v>
      </c>
      <c r="AP64" s="57">
        <f t="shared" si="160"/>
        <v>824.00000000000023</v>
      </c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>
        <f t="shared" ref="BK64:CD64" si="161">BK62-BK63</f>
        <v>1278.1000000000004</v>
      </c>
      <c r="BL64" s="57">
        <f t="shared" si="161"/>
        <v>1483.4000000000005</v>
      </c>
      <c r="BM64" s="57">
        <f t="shared" si="161"/>
        <v>1475.1</v>
      </c>
      <c r="BN64" s="57">
        <f t="shared" si="161"/>
        <v>1522.6999999999996</v>
      </c>
      <c r="BO64" s="57">
        <f t="shared" si="161"/>
        <v>1683.3999999999976</v>
      </c>
      <c r="BP64" s="57">
        <f t="shared" si="161"/>
        <v>1460.1999999999987</v>
      </c>
      <c r="BQ64" s="57">
        <f t="shared" si="161"/>
        <v>1422.399999999999</v>
      </c>
      <c r="BR64" s="57">
        <f t="shared" si="161"/>
        <v>2244.9999999999991</v>
      </c>
      <c r="BS64" s="57">
        <f t="shared" si="161"/>
        <v>1920.7000000000007</v>
      </c>
      <c r="BT64" s="57">
        <f t="shared" si="161"/>
        <v>1901.9999999999973</v>
      </c>
      <c r="BU64" s="57">
        <f t="shared" si="161"/>
        <v>1986.7999999999979</v>
      </c>
      <c r="BV64" s="57">
        <f t="shared" si="161"/>
        <v>2320.9999999999995</v>
      </c>
      <c r="BW64" s="57">
        <f t="shared" si="161"/>
        <v>2812.3</v>
      </c>
      <c r="BX64" s="57">
        <f t="shared" si="161"/>
        <v>2250.0066450000013</v>
      </c>
      <c r="BY64" s="57">
        <f t="shared" si="161"/>
        <v>2216.1131218750006</v>
      </c>
      <c r="BZ64" s="57">
        <f t="shared" si="161"/>
        <v>2234.322018671874</v>
      </c>
      <c r="CA64" s="57">
        <f t="shared" si="161"/>
        <v>2154.4430740167973</v>
      </c>
      <c r="CB64" s="57">
        <f t="shared" si="161"/>
        <v>2205.0725082821391</v>
      </c>
      <c r="CC64" s="57">
        <f t="shared" si="161"/>
        <v>2351.0532525841036</v>
      </c>
      <c r="CD64" s="57">
        <f t="shared" si="161"/>
        <v>2585.7815684872144</v>
      </c>
      <c r="CE64" s="57"/>
      <c r="CF64" s="57"/>
      <c r="CH64" s="57">
        <f t="shared" ref="CH64:CM64" si="162">CH62+CH63</f>
        <v>3951</v>
      </c>
      <c r="CI64" s="57">
        <f t="shared" si="162"/>
        <v>3541</v>
      </c>
      <c r="CJ64" s="57">
        <f t="shared" si="162"/>
        <v>3590</v>
      </c>
      <c r="CK64" s="57">
        <f t="shared" si="162"/>
        <v>3939</v>
      </c>
      <c r="CL64" s="57">
        <f t="shared" si="162"/>
        <v>3966</v>
      </c>
      <c r="CM64" s="57">
        <f t="shared" si="162"/>
        <v>4601.4999999999982</v>
      </c>
      <c r="CN64" s="57">
        <f t="shared" ref="CN64" si="163">CN62+CN63</f>
        <v>6436.8340000000007</v>
      </c>
      <c r="CO64" s="57">
        <f t="shared" ref="CO64:CX64" si="164">CO62+CO63</f>
        <v>10156.499999999998</v>
      </c>
      <c r="CP64" s="57">
        <f t="shared" si="164"/>
        <v>5805.7999999999993</v>
      </c>
      <c r="CQ64" s="57">
        <f t="shared" si="164"/>
        <v>5544.899999999996</v>
      </c>
      <c r="CR64" s="57">
        <f t="shared" si="164"/>
        <v>5729.7000000000016</v>
      </c>
      <c r="CS64" s="57">
        <f t="shared" si="164"/>
        <v>4468.3999999999969</v>
      </c>
      <c r="CT64" s="57">
        <f t="shared" si="164"/>
        <v>-7095.9299999999994</v>
      </c>
      <c r="CU64" s="57">
        <f t="shared" si="164"/>
        <v>-5676.7439999999997</v>
      </c>
      <c r="CV64" s="57">
        <f t="shared" si="164"/>
        <v>-5392.9067999999997</v>
      </c>
      <c r="CW64" s="57">
        <f t="shared" si="164"/>
        <v>-4853.6161199999997</v>
      </c>
      <c r="CX64" s="57">
        <f t="shared" si="164"/>
        <v>-4368.254508</v>
      </c>
      <c r="CY64" s="57">
        <f t="shared" ref="CY64:DK64" si="165">CY62+CY63</f>
        <v>-3931.4290572</v>
      </c>
      <c r="CZ64" s="57">
        <f t="shared" si="165"/>
        <v>-3538.2861514800002</v>
      </c>
      <c r="DA64" s="57">
        <f t="shared" si="165"/>
        <v>7137.6</v>
      </c>
      <c r="DB64" s="57">
        <f t="shared" si="165"/>
        <v>8332.2999999999993</v>
      </c>
      <c r="DC64" s="57">
        <f t="shared" si="165"/>
        <v>9475.0417855468786</v>
      </c>
      <c r="DD64" s="57">
        <f t="shared" si="165"/>
        <v>9396.3504033702538</v>
      </c>
      <c r="DE64" s="57">
        <f t="shared" si="165"/>
        <v>18462.706413594384</v>
      </c>
      <c r="DF64" s="57">
        <f t="shared" si="165"/>
        <v>21197.440466118172</v>
      </c>
      <c r="DG64" s="57">
        <f t="shared" si="165"/>
        <v>24843.196399802924</v>
      </c>
      <c r="DH64" s="57">
        <f t="shared" si="165"/>
        <v>25681.285721190605</v>
      </c>
      <c r="DI64" s="57">
        <f t="shared" si="165"/>
        <v>25619.041856914399</v>
      </c>
      <c r="DJ64" s="57">
        <f t="shared" si="165"/>
        <v>24564.235224333141</v>
      </c>
      <c r="DK64" s="57">
        <f t="shared" si="165"/>
        <v>15189.359545768713</v>
      </c>
    </row>
    <row r="65" spans="2:193">
      <c r="B65" s="52" t="s">
        <v>82</v>
      </c>
      <c r="C65" s="57"/>
      <c r="D65" s="57"/>
      <c r="E65" s="57"/>
      <c r="F65" s="57">
        <v>230</v>
      </c>
      <c r="G65" s="57">
        <v>208</v>
      </c>
      <c r="H65" s="57">
        <v>205.3</v>
      </c>
      <c r="I65" s="57">
        <v>224.1</v>
      </c>
      <c r="J65" s="57">
        <v>195</v>
      </c>
      <c r="K65" s="57">
        <v>222</v>
      </c>
      <c r="L65" s="57">
        <v>219</v>
      </c>
      <c r="M65" s="57">
        <v>220.6</v>
      </c>
      <c r="N65" s="57">
        <v>226.6</v>
      </c>
      <c r="O65" s="57">
        <v>257.60000000000002</v>
      </c>
      <c r="P65" s="57">
        <v>263.10000000000002</v>
      </c>
      <c r="Q65" s="57">
        <v>263.3</v>
      </c>
      <c r="R65" s="57">
        <v>197.9</v>
      </c>
      <c r="S65" s="57">
        <v>-8</v>
      </c>
      <c r="T65" s="57">
        <v>247.5</v>
      </c>
      <c r="U65" s="57">
        <v>320</v>
      </c>
      <c r="V65" s="57">
        <v>295.89999999999998</v>
      </c>
      <c r="W65" s="57">
        <v>370.3</v>
      </c>
      <c r="X65" s="57">
        <v>346</v>
      </c>
      <c r="Y65" s="57">
        <v>127.7</v>
      </c>
      <c r="Z65" s="57">
        <v>265.7</v>
      </c>
      <c r="AA65" s="57">
        <v>486.4</v>
      </c>
      <c r="AB65" s="57">
        <v>387.6</v>
      </c>
      <c r="AC65" s="57">
        <v>368.4</v>
      </c>
      <c r="AD65" s="57">
        <v>240</v>
      </c>
      <c r="AE65" s="57">
        <v>363.3</v>
      </c>
      <c r="AF65" s="57">
        <v>334</v>
      </c>
      <c r="AG65" s="57">
        <v>273.89999999999998</v>
      </c>
      <c r="AH65" s="57">
        <v>240.5</v>
      </c>
      <c r="AI65" s="57">
        <v>332.2</v>
      </c>
      <c r="AJ65" s="57">
        <v>262.10000000000002</v>
      </c>
      <c r="AK65" s="57">
        <v>251.9</v>
      </c>
      <c r="AL65" s="57">
        <f>+AL64*0.2</f>
        <v>156.80000000000007</v>
      </c>
      <c r="AM65" s="57">
        <f t="shared" ref="AM65:AP65" si="166">+AM64*0.2</f>
        <v>256.65999999999985</v>
      </c>
      <c r="AN65" s="57">
        <f t="shared" si="166"/>
        <v>218.64</v>
      </c>
      <c r="AO65" s="57">
        <f t="shared" si="166"/>
        <v>235.88</v>
      </c>
      <c r="AP65" s="57">
        <f t="shared" si="166"/>
        <v>164.80000000000007</v>
      </c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>
        <v>183.4</v>
      </c>
      <c r="BL65" s="57">
        <v>154.5</v>
      </c>
      <c r="BM65" s="57">
        <v>180.1</v>
      </c>
      <c r="BN65" s="57">
        <v>167.4</v>
      </c>
      <c r="BO65" s="57">
        <v>251.9</v>
      </c>
      <c r="BP65" s="57">
        <v>231.7</v>
      </c>
      <c r="BQ65" s="57">
        <v>258.2</v>
      </c>
      <c r="BR65" s="57">
        <v>352.3</v>
      </c>
      <c r="BS65" s="57">
        <v>143.19999999999999</v>
      </c>
      <c r="BT65" s="57">
        <v>203.7</v>
      </c>
      <c r="BU65" s="57">
        <v>293.2</v>
      </c>
      <c r="BV65" s="57">
        <v>113.8</v>
      </c>
      <c r="BW65" s="57">
        <v>273.8</v>
      </c>
      <c r="BX65" s="57">
        <f>+BX64*0.1</f>
        <v>225.00066450000014</v>
      </c>
      <c r="BY65" s="57">
        <f t="shared" ref="BY65:CD65" si="167">+BY64*0.1</f>
        <v>221.61131218750006</v>
      </c>
      <c r="BZ65" s="57">
        <f t="shared" si="167"/>
        <v>223.43220186718742</v>
      </c>
      <c r="CA65" s="57">
        <f t="shared" si="167"/>
        <v>215.44430740167974</v>
      </c>
      <c r="CB65" s="57">
        <f t="shared" si="167"/>
        <v>220.50725082821393</v>
      </c>
      <c r="CC65" s="57">
        <f t="shared" si="167"/>
        <v>235.10532525841037</v>
      </c>
      <c r="CD65" s="57">
        <f t="shared" si="167"/>
        <v>258.57815684872145</v>
      </c>
      <c r="CE65" s="57"/>
      <c r="CF65" s="57"/>
      <c r="CH65" s="57">
        <v>850</v>
      </c>
      <c r="CI65" s="57">
        <v>779</v>
      </c>
      <c r="CJ65" s="57">
        <v>788</v>
      </c>
      <c r="CK65" s="57">
        <v>866</v>
      </c>
      <c r="CL65" s="57">
        <v>832</v>
      </c>
      <c r="CM65" s="57">
        <v>912</v>
      </c>
      <c r="CN65" s="57">
        <f>CN64*0.22</f>
        <v>1416.1034800000002</v>
      </c>
      <c r="CO65" s="57">
        <f>SUM(S65:V65)</f>
        <v>855.4</v>
      </c>
      <c r="CP65" s="57">
        <f>SUM(W65:Z65)</f>
        <v>1109.7</v>
      </c>
      <c r="CQ65" s="57">
        <f>SUM(AA65:AD65)</f>
        <v>1482.4</v>
      </c>
      <c r="CR65" s="57">
        <f>SUM(AE65:AH65)</f>
        <v>1211.6999999999998</v>
      </c>
      <c r="CS65" s="57">
        <f>SUM(AI65:AL65)</f>
        <v>1003</v>
      </c>
      <c r="CT65" s="57">
        <f t="shared" ref="CT65:CW65" si="168">CT64*0.28</f>
        <v>-1986.8604</v>
      </c>
      <c r="CU65" s="57">
        <f t="shared" si="168"/>
        <v>-1589.4883200000002</v>
      </c>
      <c r="CV65" s="57">
        <f t="shared" si="168"/>
        <v>-1510.0139040000001</v>
      </c>
      <c r="CW65" s="57">
        <f t="shared" si="168"/>
        <v>-1359.0125136000001</v>
      </c>
      <c r="CX65" s="57">
        <f>CX64*0.28</f>
        <v>-1223.1112622400001</v>
      </c>
      <c r="CY65" s="57">
        <f t="shared" ref="CY65:DB65" si="169">CY64*0.28</f>
        <v>-1100.8001360160001</v>
      </c>
      <c r="CZ65" s="57">
        <f t="shared" si="169"/>
        <v>-990.72012241440018</v>
      </c>
      <c r="DA65" s="57">
        <f t="shared" si="169"/>
        <v>1998.5280000000002</v>
      </c>
      <c r="DB65" s="57">
        <f t="shared" si="169"/>
        <v>2333.0439999999999</v>
      </c>
      <c r="DC65" s="57">
        <f>+DC64*0.15</f>
        <v>1421.2562678320317</v>
      </c>
      <c r="DD65" s="57">
        <f t="shared" ref="DD65:DK65" si="170">+DD64*0.15</f>
        <v>1409.452560505538</v>
      </c>
      <c r="DE65" s="57">
        <f t="shared" si="170"/>
        <v>2769.4059620391577</v>
      </c>
      <c r="DF65" s="57">
        <f t="shared" si="170"/>
        <v>3179.6160699177258</v>
      </c>
      <c r="DG65" s="57">
        <f t="shared" si="170"/>
        <v>3726.4794599704383</v>
      </c>
      <c r="DH65" s="57">
        <f t="shared" si="170"/>
        <v>3852.1928581785905</v>
      </c>
      <c r="DI65" s="57">
        <f t="shared" si="170"/>
        <v>3842.8562785371596</v>
      </c>
      <c r="DJ65" s="57">
        <f t="shared" si="170"/>
        <v>3684.6352836499709</v>
      </c>
      <c r="DK65" s="57">
        <f t="shared" si="170"/>
        <v>2278.4039318653067</v>
      </c>
    </row>
    <row r="66" spans="2:193">
      <c r="B66" s="52" t="s">
        <v>83</v>
      </c>
      <c r="C66" s="57"/>
      <c r="D66" s="57"/>
      <c r="E66" s="57"/>
      <c r="F66" s="57">
        <f t="shared" ref="F66:P66" si="171">F64-F65</f>
        <v>321.90800000000002</v>
      </c>
      <c r="G66" s="57">
        <f t="shared" si="171"/>
        <v>239.83663366336623</v>
      </c>
      <c r="H66" s="57">
        <f t="shared" si="171"/>
        <v>225.90000000000026</v>
      </c>
      <c r="I66" s="57">
        <f t="shared" si="171"/>
        <v>357.43333333333328</v>
      </c>
      <c r="J66" s="57">
        <f t="shared" si="171"/>
        <v>447.30000000000041</v>
      </c>
      <c r="K66" s="57">
        <f t="shared" si="171"/>
        <v>347.20000000000027</v>
      </c>
      <c r="L66" s="57">
        <f t="shared" si="171"/>
        <v>377</v>
      </c>
      <c r="M66" s="57">
        <f t="shared" si="171"/>
        <v>477.00000000000011</v>
      </c>
      <c r="N66" s="57">
        <f t="shared" si="171"/>
        <v>2114.1000000000008</v>
      </c>
      <c r="O66" s="57">
        <f t="shared" si="171"/>
        <v>923.19999999999993</v>
      </c>
      <c r="P66" s="57">
        <f t="shared" si="171"/>
        <v>554.5</v>
      </c>
      <c r="Q66" s="57">
        <f t="shared" ref="Q66:V66" si="172">Q64-Q65</f>
        <v>2308.8999999999987</v>
      </c>
      <c r="R66" s="57">
        <f t="shared" si="172"/>
        <v>2517.7000000000003</v>
      </c>
      <c r="S66" s="57">
        <f t="shared" si="172"/>
        <v>2731.2000000000012</v>
      </c>
      <c r="T66" s="57">
        <f t="shared" si="172"/>
        <v>2635.7999999999988</v>
      </c>
      <c r="U66" s="57">
        <f t="shared" si="172"/>
        <v>2722.0000000000009</v>
      </c>
      <c r="V66" s="57">
        <f t="shared" si="172"/>
        <v>1212.0999999999999</v>
      </c>
      <c r="W66" s="57">
        <f t="shared" ref="W66:AB66" si="173">W64-W65</f>
        <v>1157.9000000000001</v>
      </c>
      <c r="X66" s="57">
        <f t="shared" si="173"/>
        <v>1047.4000000000001</v>
      </c>
      <c r="Y66" s="57">
        <f t="shared" si="173"/>
        <v>1491.6000000000006</v>
      </c>
      <c r="Z66" s="57">
        <f t="shared" si="173"/>
        <v>999.19999999999982</v>
      </c>
      <c r="AA66" s="57">
        <f t="shared" si="173"/>
        <v>1297.5999999999999</v>
      </c>
      <c r="AB66" s="57">
        <f t="shared" si="173"/>
        <v>1357.7999999999997</v>
      </c>
      <c r="AC66" s="57">
        <f t="shared" ref="AC66:AI66" si="174">AC64-AC65</f>
        <v>1340.6999999999998</v>
      </c>
      <c r="AD66" s="57">
        <f t="shared" si="174"/>
        <v>1248.8000000000006</v>
      </c>
      <c r="AE66" s="57">
        <f>AE64-AE65</f>
        <v>1374.9000000000005</v>
      </c>
      <c r="AF66" s="57">
        <f>AF64-AF65</f>
        <v>1329.5999999999985</v>
      </c>
      <c r="AG66" s="57">
        <f>AG64-AG65</f>
        <v>1254</v>
      </c>
      <c r="AH66" s="57">
        <f t="shared" si="174"/>
        <v>969.60000000000059</v>
      </c>
      <c r="AI66" s="57">
        <f t="shared" si="174"/>
        <v>1027.3</v>
      </c>
      <c r="AJ66" s="57">
        <f t="shared" ref="AJ66:AL66" si="175">AJ64-AJ65</f>
        <v>923.39999999999907</v>
      </c>
      <c r="AK66" s="57">
        <f t="shared" si="175"/>
        <v>887.49999999999989</v>
      </c>
      <c r="AL66" s="57">
        <f t="shared" si="175"/>
        <v>627.20000000000016</v>
      </c>
      <c r="AM66" s="57">
        <f t="shared" ref="AM66:AP66" si="176">AM64-AM65</f>
        <v>1026.6399999999994</v>
      </c>
      <c r="AN66" s="57">
        <f t="shared" si="176"/>
        <v>874.55999999999983</v>
      </c>
      <c r="AO66" s="57">
        <f t="shared" si="176"/>
        <v>943.51999999999987</v>
      </c>
      <c r="AP66" s="57">
        <f t="shared" si="176"/>
        <v>659.20000000000016</v>
      </c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>
        <f t="shared" ref="BK66:BW66" si="177">BK64-BK65</f>
        <v>1094.7000000000003</v>
      </c>
      <c r="BL66" s="57">
        <f t="shared" si="177"/>
        <v>1328.9000000000005</v>
      </c>
      <c r="BM66" s="57">
        <f t="shared" si="177"/>
        <v>1295</v>
      </c>
      <c r="BN66" s="57">
        <f t="shared" si="177"/>
        <v>1355.2999999999995</v>
      </c>
      <c r="BO66" s="57">
        <f t="shared" si="177"/>
        <v>1431.4999999999975</v>
      </c>
      <c r="BP66" s="57">
        <f t="shared" si="177"/>
        <v>1228.4999999999986</v>
      </c>
      <c r="BQ66" s="57">
        <f t="shared" si="177"/>
        <v>1164.1999999999989</v>
      </c>
      <c r="BR66" s="57">
        <f t="shared" si="177"/>
        <v>1892.6999999999991</v>
      </c>
      <c r="BS66" s="57">
        <f t="shared" si="177"/>
        <v>1777.5000000000007</v>
      </c>
      <c r="BT66" s="57">
        <f t="shared" si="177"/>
        <v>1698.2999999999972</v>
      </c>
      <c r="BU66" s="57">
        <f t="shared" si="177"/>
        <v>1693.5999999999979</v>
      </c>
      <c r="BV66" s="57">
        <f t="shared" si="177"/>
        <v>2207.1999999999994</v>
      </c>
      <c r="BW66" s="57">
        <f t="shared" si="177"/>
        <v>2538.5</v>
      </c>
      <c r="BX66" s="57">
        <f>+BX64-BX65</f>
        <v>2025.0059805000012</v>
      </c>
      <c r="BY66" s="57">
        <f t="shared" ref="BY66:CD66" si="178">+BY64-BY65</f>
        <v>1994.5018096875006</v>
      </c>
      <c r="BZ66" s="57">
        <f t="shared" si="178"/>
        <v>2010.8898168046867</v>
      </c>
      <c r="CA66" s="57">
        <f t="shared" si="178"/>
        <v>1938.9987666151176</v>
      </c>
      <c r="CB66" s="57">
        <f t="shared" si="178"/>
        <v>1984.5652574539251</v>
      </c>
      <c r="CC66" s="57">
        <f t="shared" si="178"/>
        <v>2115.9479273256934</v>
      </c>
      <c r="CD66" s="57">
        <f t="shared" si="178"/>
        <v>2327.203411638493</v>
      </c>
      <c r="CE66" s="57"/>
      <c r="CF66" s="57"/>
      <c r="CH66" s="57">
        <f t="shared" ref="CH66:CN66" si="179">CH64-CH65</f>
        <v>3101</v>
      </c>
      <c r="CI66" s="57">
        <f t="shared" si="179"/>
        <v>2762</v>
      </c>
      <c r="CJ66" s="57">
        <f t="shared" si="179"/>
        <v>2802</v>
      </c>
      <c r="CK66" s="57">
        <f t="shared" si="179"/>
        <v>3073</v>
      </c>
      <c r="CL66" s="57">
        <f t="shared" si="179"/>
        <v>3134</v>
      </c>
      <c r="CM66" s="57">
        <f t="shared" si="179"/>
        <v>3689.4999999999982</v>
      </c>
      <c r="CN66" s="57">
        <f t="shared" si="179"/>
        <v>5020.730520000001</v>
      </c>
      <c r="CO66" s="57">
        <f>CO64-CO65</f>
        <v>9301.0999999999985</v>
      </c>
      <c r="CP66" s="57">
        <f>CP64-CP65</f>
        <v>4696.0999999999995</v>
      </c>
      <c r="CQ66" s="57">
        <f>CQ64-CQ65</f>
        <v>4062.4999999999959</v>
      </c>
      <c r="CR66" s="57">
        <f>CR64-CR65</f>
        <v>4518.0000000000018</v>
      </c>
      <c r="CS66" s="57">
        <f t="shared" ref="CS66:CV66" si="180">CS64-CS65</f>
        <v>3465.3999999999969</v>
      </c>
      <c r="CT66" s="57">
        <f t="shared" si="180"/>
        <v>-5109.0695999999989</v>
      </c>
      <c r="CU66" s="57">
        <f t="shared" si="180"/>
        <v>-4087.2556799999993</v>
      </c>
      <c r="CV66" s="57">
        <f t="shared" si="180"/>
        <v>-3882.8928959999994</v>
      </c>
      <c r="CW66" s="57">
        <f>CW64-CW65</f>
        <v>-3494.6036063999995</v>
      </c>
      <c r="CX66" s="57">
        <f>CX64-CX65</f>
        <v>-3145.1432457599999</v>
      </c>
      <c r="CY66" s="57">
        <f t="shared" ref="CY66:DB66" si="181">CY64-CY65</f>
        <v>-2830.6289211839999</v>
      </c>
      <c r="CZ66" s="57">
        <f t="shared" si="181"/>
        <v>-2547.5660290656001</v>
      </c>
      <c r="DA66" s="57">
        <f t="shared" si="181"/>
        <v>5139.0720000000001</v>
      </c>
      <c r="DB66" s="57">
        <f t="shared" si="181"/>
        <v>5999.2559999999994</v>
      </c>
      <c r="DC66" s="57">
        <f>+DC64-DC65</f>
        <v>8053.7855177148467</v>
      </c>
      <c r="DD66" s="57">
        <f t="shared" ref="DD66:DK66" si="182">+DD64-DD65</f>
        <v>7986.897842864716</v>
      </c>
      <c r="DE66" s="57">
        <f t="shared" si="182"/>
        <v>15693.300451555226</v>
      </c>
      <c r="DF66" s="57">
        <f t="shared" si="182"/>
        <v>18017.824396200445</v>
      </c>
      <c r="DG66" s="57">
        <f t="shared" si="182"/>
        <v>21116.716939832484</v>
      </c>
      <c r="DH66" s="57">
        <f t="shared" si="182"/>
        <v>21829.092863012014</v>
      </c>
      <c r="DI66" s="57">
        <f t="shared" si="182"/>
        <v>21776.185578377241</v>
      </c>
      <c r="DJ66" s="57">
        <f>+DJ64-DJ65</f>
        <v>20879.599940683169</v>
      </c>
      <c r="DK66" s="57">
        <f>+DK64-DK65</f>
        <v>12910.955613903407</v>
      </c>
      <c r="DL66" s="61">
        <f>+DK66*(1+$DM$81)</f>
        <v>12781.846057764373</v>
      </c>
      <c r="DM66" s="61">
        <f t="shared" ref="DM66:FX66" si="183">+DL66*(1+$DM$81)</f>
        <v>12654.027597186729</v>
      </c>
      <c r="DN66" s="61">
        <f t="shared" si="183"/>
        <v>12527.487321214861</v>
      </c>
      <c r="DO66" s="61">
        <f t="shared" si="183"/>
        <v>12402.212448002712</v>
      </c>
      <c r="DP66" s="61">
        <f t="shared" si="183"/>
        <v>12278.190323522686</v>
      </c>
      <c r="DQ66" s="61">
        <f t="shared" si="183"/>
        <v>12155.408420287458</v>
      </c>
      <c r="DR66" s="61">
        <f t="shared" si="183"/>
        <v>12033.854336084583</v>
      </c>
      <c r="DS66" s="61">
        <f t="shared" si="183"/>
        <v>11913.515792723738</v>
      </c>
      <c r="DT66" s="61">
        <f t="shared" si="183"/>
        <v>11794.3806347965</v>
      </c>
      <c r="DU66" s="61">
        <f t="shared" si="183"/>
        <v>11676.436828448535</v>
      </c>
      <c r="DV66" s="61">
        <f t="shared" si="183"/>
        <v>11559.672460164051</v>
      </c>
      <c r="DW66" s="61">
        <f t="shared" si="183"/>
        <v>11444.07573556241</v>
      </c>
      <c r="DX66" s="61">
        <f t="shared" si="183"/>
        <v>11329.634978206786</v>
      </c>
      <c r="DY66" s="61">
        <f t="shared" si="183"/>
        <v>11216.338628424719</v>
      </c>
      <c r="DZ66" s="61">
        <f t="shared" si="183"/>
        <v>11104.175242140471</v>
      </c>
      <c r="EA66" s="61">
        <f t="shared" si="183"/>
        <v>10993.133489719066</v>
      </c>
      <c r="EB66" s="61">
        <f t="shared" si="183"/>
        <v>10883.202154821876</v>
      </c>
      <c r="EC66" s="61">
        <f t="shared" si="183"/>
        <v>10774.370133273658</v>
      </c>
      <c r="ED66" s="61">
        <f t="shared" si="183"/>
        <v>10666.626431940922</v>
      </c>
      <c r="EE66" s="61">
        <f t="shared" si="183"/>
        <v>10559.960167621513</v>
      </c>
      <c r="EF66" s="61">
        <f t="shared" si="183"/>
        <v>10454.360565945299</v>
      </c>
      <c r="EG66" s="61">
        <f t="shared" si="183"/>
        <v>10349.816960285845</v>
      </c>
      <c r="EH66" s="61">
        <f t="shared" si="183"/>
        <v>10246.318790682986</v>
      </c>
      <c r="EI66" s="61">
        <f t="shared" si="183"/>
        <v>10143.855602776157</v>
      </c>
      <c r="EJ66" s="61">
        <f t="shared" si="183"/>
        <v>10042.417046748395</v>
      </c>
      <c r="EK66" s="61">
        <f t="shared" si="183"/>
        <v>9941.9928762809104</v>
      </c>
      <c r="EL66" s="61">
        <f t="shared" si="183"/>
        <v>9842.5729475181015</v>
      </c>
      <c r="EM66" s="61">
        <f t="shared" si="183"/>
        <v>9744.1472180429209</v>
      </c>
      <c r="EN66" s="61">
        <f t="shared" si="183"/>
        <v>9646.7057458624913</v>
      </c>
      <c r="EO66" s="61">
        <f t="shared" si="183"/>
        <v>9550.238688403866</v>
      </c>
      <c r="EP66" s="61">
        <f t="shared" si="183"/>
        <v>9454.736301519828</v>
      </c>
      <c r="EQ66" s="61">
        <f t="shared" si="183"/>
        <v>9360.1889385046288</v>
      </c>
      <c r="ER66" s="61">
        <f t="shared" si="183"/>
        <v>9266.5870491195819</v>
      </c>
      <c r="ES66" s="61">
        <f t="shared" si="183"/>
        <v>9173.9211786283868</v>
      </c>
      <c r="ET66" s="61">
        <f t="shared" si="183"/>
        <v>9082.1819668421031</v>
      </c>
      <c r="EU66" s="61">
        <f t="shared" si="183"/>
        <v>8991.360147173682</v>
      </c>
      <c r="EV66" s="61">
        <f t="shared" si="183"/>
        <v>8901.4465457019451</v>
      </c>
      <c r="EW66" s="61">
        <f t="shared" si="183"/>
        <v>8812.4320802449256</v>
      </c>
      <c r="EX66" s="61">
        <f t="shared" si="183"/>
        <v>8724.3077594424758</v>
      </c>
      <c r="EY66" s="61">
        <f t="shared" si="183"/>
        <v>8637.0646818480509</v>
      </c>
      <c r="EZ66" s="61">
        <f t="shared" si="183"/>
        <v>8550.6940350295699</v>
      </c>
      <c r="FA66" s="61">
        <f t="shared" si="183"/>
        <v>8465.1870946792733</v>
      </c>
      <c r="FB66" s="61">
        <f t="shared" si="183"/>
        <v>8380.5352237324805</v>
      </c>
      <c r="FC66" s="61">
        <f t="shared" si="183"/>
        <v>8296.7298714951557</v>
      </c>
      <c r="FD66" s="61">
        <f t="shared" si="183"/>
        <v>8213.7625727802042</v>
      </c>
      <c r="FE66" s="61">
        <f t="shared" si="183"/>
        <v>8131.6249470524017</v>
      </c>
      <c r="FF66" s="61">
        <f t="shared" si="183"/>
        <v>8050.3086975818778</v>
      </c>
      <c r="FG66" s="61">
        <f t="shared" si="183"/>
        <v>7969.8056106060594</v>
      </c>
      <c r="FH66" s="61">
        <f t="shared" si="183"/>
        <v>7890.1075544999985</v>
      </c>
      <c r="FI66" s="61">
        <f t="shared" si="183"/>
        <v>7811.2064789549986</v>
      </c>
      <c r="FJ66" s="61">
        <f t="shared" si="183"/>
        <v>7733.0944141654481</v>
      </c>
      <c r="FK66" s="61">
        <f t="shared" si="183"/>
        <v>7655.7634700237932</v>
      </c>
      <c r="FL66" s="61">
        <f t="shared" si="183"/>
        <v>7579.2058353235552</v>
      </c>
      <c r="FM66" s="61">
        <f t="shared" si="183"/>
        <v>7503.4137769703193</v>
      </c>
      <c r="FN66" s="61">
        <f t="shared" si="183"/>
        <v>7428.3796392006161</v>
      </c>
      <c r="FO66" s="61">
        <f t="shared" si="183"/>
        <v>7354.0958428086096</v>
      </c>
      <c r="FP66" s="61">
        <f t="shared" si="183"/>
        <v>7280.5548843805236</v>
      </c>
      <c r="FQ66" s="61">
        <f t="shared" si="183"/>
        <v>7207.7493355367187</v>
      </c>
      <c r="FR66" s="61">
        <f t="shared" si="183"/>
        <v>7135.6718421813512</v>
      </c>
      <c r="FS66" s="61">
        <f t="shared" si="183"/>
        <v>7064.3151237595375</v>
      </c>
      <c r="FT66" s="61">
        <f t="shared" si="183"/>
        <v>6993.6719725219418</v>
      </c>
      <c r="FU66" s="61">
        <f t="shared" si="183"/>
        <v>6923.7352527967223</v>
      </c>
      <c r="FV66" s="61">
        <f t="shared" si="183"/>
        <v>6854.4979002687551</v>
      </c>
      <c r="FW66" s="61">
        <f t="shared" si="183"/>
        <v>6785.9529212660673</v>
      </c>
      <c r="FX66" s="61">
        <f t="shared" si="183"/>
        <v>6718.0933920534062</v>
      </c>
      <c r="FY66" s="61">
        <f t="shared" ref="FY66:GK66" si="184">+FX66*(1+$DM$81)</f>
        <v>6650.9124581328724</v>
      </c>
      <c r="FZ66" s="61">
        <f t="shared" si="184"/>
        <v>6584.4033335515433</v>
      </c>
      <c r="GA66" s="61">
        <f t="shared" si="184"/>
        <v>6518.5593002160276</v>
      </c>
      <c r="GB66" s="61">
        <f t="shared" si="184"/>
        <v>6453.3737072138674</v>
      </c>
      <c r="GC66" s="61">
        <f t="shared" si="184"/>
        <v>6388.8399701417284</v>
      </c>
      <c r="GD66" s="61">
        <f t="shared" si="184"/>
        <v>6324.9515704403111</v>
      </c>
      <c r="GE66" s="61">
        <f t="shared" si="184"/>
        <v>6261.702054735908</v>
      </c>
      <c r="GF66" s="61">
        <f t="shared" si="184"/>
        <v>6199.0850341885489</v>
      </c>
      <c r="GG66" s="61">
        <f t="shared" si="184"/>
        <v>6137.0941838466633</v>
      </c>
      <c r="GH66" s="61">
        <f t="shared" si="184"/>
        <v>6075.7232420081964</v>
      </c>
      <c r="GI66" s="61">
        <f t="shared" si="184"/>
        <v>6014.9660095881145</v>
      </c>
      <c r="GJ66" s="61">
        <f t="shared" si="184"/>
        <v>5954.8163494922337</v>
      </c>
      <c r="GK66" s="61">
        <f t="shared" si="184"/>
        <v>5895.2681859973118</v>
      </c>
    </row>
    <row r="67" spans="2:193" s="68" customFormat="1">
      <c r="B67" s="68" t="s">
        <v>56</v>
      </c>
      <c r="C67" s="69"/>
      <c r="D67" s="69"/>
      <c r="E67" s="69"/>
      <c r="F67" s="69">
        <f t="shared" ref="F67:O67" si="185">F66/F68</f>
        <v>0.29554535438854207</v>
      </c>
      <c r="G67" s="69">
        <f t="shared" si="185"/>
        <v>0.22023565992962923</v>
      </c>
      <c r="H67" s="69">
        <f t="shared" si="185"/>
        <v>0.20724770642201859</v>
      </c>
      <c r="I67" s="69">
        <f t="shared" si="185"/>
        <v>0.32761992056217532</v>
      </c>
      <c r="J67" s="69">
        <f t="shared" si="185"/>
        <v>0.40905349794238721</v>
      </c>
      <c r="K67" s="69">
        <f t="shared" si="185"/>
        <v>0.31941122355105822</v>
      </c>
      <c r="L67" s="69">
        <f t="shared" si="185"/>
        <v>0.34736939095181057</v>
      </c>
      <c r="M67" s="69">
        <f t="shared" si="185"/>
        <v>0.43905995147329013</v>
      </c>
      <c r="N67" s="69">
        <f t="shared" si="185"/>
        <v>1.9411494109340131</v>
      </c>
      <c r="O67" s="69">
        <f t="shared" si="185"/>
        <v>0.84706650921799576</v>
      </c>
      <c r="P67" s="69">
        <f t="shared" ref="P67:V67" si="186">P66/P68</f>
        <v>0.50877207469820052</v>
      </c>
      <c r="Q67" s="69">
        <f t="shared" si="186"/>
        <v>2.117813888471034</v>
      </c>
      <c r="R67" s="69">
        <f t="shared" si="186"/>
        <v>2.3042440483381479</v>
      </c>
      <c r="S67" s="69">
        <f t="shared" si="186"/>
        <v>2.4963987218204564</v>
      </c>
      <c r="T67" s="69">
        <f t="shared" si="186"/>
        <v>2.4096936275406082</v>
      </c>
      <c r="U67" s="69">
        <f t="shared" si="186"/>
        <v>2.4881693125175399</v>
      </c>
      <c r="V67" s="69">
        <f t="shared" si="186"/>
        <v>1.1054354299305693</v>
      </c>
      <c r="W67" s="69">
        <f t="shared" ref="W67:AB67" si="187">W66/W68</f>
        <v>1.0552687795737732</v>
      </c>
      <c r="X67" s="69">
        <f t="shared" si="187"/>
        <v>0.95460042854031091</v>
      </c>
      <c r="Y67" s="69">
        <f t="shared" si="187"/>
        <v>1.3588746375286636</v>
      </c>
      <c r="Z67" s="69">
        <f t="shared" si="187"/>
        <v>0.90717029507547786</v>
      </c>
      <c r="AA67" s="69">
        <f t="shared" si="187"/>
        <v>1.1759950553105565</v>
      </c>
      <c r="AB67" s="69">
        <f t="shared" si="187"/>
        <v>1.2301063501137424</v>
      </c>
      <c r="AC67" s="69">
        <f>AC66/AC68</f>
        <v>1.2130858000104956</v>
      </c>
      <c r="AD67" s="69">
        <f>AD66/AD68</f>
        <v>1.1256930791689996</v>
      </c>
      <c r="AE67" s="69">
        <f>+AE66/AE68</f>
        <v>1.236420863309353</v>
      </c>
      <c r="AF67" s="69">
        <f t="shared" ref="AF67:AL67" si="188">AF66/AF68</f>
        <v>1.1491789109766626</v>
      </c>
      <c r="AG67" s="69">
        <f t="shared" si="188"/>
        <v>1.125833938596263</v>
      </c>
      <c r="AH67" s="69">
        <f t="shared" si="188"/>
        <v>0.86959641255605435</v>
      </c>
      <c r="AI67" s="69">
        <f t="shared" si="188"/>
        <v>0.91970961062075252</v>
      </c>
      <c r="AJ67" s="69">
        <f t="shared" si="188"/>
        <v>0.82593917710196696</v>
      </c>
      <c r="AK67" s="69">
        <f t="shared" si="188"/>
        <v>0.79266479166089832</v>
      </c>
      <c r="AL67" s="69">
        <f t="shared" si="188"/>
        <v>0.56017955755460913</v>
      </c>
      <c r="AM67" s="69">
        <f t="shared" ref="AM67:AP67" si="189">AM66/AM68</f>
        <v>0.91693676812478231</v>
      </c>
      <c r="AN67" s="69">
        <f t="shared" si="189"/>
        <v>0.78110751571262549</v>
      </c>
      <c r="AO67" s="69">
        <f t="shared" si="189"/>
        <v>0.8426986864539614</v>
      </c>
      <c r="AP67" s="69">
        <f t="shared" si="189"/>
        <v>0.58876014722576264</v>
      </c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>
        <f t="shared" ref="BK67:CD67" si="190">BK66/BK68</f>
        <v>1.1124988694117184</v>
      </c>
      <c r="BL67" s="69">
        <f t="shared" si="190"/>
        <v>1.4372235380638747</v>
      </c>
      <c r="BM67" s="69">
        <f t="shared" si="190"/>
        <v>1.4099780718468209</v>
      </c>
      <c r="BN67" s="69">
        <f t="shared" si="190"/>
        <v>1.481723622958024</v>
      </c>
      <c r="BO67" s="69">
        <f t="shared" si="190"/>
        <v>1.5701212991368967</v>
      </c>
      <c r="BP67" s="69">
        <f t="shared" si="190"/>
        <v>1.3486809603794077</v>
      </c>
      <c r="BQ67" s="69">
        <f t="shared" si="190"/>
        <v>1.2773432314084667</v>
      </c>
      <c r="BR67" s="69">
        <f t="shared" si="190"/>
        <v>2.0739849505419174</v>
      </c>
      <c r="BS67" s="69">
        <f t="shared" si="190"/>
        <v>1.9481587023235432</v>
      </c>
      <c r="BT67" s="69">
        <f t="shared" si="190"/>
        <v>1.8654765461607379</v>
      </c>
      <c r="BU67" s="69">
        <f t="shared" si="190"/>
        <v>1.8595642497235774</v>
      </c>
      <c r="BV67" s="69">
        <f t="shared" si="190"/>
        <v>2.4266811792579883</v>
      </c>
      <c r="BW67" s="69">
        <f t="shared" si="190"/>
        <v>2.8006398940864963</v>
      </c>
      <c r="BX67" s="69">
        <f t="shared" si="190"/>
        <v>2.2341195724845555</v>
      </c>
      <c r="BY67" s="69">
        <f t="shared" si="190"/>
        <v>2.2004653681459625</v>
      </c>
      <c r="BZ67" s="69">
        <f t="shared" si="190"/>
        <v>2.2185456937386219</v>
      </c>
      <c r="CA67" s="69">
        <f t="shared" si="190"/>
        <v>2.1392307663450105</v>
      </c>
      <c r="CB67" s="69">
        <f t="shared" si="190"/>
        <v>2.1895027112245424</v>
      </c>
      <c r="CC67" s="69">
        <f t="shared" si="190"/>
        <v>2.3344527000504121</v>
      </c>
      <c r="CD67" s="69">
        <f t="shared" si="190"/>
        <v>2.5675236227256102</v>
      </c>
      <c r="CE67" s="69"/>
      <c r="CF67" s="69"/>
      <c r="CH67" s="69">
        <f t="shared" ref="CH67:CM67" si="191">CH66/CH68</f>
        <v>2.842346471127406</v>
      </c>
      <c r="CI67" s="69">
        <f t="shared" si="191"/>
        <v>2.5456221198156683</v>
      </c>
      <c r="CJ67" s="69">
        <f t="shared" si="191"/>
        <v>2.5920444033302497</v>
      </c>
      <c r="CK67" s="69">
        <f t="shared" si="191"/>
        <v>2.8218549127640036</v>
      </c>
      <c r="CL67" s="69">
        <f t="shared" si="191"/>
        <v>2.8752293577981654</v>
      </c>
      <c r="CM67" s="69">
        <f t="shared" si="191"/>
        <v>3.3973296500920793</v>
      </c>
      <c r="CN67" s="69">
        <f>CN66/CN68</f>
        <v>4.6034064101817682</v>
      </c>
      <c r="CO67" s="69">
        <f>CO66/CO68</f>
        <v>8.4973446654406342</v>
      </c>
      <c r="CP67" s="69">
        <f>CP66/CP68</f>
        <v>4.275411286763509</v>
      </c>
      <c r="CQ67" s="69">
        <f>CQ66/CQ68</f>
        <v>3.6749972635404955</v>
      </c>
      <c r="CR67" s="69">
        <f>CR66/CR68</f>
        <v>4.0179277124291426</v>
      </c>
      <c r="CS67" s="69">
        <f t="shared" ref="CS67:CX67" si="192">CS66/CS68</f>
        <v>3.0980730913345513</v>
      </c>
      <c r="CT67" s="69">
        <f t="shared" si="192"/>
        <v>-4.5675163183226726</v>
      </c>
      <c r="CU67" s="69">
        <f t="shared" si="192"/>
        <v>-3.6540130546581384</v>
      </c>
      <c r="CV67" s="69">
        <f t="shared" si="192"/>
        <v>-3.4713124019252315</v>
      </c>
      <c r="CW67" s="69">
        <f t="shared" si="192"/>
        <v>-3.1241811617327087</v>
      </c>
      <c r="CX67" s="69">
        <f t="shared" si="192"/>
        <v>-2.811763045559438</v>
      </c>
      <c r="CY67" s="69">
        <f t="shared" ref="CY67:DK67" si="193">CY66/CY68</f>
        <v>-2.5305867410034941</v>
      </c>
      <c r="CZ67" s="69">
        <f t="shared" si="193"/>
        <v>-2.277528066903145</v>
      </c>
      <c r="DA67" s="69">
        <f t="shared" si="193"/>
        <v>4.5943385114650113</v>
      </c>
      <c r="DB67" s="69">
        <f t="shared" si="193"/>
        <v>6.5869973017411043</v>
      </c>
      <c r="DC67" s="69">
        <f t="shared" si="193"/>
        <v>8.8854650460225582</v>
      </c>
      <c r="DD67" s="69">
        <f t="shared" si="193"/>
        <v>8.8116701708569245</v>
      </c>
      <c r="DE67" s="69">
        <f t="shared" si="193"/>
        <v>17.313879580268342</v>
      </c>
      <c r="DF67" s="69">
        <f t="shared" si="193"/>
        <v>19.878447039056095</v>
      </c>
      <c r="DG67" s="69">
        <f t="shared" si="193"/>
        <v>23.297348786222955</v>
      </c>
      <c r="DH67" s="69">
        <f t="shared" si="193"/>
        <v>24.083288683817315</v>
      </c>
      <c r="DI67" s="69">
        <f t="shared" si="193"/>
        <v>24.024917893178774</v>
      </c>
      <c r="DJ67" s="69">
        <f t="shared" si="193"/>
        <v>23.035745742148244</v>
      </c>
      <c r="DK67" s="69">
        <f t="shared" si="193"/>
        <v>14.244214048878428</v>
      </c>
    </row>
    <row r="68" spans="2:193">
      <c r="B68" s="52" t="s">
        <v>84</v>
      </c>
      <c r="C68" s="57"/>
      <c r="D68" s="57"/>
      <c r="E68" s="57"/>
      <c r="F68" s="57">
        <v>1089.2</v>
      </c>
      <c r="G68" s="57">
        <v>1089</v>
      </c>
      <c r="H68" s="57">
        <v>1090</v>
      </c>
      <c r="I68" s="57">
        <v>1091</v>
      </c>
      <c r="J68" s="57">
        <v>1093.5</v>
      </c>
      <c r="K68" s="57">
        <v>1087</v>
      </c>
      <c r="L68" s="57">
        <v>1085.3</v>
      </c>
      <c r="M68" s="57">
        <v>1086.412</v>
      </c>
      <c r="N68" s="57">
        <v>1089.097</v>
      </c>
      <c r="O68" s="57">
        <v>1089.8789999999999</v>
      </c>
      <c r="P68" s="57">
        <f>O68</f>
        <v>1089.8789999999999</v>
      </c>
      <c r="Q68" s="57">
        <v>1090.2280000000001</v>
      </c>
      <c r="R68" s="57">
        <v>1092.636</v>
      </c>
      <c r="S68" s="57">
        <v>1094.056</v>
      </c>
      <c r="T68" s="57">
        <v>1093.8320000000001</v>
      </c>
      <c r="U68" s="57">
        <v>1093.9770000000001</v>
      </c>
      <c r="V68" s="57">
        <v>1096.491</v>
      </c>
      <c r="W68" s="57">
        <v>1097.2560000000001</v>
      </c>
      <c r="X68" s="57">
        <v>1097.213</v>
      </c>
      <c r="Y68" s="57">
        <v>1097.673</v>
      </c>
      <c r="Z68" s="57">
        <v>1101.4469999999999</v>
      </c>
      <c r="AA68" s="57">
        <v>1103.4059999999999</v>
      </c>
      <c r="AB68" s="57">
        <v>1103.807</v>
      </c>
      <c r="AC68" s="57">
        <v>1105.1980000000001</v>
      </c>
      <c r="AD68" s="57">
        <v>1109.3610000000001</v>
      </c>
      <c r="AE68" s="57">
        <v>1112</v>
      </c>
      <c r="AF68" s="57">
        <v>1157</v>
      </c>
      <c r="AG68" s="57">
        <v>1113.8409999999999</v>
      </c>
      <c r="AH68" s="57">
        <v>1115</v>
      </c>
      <c r="AI68" s="57">
        <v>1116.9829999999999</v>
      </c>
      <c r="AJ68" s="57">
        <v>1118</v>
      </c>
      <c r="AK68" s="57">
        <v>1119.6410000000001</v>
      </c>
      <c r="AL68" s="57">
        <f>+AK68</f>
        <v>1119.6410000000001</v>
      </c>
      <c r="AM68" s="57">
        <f t="shared" ref="AM68:AP68" si="194">+AL68</f>
        <v>1119.6410000000001</v>
      </c>
      <c r="AN68" s="57">
        <f t="shared" si="194"/>
        <v>1119.6410000000001</v>
      </c>
      <c r="AO68" s="57">
        <f t="shared" si="194"/>
        <v>1119.6410000000001</v>
      </c>
      <c r="AP68" s="57">
        <f t="shared" si="194"/>
        <v>1119.6410000000001</v>
      </c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>
        <v>984.00099999999998</v>
      </c>
      <c r="BL68" s="57">
        <v>924.63</v>
      </c>
      <c r="BM68" s="57">
        <v>918.45399999999995</v>
      </c>
      <c r="BN68" s="57">
        <v>914.678</v>
      </c>
      <c r="BO68" s="57">
        <v>911.71299999999997</v>
      </c>
      <c r="BP68" s="57">
        <v>910.89</v>
      </c>
      <c r="BQ68" s="57">
        <v>911.423</v>
      </c>
      <c r="BR68" s="57">
        <v>912.59100000000001</v>
      </c>
      <c r="BS68" s="57">
        <v>912.4</v>
      </c>
      <c r="BT68" s="57">
        <v>910.38400000000001</v>
      </c>
      <c r="BU68" s="57">
        <v>910.75099999999998</v>
      </c>
      <c r="BV68" s="57">
        <v>909.55499999999995</v>
      </c>
      <c r="BW68" s="57">
        <v>906.4</v>
      </c>
      <c r="BX68" s="57">
        <f>+BW68</f>
        <v>906.4</v>
      </c>
      <c r="BY68" s="57">
        <f t="shared" ref="BY68:CD68" si="195">+BX68</f>
        <v>906.4</v>
      </c>
      <c r="BZ68" s="57">
        <f t="shared" si="195"/>
        <v>906.4</v>
      </c>
      <c r="CA68" s="57">
        <f t="shared" si="195"/>
        <v>906.4</v>
      </c>
      <c r="CB68" s="57">
        <f t="shared" si="195"/>
        <v>906.4</v>
      </c>
      <c r="CC68" s="57">
        <f t="shared" si="195"/>
        <v>906.4</v>
      </c>
      <c r="CD68" s="57">
        <f t="shared" si="195"/>
        <v>906.4</v>
      </c>
      <c r="CE68" s="57"/>
      <c r="CF68" s="57"/>
      <c r="CH68" s="57">
        <v>1091</v>
      </c>
      <c r="CI68" s="57">
        <v>1085</v>
      </c>
      <c r="CJ68" s="57">
        <v>1081</v>
      </c>
      <c r="CK68" s="57">
        <v>1089</v>
      </c>
      <c r="CL68" s="57">
        <v>1090</v>
      </c>
      <c r="CM68" s="57">
        <v>1086</v>
      </c>
      <c r="CN68" s="57">
        <f>AVERAGE(O68:R68)</f>
        <v>1090.6554999999998</v>
      </c>
      <c r="CO68" s="57">
        <f>AVERAGE(S68:V68)</f>
        <v>1094.5889999999999</v>
      </c>
      <c r="CP68" s="57">
        <f>AVERAGE(W68:Z68)</f>
        <v>1098.39725</v>
      </c>
      <c r="CQ68" s="57">
        <f>AVERAGE(AA68:AD68)</f>
        <v>1105.443</v>
      </c>
      <c r="CR68" s="57">
        <f>AVERAGE(AE68:AH68)</f>
        <v>1124.4602500000001</v>
      </c>
      <c r="CS68" s="57">
        <f>AVERAGE(AI68:AL68)</f>
        <v>1118.5662500000001</v>
      </c>
      <c r="CT68" s="57">
        <f t="shared" ref="CT68:CX68" si="196">CS68</f>
        <v>1118.5662500000001</v>
      </c>
      <c r="CU68" s="57">
        <f t="shared" si="196"/>
        <v>1118.5662500000001</v>
      </c>
      <c r="CV68" s="57">
        <f t="shared" si="196"/>
        <v>1118.5662500000001</v>
      </c>
      <c r="CW68" s="57">
        <f t="shared" si="196"/>
        <v>1118.5662500000001</v>
      </c>
      <c r="CX68" s="57">
        <f t="shared" si="196"/>
        <v>1118.5662500000001</v>
      </c>
      <c r="CY68" s="57">
        <f t="shared" ref="CY68" si="197">CX68</f>
        <v>1118.5662500000001</v>
      </c>
      <c r="CZ68" s="57">
        <f t="shared" ref="CZ68" si="198">CY68</f>
        <v>1118.5662500000001</v>
      </c>
      <c r="DA68" s="57">
        <f t="shared" ref="DA68" si="199">CZ68</f>
        <v>1118.5662500000001</v>
      </c>
      <c r="DB68" s="57">
        <f>AVERAGE(BS68:BV68)</f>
        <v>910.77249999999992</v>
      </c>
      <c r="DC68" s="55">
        <f>AVERAGE(BW68:BZ68)</f>
        <v>906.4</v>
      </c>
      <c r="DD68" s="55">
        <f>AVERAGE(CA68:CD68)</f>
        <v>906.4</v>
      </c>
      <c r="DE68" s="55">
        <f>+DD68</f>
        <v>906.4</v>
      </c>
      <c r="DF68" s="55">
        <f t="shared" ref="DF68:DK68" si="200">+DE68</f>
        <v>906.4</v>
      </c>
      <c r="DG68" s="55">
        <f t="shared" si="200"/>
        <v>906.4</v>
      </c>
      <c r="DH68" s="55">
        <f t="shared" si="200"/>
        <v>906.4</v>
      </c>
      <c r="DI68" s="55">
        <f t="shared" si="200"/>
        <v>906.4</v>
      </c>
      <c r="DJ68" s="55">
        <f t="shared" si="200"/>
        <v>906.4</v>
      </c>
      <c r="DK68" s="55">
        <f t="shared" si="200"/>
        <v>906.4</v>
      </c>
    </row>
    <row r="69" spans="2:193">
      <c r="M69" s="57"/>
    </row>
    <row r="70" spans="2:193" s="62" customFormat="1">
      <c r="B70" s="62" t="s">
        <v>385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1">
        <f t="shared" ref="T70:AL70" si="201">T56/P56-1</f>
        <v>0.59843101721588976</v>
      </c>
      <c r="U70" s="71">
        <f t="shared" si="201"/>
        <v>0.15215364534775344</v>
      </c>
      <c r="V70" s="71">
        <f t="shared" si="201"/>
        <v>-0.21831165519000262</v>
      </c>
      <c r="W70" s="71">
        <f t="shared" si="201"/>
        <v>-0.21628376429876006</v>
      </c>
      <c r="X70" s="71">
        <f t="shared" si="201"/>
        <v>-0.23718952785858127</v>
      </c>
      <c r="Y70" s="71">
        <f t="shared" si="201"/>
        <v>-0.18168576851211593</v>
      </c>
      <c r="Z70" s="71">
        <f t="shared" si="201"/>
        <v>0.13885423663755869</v>
      </c>
      <c r="AA70" s="71">
        <f t="shared" si="201"/>
        <v>0.12136636820802149</v>
      </c>
      <c r="AB70" s="71">
        <f t="shared" si="201"/>
        <v>0.12422020142759349</v>
      </c>
      <c r="AC70" s="71">
        <f t="shared" si="201"/>
        <v>1.6684645810859378E-2</v>
      </c>
      <c r="AD70" s="71">
        <f t="shared" si="201"/>
        <v>4.2669362992922233E-2</v>
      </c>
      <c r="AE70" s="71">
        <f t="shared" si="201"/>
        <v>6.4479081214109835E-2</v>
      </c>
      <c r="AF70" s="71">
        <f t="shared" si="201"/>
        <v>8.768939064484127E-2</v>
      </c>
      <c r="AG70" s="71">
        <f t="shared" si="201"/>
        <v>8.7235622833698789E-2</v>
      </c>
      <c r="AH70" s="71">
        <f t="shared" si="201"/>
        <v>-2.2611197310576814E-2</v>
      </c>
      <c r="AI70" s="71">
        <f t="shared" si="201"/>
        <v>-4.0553500479517668E-2</v>
      </c>
      <c r="AJ70" s="71">
        <f t="shared" si="201"/>
        <v>-0.10432126407369491</v>
      </c>
      <c r="AK70" s="71">
        <f t="shared" si="201"/>
        <v>-0.11476716383923491</v>
      </c>
      <c r="AL70" s="71">
        <f t="shared" si="201"/>
        <v>-0.11180196120582742</v>
      </c>
      <c r="AM70" s="71">
        <f t="shared" ref="AM70:AP70" si="202">AM56/AI56-1</f>
        <v>-1.3601313722690356E-2</v>
      </c>
      <c r="AN70" s="71">
        <f t="shared" si="202"/>
        <v>-1.6480671368627631E-2</v>
      </c>
      <c r="AO70" s="71">
        <f t="shared" si="202"/>
        <v>7.3495636196601044E-3</v>
      </c>
      <c r="AP70" s="71">
        <f t="shared" si="202"/>
        <v>7.4471254095918038E-3</v>
      </c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>
        <f t="shared" ref="BO70:BW70" si="203">BO56/BK56-1</f>
        <v>0.15076294652500866</v>
      </c>
      <c r="BP70" s="71">
        <f t="shared" si="203"/>
        <v>-2.4358223783419675E-2</v>
      </c>
      <c r="BQ70" s="71">
        <f t="shared" si="203"/>
        <v>4.8166812737364673E-2</v>
      </c>
      <c r="BR70" s="71">
        <f t="shared" si="203"/>
        <v>0.21683594197209821</v>
      </c>
      <c r="BS70" s="71">
        <f t="shared" si="203"/>
        <v>0.16140482610328055</v>
      </c>
      <c r="BT70" s="71">
        <f t="shared" si="203"/>
        <v>0.22558824599047145</v>
      </c>
      <c r="BU70" s="71">
        <f t="shared" si="203"/>
        <v>0.17984182838030871</v>
      </c>
      <c r="BV70" s="71">
        <f t="shared" si="203"/>
        <v>7.5240924181126712E-2</v>
      </c>
      <c r="BW70" s="71">
        <f t="shared" si="203"/>
        <v>0.14759903608792757</v>
      </c>
      <c r="BX70" s="71">
        <f t="shared" ref="BX70" si="204">BX56/BT56-1</f>
        <v>5.3319807121662288E-2</v>
      </c>
      <c r="BY70" s="71">
        <f t="shared" ref="BY70" si="205">BY56/BU56-1</f>
        <v>2.8453095009597362E-2</v>
      </c>
      <c r="BZ70" s="71">
        <f t="shared" ref="BZ70" si="206">BZ56/BV56-1</f>
        <v>-8.4526211851085664E-2</v>
      </c>
      <c r="CA70" s="71">
        <f t="shared" ref="CA70" si="207">CA56/BW56-1</f>
        <v>-0.13736447498171434</v>
      </c>
      <c r="CB70" s="71">
        <f t="shared" ref="CB70" si="208">CB56/BX56-1</f>
        <v>-8.0117827368397787E-3</v>
      </c>
      <c r="CC70" s="71">
        <f t="shared" ref="CC70" si="209">CC56/BY56-1</f>
        <v>2.4521581155387162E-2</v>
      </c>
      <c r="CD70" s="71">
        <f t="shared" ref="CD70" si="210">CD56/BZ56-1</f>
        <v>6.0746013839084956E-2</v>
      </c>
      <c r="CE70" s="71"/>
      <c r="CF70" s="71"/>
      <c r="CG70" s="71"/>
      <c r="CH70" s="70"/>
      <c r="CI70" s="70"/>
      <c r="CJ70" s="70"/>
      <c r="CK70" s="70"/>
      <c r="CL70" s="72">
        <f t="shared" ref="CL70:CX70" si="211">CL56/CK56-1</f>
        <v>5.7074825023450515E-2</v>
      </c>
      <c r="CM70" s="72">
        <f t="shared" si="211"/>
        <v>7.7372013651876959E-2</v>
      </c>
      <c r="CN70" s="72">
        <f t="shared" si="211"/>
        <v>0.17162226375645462</v>
      </c>
      <c r="CO70" s="72">
        <f t="shared" si="211"/>
        <v>6.0167880685474406E-2</v>
      </c>
      <c r="CP70" s="72">
        <f t="shared" si="211"/>
        <v>6.985394754409513E-2</v>
      </c>
      <c r="CQ70" s="72">
        <f t="shared" si="211"/>
        <v>4.383313819191037E-2</v>
      </c>
      <c r="CR70" s="72">
        <f t="shared" si="211"/>
        <v>9.0596424558550881E-2</v>
      </c>
      <c r="CS70" s="72">
        <f t="shared" si="211"/>
        <v>-7.7927571375323024E-2</v>
      </c>
      <c r="CT70" s="72">
        <f t="shared" si="211"/>
        <v>-1.0816293160615165E-2</v>
      </c>
      <c r="CU70" s="72">
        <f t="shared" si="211"/>
        <v>-0.17066237597494249</v>
      </c>
      <c r="CV70" s="72">
        <f t="shared" si="211"/>
        <v>-0.218044112699874</v>
      </c>
      <c r="CW70" s="72">
        <f t="shared" si="211"/>
        <v>-0.23902894919415241</v>
      </c>
      <c r="CX70" s="72">
        <f t="shared" si="211"/>
        <v>-0.69603992273698667</v>
      </c>
      <c r="CY70" s="72">
        <f t="shared" ref="CY70:DA70" si="212">CY56/CX56-1</f>
        <v>-0.26770109405002251</v>
      </c>
      <c r="CZ70" s="72">
        <f t="shared" si="212"/>
        <v>-0.83279621827853267</v>
      </c>
      <c r="DA70" s="72">
        <f t="shared" si="212"/>
        <v>60.349749999999993</v>
      </c>
      <c r="DB70" s="72">
        <f t="shared" ref="DB70" si="213">DB56/DA56-1</f>
        <v>0.15397780757052804</v>
      </c>
      <c r="DC70" s="72">
        <f>DC56/DB56-1</f>
        <v>3.108876071516864E-2</v>
      </c>
      <c r="DD70" s="72">
        <f>DD56/DC56-1</f>
        <v>-1.4179072681734795E-2</v>
      </c>
      <c r="DE70" s="72">
        <f>DE56/DD56-1</f>
        <v>6.7396828000690245E-2</v>
      </c>
      <c r="DF70" s="72">
        <f>DF56/DE56-1</f>
        <v>4.7686721578972691E-2</v>
      </c>
      <c r="DG70" s="72">
        <f>DG56/DF56-1</f>
        <v>8.1470628807172929E-2</v>
      </c>
      <c r="DH70" s="72">
        <f>DH56/DG56-1</f>
        <v>4.4256757385075396E-2</v>
      </c>
      <c r="DI70" s="72">
        <f>DI56/DH56-1</f>
        <v>6.9556851192520197E-2</v>
      </c>
      <c r="DJ70" s="72">
        <f>DJ56/DI56-1</f>
        <v>4.8091998122456792E-2</v>
      </c>
      <c r="DK70" s="72">
        <f>DK56/DJ56-1</f>
        <v>-0.20807813671709841</v>
      </c>
    </row>
    <row r="71" spans="2:193" s="59" customFormat="1">
      <c r="B71" s="59" t="s">
        <v>383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>
        <f>+BO3/BK3-1</f>
        <v>0.39752188245992959</v>
      </c>
      <c r="BP71" s="76">
        <f>+BP3/BL3-1</f>
        <v>0.19572192513368969</v>
      </c>
      <c r="BQ71" s="76">
        <f>+BQ3/BM3-1</f>
        <v>9.4018783984181731E-2</v>
      </c>
      <c r="BR71" s="76">
        <f>+BR3/BN3-1</f>
        <v>0.24360566178296517</v>
      </c>
      <c r="BS71" s="76">
        <f>+BS3/BO3-1</f>
        <v>0.18138929559134542</v>
      </c>
      <c r="BT71" s="76">
        <f>+BT3/BP3-1</f>
        <v>0.24865831842576025</v>
      </c>
      <c r="BU71" s="76">
        <f>+BU3/BQ3-1</f>
        <v>0.44596060003614668</v>
      </c>
      <c r="BV71" s="76">
        <f>+BV3/BR3-1</f>
        <v>0.25379392971246006</v>
      </c>
      <c r="BW71" s="76">
        <f>+BW3/BS3-1</f>
        <v>0.19891214541448621</v>
      </c>
      <c r="BX71" s="76">
        <f>+BX3/BT3-1</f>
        <v>0.22500000000000009</v>
      </c>
      <c r="BY71" s="76">
        <f>+BY3/BU3-1</f>
        <v>0.19999999999999996</v>
      </c>
      <c r="BZ71" s="76">
        <f>+BZ3/BV3-1</f>
        <v>0.19999999999999996</v>
      </c>
      <c r="CA71" s="76">
        <f>+CA3/BW3-1</f>
        <v>0.14999999999999991</v>
      </c>
      <c r="CB71" s="76">
        <f>+CB3/BX3-1</f>
        <v>0.14999999999999991</v>
      </c>
      <c r="CC71" s="76">
        <f>+CC3/BY3-1</f>
        <v>0.15000000000000013</v>
      </c>
      <c r="CD71" s="76">
        <f>+CD3/BZ3-1</f>
        <v>0.14999999999999991</v>
      </c>
      <c r="CE71" s="76"/>
      <c r="CF71" s="76"/>
      <c r="CG71" s="76"/>
      <c r="CH71" s="54"/>
      <c r="CI71" s="54"/>
      <c r="CJ71" s="54"/>
      <c r="CK71" s="54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</row>
    <row r="72" spans="2:193" s="59" customFormat="1">
      <c r="B72" s="59" t="s">
        <v>501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>
        <f>+BO7/BK7-1</f>
        <v>0.75643564356435644</v>
      </c>
      <c r="BP72" s="76">
        <f>+BP7/BL7-1</f>
        <v>0.11701526286037311</v>
      </c>
      <c r="BQ72" s="76">
        <f>+BQ7/BM7-1</f>
        <v>0.33676470588235285</v>
      </c>
      <c r="BR72" s="76">
        <f>+BR7/BN7-1</f>
        <v>0.17900499880980725</v>
      </c>
      <c r="BS72" s="76">
        <f>+BS7/BO7-1</f>
        <v>-9.0868094701240132E-2</v>
      </c>
      <c r="BT72" s="76">
        <f>+BT7/BP7-1</f>
        <v>0.44003036437246967</v>
      </c>
      <c r="BU72" s="76">
        <f>+BU7/BQ7-1</f>
        <v>0.304950495049505</v>
      </c>
      <c r="BV72" s="76">
        <f>+BV7/BR7-1</f>
        <v>0.30708661417322825</v>
      </c>
      <c r="BW72" s="76">
        <f>+BW7/BS7-1</f>
        <v>0.21056547619047628</v>
      </c>
      <c r="BX72" s="76">
        <f>+BX7/BT7-1</f>
        <v>0.19999999999999996</v>
      </c>
      <c r="BY72" s="76">
        <f>+BY7/BU7-1</f>
        <v>0.19999999999999996</v>
      </c>
      <c r="BZ72" s="76">
        <f>+BZ7/BV7-1</f>
        <v>0.19999999999999996</v>
      </c>
      <c r="CA72" s="76">
        <f>+CA7/BW7-1</f>
        <v>0.19999999999999996</v>
      </c>
      <c r="CB72" s="76">
        <f>+CB7/BX7-1</f>
        <v>0.19999999999999996</v>
      </c>
      <c r="CC72" s="76">
        <f>+CC7/BY7-1</f>
        <v>0.19999999999999996</v>
      </c>
      <c r="CD72" s="76">
        <f>+CD7/BZ7-1</f>
        <v>0.19999999999999996</v>
      </c>
      <c r="CE72" s="76"/>
      <c r="CF72" s="76"/>
      <c r="CG72" s="76"/>
      <c r="CH72" s="54"/>
      <c r="CI72" s="54"/>
      <c r="CJ72" s="54"/>
      <c r="CK72" s="54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</row>
    <row r="73" spans="2:193" s="59" customFormat="1">
      <c r="B73" s="59" t="s">
        <v>502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>
        <f>+BO8/BK8-1</f>
        <v>0.71846435100548445</v>
      </c>
      <c r="BP73" s="76">
        <f>+BP8/BL8-1</f>
        <v>0.55787901418969366</v>
      </c>
      <c r="BQ73" s="76">
        <f>+BQ8/BM8-1</f>
        <v>0.49109414758269732</v>
      </c>
      <c r="BR73" s="76">
        <f>+BR8/BN8-1</f>
        <v>0.57230597431602481</v>
      </c>
      <c r="BS73" s="76">
        <f>+BS8/BO8-1</f>
        <v>0.43085106382978733</v>
      </c>
      <c r="BT73" s="76">
        <f>+BT8/BP8-1</f>
        <v>0.63614573346116976</v>
      </c>
      <c r="BU73" s="76">
        <f>+BU8/BQ8-1</f>
        <v>0.43131399317406149</v>
      </c>
      <c r="BV73" s="76">
        <f>+BV8/BR8-1</f>
        <v>0.43501420454545459</v>
      </c>
      <c r="BW73" s="76">
        <f>+BW8/BS8-1</f>
        <v>0.7449814126394052</v>
      </c>
      <c r="BX73" s="76">
        <f>+BX8/BT8-1</f>
        <v>0.30000000000000004</v>
      </c>
      <c r="BY73" s="76">
        <f>+BY8/BU8-1</f>
        <v>0.30000000000000004</v>
      </c>
      <c r="BZ73" s="76">
        <f>+BZ8/BV8-1</f>
        <v>0.19999999999999996</v>
      </c>
      <c r="CA73" s="76">
        <f>+CA8/BW8-1</f>
        <v>0.19999999999999996</v>
      </c>
      <c r="CB73" s="76">
        <f>+CB8/BX8-1</f>
        <v>0.19999999999999996</v>
      </c>
      <c r="CC73" s="76">
        <f>+CC8/BY8-1</f>
        <v>0.14999999999999991</v>
      </c>
      <c r="CD73" s="76">
        <f>+CD8/BZ8-1</f>
        <v>0.14999999999999991</v>
      </c>
      <c r="CE73" s="76"/>
      <c r="CF73" s="76"/>
      <c r="CG73" s="76"/>
      <c r="CH73" s="54"/>
      <c r="CI73" s="54"/>
      <c r="CJ73" s="54"/>
      <c r="CK73" s="54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</row>
    <row r="74" spans="2:193" s="59" customFormat="1">
      <c r="B74" s="59" t="s">
        <v>503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>
        <f>+BO9/BK9-1</f>
        <v>0.31385068762278978</v>
      </c>
      <c r="BP74" s="76">
        <f>+BP9/BL9-1</f>
        <v>0.1297973264338077</v>
      </c>
      <c r="BQ74" s="76">
        <f>+BQ9/BM9-1</f>
        <v>0.29123390112172842</v>
      </c>
      <c r="BR74" s="76">
        <f>+BR9/BN9-1</f>
        <v>0.17014925373134338</v>
      </c>
      <c r="BS74" s="76">
        <f>+BS9/BO9-1</f>
        <v>0.16635514018691588</v>
      </c>
      <c r="BT74" s="76">
        <f>+BT9/BP9-1</f>
        <v>0.36068702290076327</v>
      </c>
      <c r="BU74" s="76">
        <f>+BU9/BQ9-1</f>
        <v>0.25611325611325597</v>
      </c>
      <c r="BV74" s="76">
        <f>+BV9/BR9-1</f>
        <v>0.37723214285714279</v>
      </c>
      <c r="BW74" s="76">
        <f>+BW9/BS9-1</f>
        <v>0.34423076923076912</v>
      </c>
      <c r="BX74" s="76">
        <f>+BX9/BT9-1</f>
        <v>0.19999999999999996</v>
      </c>
      <c r="BY74" s="76">
        <f>+BY9/BU9-1</f>
        <v>0.19999999999999996</v>
      </c>
      <c r="BZ74" s="76">
        <f>+BZ9/BV9-1</f>
        <v>0.19999999999999996</v>
      </c>
      <c r="CA74" s="76">
        <f>+CA9/BW9-1</f>
        <v>0.19999999999999996</v>
      </c>
      <c r="CB74" s="76">
        <f>+CB9/BX9-1</f>
        <v>0.19999999999999996</v>
      </c>
      <c r="CC74" s="76">
        <f>+CC9/BY9-1</f>
        <v>0.19999999999999996</v>
      </c>
      <c r="CD74" s="76">
        <f>+CD9/BZ9-1</f>
        <v>0.19999999999999996</v>
      </c>
      <c r="CE74" s="76"/>
      <c r="CF74" s="76"/>
      <c r="CG74" s="76"/>
      <c r="CH74" s="54"/>
      <c r="CI74" s="54"/>
      <c r="CJ74" s="54"/>
      <c r="CK74" s="54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</row>
    <row r="75" spans="2:193" s="59" customFormat="1">
      <c r="B75" s="59" t="s">
        <v>56</v>
      </c>
      <c r="C75" s="54"/>
      <c r="D75" s="54"/>
      <c r="E75" s="54"/>
      <c r="F75" s="54"/>
      <c r="G75" s="54"/>
      <c r="H75" s="54"/>
      <c r="I75" s="54"/>
      <c r="J75" s="54"/>
      <c r="K75" s="76">
        <f t="shared" ref="K75:AP75" si="214">K67/G67-1</f>
        <v>0.45031564667192425</v>
      </c>
      <c r="L75" s="76">
        <f t="shared" si="214"/>
        <v>0.67610728701847322</v>
      </c>
      <c r="M75" s="76">
        <f t="shared" si="214"/>
        <v>0.34015035080861589</v>
      </c>
      <c r="N75" s="76">
        <f t="shared" si="214"/>
        <v>3.7454658637521607</v>
      </c>
      <c r="O75" s="76">
        <f t="shared" si="214"/>
        <v>1.6519622566819141</v>
      </c>
      <c r="P75" s="76">
        <f t="shared" si="214"/>
        <v>0.46464279222800253</v>
      </c>
      <c r="Q75" s="76">
        <f t="shared" si="214"/>
        <v>3.8235187048251413</v>
      </c>
      <c r="R75" s="76">
        <f t="shared" si="214"/>
        <v>0.1870513600647703</v>
      </c>
      <c r="S75" s="76">
        <f t="shared" si="214"/>
        <v>1.9471106396652482</v>
      </c>
      <c r="T75" s="76">
        <f t="shared" si="214"/>
        <v>3.7362930227057349</v>
      </c>
      <c r="U75" s="76">
        <f t="shared" si="214"/>
        <v>0.17487628448498183</v>
      </c>
      <c r="V75" s="76">
        <f t="shared" si="214"/>
        <v>-0.52026113261404561</v>
      </c>
      <c r="W75" s="76">
        <f t="shared" si="214"/>
        <v>-0.57728356037442752</v>
      </c>
      <c r="X75" s="76">
        <f t="shared" si="214"/>
        <v>-0.60384987633693532</v>
      </c>
      <c r="Y75" s="76">
        <f t="shared" si="214"/>
        <v>-0.45386568723743781</v>
      </c>
      <c r="Z75" s="76">
        <f t="shared" si="214"/>
        <v>-0.17935478589422826</v>
      </c>
      <c r="AA75" s="76">
        <f t="shared" si="214"/>
        <v>0.1144033426114861</v>
      </c>
      <c r="AB75" s="76">
        <f t="shared" si="214"/>
        <v>0.28860862968049394</v>
      </c>
      <c r="AC75" s="76">
        <f t="shared" si="214"/>
        <v>-0.10728645122357194</v>
      </c>
      <c r="AD75" s="76">
        <f t="shared" si="214"/>
        <v>0.24088397214917667</v>
      </c>
      <c r="AE75" s="76">
        <f t="shared" si="214"/>
        <v>5.1382705842108578E-2</v>
      </c>
      <c r="AF75" s="76">
        <f t="shared" si="214"/>
        <v>-6.5788977619371525E-2</v>
      </c>
      <c r="AG75" s="76">
        <f t="shared" si="214"/>
        <v>-7.1925548393590666E-2</v>
      </c>
      <c r="AH75" s="76">
        <f t="shared" si="214"/>
        <v>-0.22750132460794636</v>
      </c>
      <c r="AI75" s="76">
        <f t="shared" si="214"/>
        <v>-0.25615165684029639</v>
      </c>
      <c r="AJ75" s="76">
        <f t="shared" si="214"/>
        <v>-0.28127885987742418</v>
      </c>
      <c r="AK75" s="76">
        <f t="shared" si="214"/>
        <v>-0.29593098547977148</v>
      </c>
      <c r="AL75" s="76">
        <f t="shared" si="214"/>
        <v>-0.35581661852992075</v>
      </c>
      <c r="AM75" s="76">
        <f t="shared" si="214"/>
        <v>-3.0149108631133403E-3</v>
      </c>
      <c r="AN75" s="76">
        <f t="shared" si="214"/>
        <v>-5.4279616020450283E-2</v>
      </c>
      <c r="AO75" s="76">
        <f t="shared" si="214"/>
        <v>6.3121126760563362E-2</v>
      </c>
      <c r="AP75" s="76">
        <f t="shared" si="214"/>
        <v>5.1020408163265252E-2</v>
      </c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>
        <f t="shared" ref="BO75:BV75" si="215">+BO67/BK67-1</f>
        <v>0.41134642228190832</v>
      </c>
      <c r="BP75" s="76">
        <f t="shared" si="215"/>
        <v>-6.1606684930686106E-2</v>
      </c>
      <c r="BQ75" s="76">
        <f t="shared" si="215"/>
        <v>-9.406872566792901E-2</v>
      </c>
      <c r="BR75" s="76">
        <f t="shared" si="215"/>
        <v>0.39971106514556243</v>
      </c>
      <c r="BS75" s="76">
        <f t="shared" si="215"/>
        <v>0.24076955289661717</v>
      </c>
      <c r="BT75" s="76">
        <f t="shared" si="215"/>
        <v>0.38318594312768117</v>
      </c>
      <c r="BU75" s="76">
        <f t="shared" si="215"/>
        <v>0.45580624220564636</v>
      </c>
      <c r="BV75" s="76">
        <f t="shared" si="215"/>
        <v>0.17005727482444555</v>
      </c>
      <c r="BW75" s="76">
        <f>+BW67/BS67-1</f>
        <v>0.43758303199129012</v>
      </c>
      <c r="BX75" s="76">
        <f t="shared" ref="BX75:CD75" si="216">+BX67/BT67-1</f>
        <v>0.19761332678371479</v>
      </c>
      <c r="BY75" s="76">
        <f t="shared" si="216"/>
        <v>0.18332311909796051</v>
      </c>
      <c r="BZ75" s="76">
        <f t="shared" si="216"/>
        <v>-8.5769604717092829E-2</v>
      </c>
      <c r="CA75" s="76">
        <f t="shared" si="216"/>
        <v>-0.23616357430958546</v>
      </c>
      <c r="CB75" s="76">
        <f t="shared" si="216"/>
        <v>-1.9970668450120077E-2</v>
      </c>
      <c r="CC75" s="76">
        <f t="shared" si="216"/>
        <v>6.0890452467035505E-2</v>
      </c>
      <c r="CD75" s="76">
        <f t="shared" si="216"/>
        <v>0.15730031162842617</v>
      </c>
      <c r="CE75" s="76"/>
      <c r="CF75" s="76"/>
      <c r="CG75" s="76"/>
      <c r="CH75" s="54"/>
      <c r="CI75" s="77">
        <f t="shared" ref="CI75:DB75" si="217">CI67/CH67-1</f>
        <v>-0.10439415262209151</v>
      </c>
      <c r="CJ75" s="77">
        <f t="shared" si="217"/>
        <v>1.8236125131542602E-2</v>
      </c>
      <c r="CK75" s="77">
        <f t="shared" si="217"/>
        <v>8.8659943146997877E-2</v>
      </c>
      <c r="CL75" s="77">
        <f t="shared" si="217"/>
        <v>1.8914666658705448E-2</v>
      </c>
      <c r="CM75" s="77">
        <f t="shared" si="217"/>
        <v>0.18158561537982321</v>
      </c>
      <c r="CN75" s="77">
        <f t="shared" si="217"/>
        <v>0.355007280514271</v>
      </c>
      <c r="CO75" s="77">
        <f t="shared" si="217"/>
        <v>0.84588192053742906</v>
      </c>
      <c r="CP75" s="77">
        <f t="shared" si="217"/>
        <v>-0.49685325768272748</v>
      </c>
      <c r="CQ75" s="77">
        <f t="shared" si="217"/>
        <v>-0.14043421391571609</v>
      </c>
      <c r="CR75" s="77">
        <f t="shared" si="217"/>
        <v>9.3314477344200064E-2</v>
      </c>
      <c r="CS75" s="77">
        <f t="shared" si="217"/>
        <v>-0.22893757352803867</v>
      </c>
      <c r="CT75" s="77">
        <f t="shared" si="217"/>
        <v>-2.4743087666647439</v>
      </c>
      <c r="CU75" s="77">
        <f t="shared" si="217"/>
        <v>-0.19999999999999996</v>
      </c>
      <c r="CV75" s="77">
        <f t="shared" si="217"/>
        <v>-5.0000000000000044E-2</v>
      </c>
      <c r="CW75" s="77">
        <f t="shared" si="217"/>
        <v>-9.9999999999999867E-2</v>
      </c>
      <c r="CX75" s="77">
        <f t="shared" si="217"/>
        <v>-9.9999999999999978E-2</v>
      </c>
      <c r="CY75" s="77">
        <f t="shared" si="217"/>
        <v>-9.9999999999999978E-2</v>
      </c>
      <c r="CZ75" s="77">
        <f t="shared" si="217"/>
        <v>-9.9999999999999867E-2</v>
      </c>
      <c r="DA75" s="77">
        <f t="shared" si="217"/>
        <v>-3.0172478127622528</v>
      </c>
      <c r="DB75" s="77">
        <f t="shared" si="217"/>
        <v>0.43372049867537688</v>
      </c>
    </row>
    <row r="76" spans="2:193">
      <c r="CY76" s="53"/>
      <c r="CZ76" s="53"/>
      <c r="DA76" s="53"/>
      <c r="DB76" s="53"/>
    </row>
    <row r="77" spans="2:193">
      <c r="B77" s="52" t="s">
        <v>123</v>
      </c>
      <c r="F77" s="74">
        <f t="shared" ref="F77:R77" si="218">F58/F56</f>
        <v>0.72539324245965431</v>
      </c>
      <c r="G77" s="74">
        <f t="shared" si="218"/>
        <v>0.71365107340828793</v>
      </c>
      <c r="H77" s="74">
        <f t="shared" si="218"/>
        <v>0.72475991913065463</v>
      </c>
      <c r="I77" s="74">
        <f t="shared" si="218"/>
        <v>0.73272302052168059</v>
      </c>
      <c r="J77" s="74">
        <f t="shared" si="218"/>
        <v>0.74005151506381495</v>
      </c>
      <c r="K77" s="74">
        <f t="shared" si="218"/>
        <v>0.75013167270812031</v>
      </c>
      <c r="L77" s="74">
        <f t="shared" si="218"/>
        <v>0.74846625766871167</v>
      </c>
      <c r="M77" s="74">
        <f t="shared" si="218"/>
        <v>0.75506122118009567</v>
      </c>
      <c r="N77" s="74">
        <f t="shared" si="218"/>
        <v>0.81222054008379396</v>
      </c>
      <c r="O77" s="74">
        <f t="shared" si="218"/>
        <v>0.78222379603399439</v>
      </c>
      <c r="P77" s="74">
        <f t="shared" si="218"/>
        <v>0.76181506032714963</v>
      </c>
      <c r="Q77" s="74">
        <f t="shared" si="218"/>
        <v>0.82123302764734796</v>
      </c>
      <c r="R77" s="74">
        <f t="shared" si="218"/>
        <v>0.80905231258532484</v>
      </c>
      <c r="S77" s="74">
        <v>0.75800000000000001</v>
      </c>
      <c r="T77" s="74">
        <v>0.75800000000000001</v>
      </c>
      <c r="U77" s="74">
        <v>0.75800000000000001</v>
      </c>
      <c r="V77" s="74">
        <v>0.75800000000000001</v>
      </c>
      <c r="W77" s="74">
        <f t="shared" ref="W77:AP77" si="219">W58/W56</f>
        <v>0.83310846723087617</v>
      </c>
      <c r="X77" s="74">
        <f t="shared" si="219"/>
        <v>0.81472572601936055</v>
      </c>
      <c r="Y77" s="74">
        <f t="shared" si="219"/>
        <v>0.81087738223660555</v>
      </c>
      <c r="Z77" s="74">
        <f t="shared" si="219"/>
        <v>0.75879676440849342</v>
      </c>
      <c r="AA77" s="74">
        <f t="shared" si="219"/>
        <v>0.79536961079208823</v>
      </c>
      <c r="AB77" s="74">
        <f t="shared" si="219"/>
        <v>0.82189016647241986</v>
      </c>
      <c r="AC77" s="74">
        <f t="shared" si="219"/>
        <v>0.82535191341868852</v>
      </c>
      <c r="AD77" s="74">
        <f t="shared" si="219"/>
        <v>0.80084690974915962</v>
      </c>
      <c r="AE77" s="74">
        <f t="shared" si="219"/>
        <v>0.79790039731470075</v>
      </c>
      <c r="AF77" s="74">
        <f t="shared" si="219"/>
        <v>0.80360798362333674</v>
      </c>
      <c r="AG77" s="74">
        <f t="shared" si="219"/>
        <v>0.78235552447097467</v>
      </c>
      <c r="AH77" s="74">
        <f t="shared" si="219"/>
        <v>0.78143965075322874</v>
      </c>
      <c r="AI77" s="74">
        <f t="shared" si="219"/>
        <v>0.78618092246180205</v>
      </c>
      <c r="AJ77" s="74">
        <f t="shared" si="219"/>
        <v>0.79525042406927948</v>
      </c>
      <c r="AK77" s="74">
        <f t="shared" si="219"/>
        <v>0.77885163068442809</v>
      </c>
      <c r="AL77" s="74">
        <f t="shared" si="219"/>
        <v>0.75392835865355978</v>
      </c>
      <c r="AM77" s="74">
        <f t="shared" si="219"/>
        <v>0.78323260106402215</v>
      </c>
      <c r="AN77" s="74">
        <f t="shared" si="219"/>
        <v>0.79181946915507795</v>
      </c>
      <c r="AO77" s="74">
        <f t="shared" si="219"/>
        <v>0.78046511627906967</v>
      </c>
      <c r="AP77" s="74">
        <f t="shared" si="219"/>
        <v>0.75574733885274992</v>
      </c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>
        <f t="shared" ref="BK77" si="220">BK58/BK56</f>
        <v>0.80155535044480664</v>
      </c>
      <c r="BL77" s="74">
        <f t="shared" ref="BL77:BM77" si="221">BL58/BL56</f>
        <v>0.80958716979793144</v>
      </c>
      <c r="BM77" s="74">
        <f t="shared" si="221"/>
        <v>0.79579316389132326</v>
      </c>
      <c r="BN77" s="74">
        <f t="shared" ref="BN77:BO77" si="222">BN58/BN56</f>
        <v>0.79893037633089647</v>
      </c>
      <c r="BO77" s="74">
        <f t="shared" si="222"/>
        <v>0.80263831530086338</v>
      </c>
      <c r="BP77" s="74">
        <f t="shared" ref="BP77:BV77" si="223">BP58/BP56</f>
        <v>0.79648688947885227</v>
      </c>
      <c r="BQ77" s="74">
        <f t="shared" si="223"/>
        <v>0.79098003692993768</v>
      </c>
      <c r="BR77" s="74">
        <f t="shared" si="223"/>
        <v>0.76884719291407366</v>
      </c>
      <c r="BS77" s="74">
        <f t="shared" si="223"/>
        <v>0.75440813447748922</v>
      </c>
      <c r="BT77" s="74">
        <f t="shared" si="223"/>
        <v>0.7925816023738872</v>
      </c>
      <c r="BU77" s="74">
        <f t="shared" si="223"/>
        <v>0.79007825188247449</v>
      </c>
      <c r="BV77" s="74">
        <f t="shared" si="223"/>
        <v>0.74372179652245651</v>
      </c>
      <c r="BW77" s="74">
        <f>BW58/BW56</f>
        <v>0.76088654434642322</v>
      </c>
      <c r="BX77" s="74">
        <f t="shared" ref="BX77:CD77" si="224">BX58/BX56</f>
        <v>0.79</v>
      </c>
      <c r="BY77" s="74">
        <f t="shared" si="224"/>
        <v>0.79</v>
      </c>
      <c r="BZ77" s="74">
        <f t="shared" si="224"/>
        <v>0.79</v>
      </c>
      <c r="CA77" s="74">
        <f t="shared" si="224"/>
        <v>0.79</v>
      </c>
      <c r="CB77" s="74">
        <f t="shared" si="224"/>
        <v>0.79000000000000015</v>
      </c>
      <c r="CC77" s="74">
        <f t="shared" si="224"/>
        <v>0.79</v>
      </c>
      <c r="CD77" s="74">
        <f t="shared" si="224"/>
        <v>0.79</v>
      </c>
      <c r="CE77" s="74"/>
      <c r="CF77" s="74"/>
      <c r="CL77" s="74">
        <f>CL58/CL56</f>
        <v>0.76286689419795217</v>
      </c>
      <c r="CM77" s="74">
        <f>CM58/CM56</f>
        <v>0.77818608040041815</v>
      </c>
      <c r="CN77" s="74">
        <v>0.78</v>
      </c>
      <c r="CO77" s="74">
        <f>CO58/CO56</f>
        <v>1.0500260329761233</v>
      </c>
      <c r="CP77" s="74">
        <f>CP58/CP56</f>
        <v>0.82263518056731488</v>
      </c>
      <c r="CQ77" s="74">
        <f>CQ58/CQ56</f>
        <v>0.80057367839296967</v>
      </c>
      <c r="CR77" s="74">
        <f>CR58/CR56</f>
        <v>0.78775238406352488</v>
      </c>
      <c r="CS77" s="74">
        <f>CS58/CS56</f>
        <v>0.77880780865347043</v>
      </c>
      <c r="CT77" s="74"/>
      <c r="CU77" s="74"/>
      <c r="CV77" s="74"/>
      <c r="CW77" s="74"/>
      <c r="CX77" s="74"/>
      <c r="CY77" s="74"/>
      <c r="CZ77" s="74"/>
      <c r="DA77" s="74">
        <f t="shared" ref="DA77:DK77" si="225">DA58/DA56</f>
        <v>0.78828764583392763</v>
      </c>
      <c r="DB77" s="74">
        <f t="shared" si="225"/>
        <v>0.76900612673693869</v>
      </c>
      <c r="DC77" s="74">
        <f t="shared" si="225"/>
        <v>0.78221275114176581</v>
      </c>
      <c r="DD77" s="74">
        <f t="shared" si="225"/>
        <v>0.79072954983413501</v>
      </c>
      <c r="DE77" s="74">
        <f t="shared" si="225"/>
        <v>0.84999139406994118</v>
      </c>
      <c r="DF77" s="74">
        <f t="shared" si="225"/>
        <v>0.90276273737270119</v>
      </c>
      <c r="DG77" s="74">
        <f t="shared" si="225"/>
        <v>0.95313757405068622</v>
      </c>
      <c r="DH77" s="74">
        <f t="shared" si="225"/>
        <v>0.94058309189622968</v>
      </c>
      <c r="DI77" s="74">
        <f t="shared" si="225"/>
        <v>0.88845712208045557</v>
      </c>
      <c r="DJ77" s="74">
        <f t="shared" si="225"/>
        <v>0.82793405439692491</v>
      </c>
      <c r="DK77" s="74">
        <f t="shared" si="225"/>
        <v>0.68282352934512702</v>
      </c>
    </row>
    <row r="78" spans="2:193">
      <c r="B78" s="52" t="s">
        <v>59</v>
      </c>
      <c r="F78" s="74">
        <f t="shared" ref="F78:AP78" si="226">F59/F56</f>
        <v>0.34829412011008376</v>
      </c>
      <c r="G78" s="74">
        <f t="shared" si="226"/>
        <v>0.36335311988936692</v>
      </c>
      <c r="H78" s="74">
        <f t="shared" si="226"/>
        <v>0.36204826889057362</v>
      </c>
      <c r="I78" s="74">
        <f t="shared" si="226"/>
        <v>0.33844970713412842</v>
      </c>
      <c r="J78" s="74">
        <f t="shared" si="226"/>
        <v>0.3443984603362949</v>
      </c>
      <c r="K78" s="74">
        <f t="shared" si="226"/>
        <v>0.35412213030950829</v>
      </c>
      <c r="L78" s="74">
        <f t="shared" si="226"/>
        <v>0.36167104878761319</v>
      </c>
      <c r="M78" s="74">
        <f t="shared" si="226"/>
        <v>0.35200151363624077</v>
      </c>
      <c r="N78" s="74">
        <f t="shared" si="226"/>
        <v>0.25034327359785935</v>
      </c>
      <c r="O78" s="74">
        <f t="shared" si="226"/>
        <v>0.31558073654390933</v>
      </c>
      <c r="P78" s="74">
        <f t="shared" si="226"/>
        <v>0.36356049406266394</v>
      </c>
      <c r="Q78" s="74">
        <f t="shared" si="226"/>
        <v>0.25050429711999733</v>
      </c>
      <c r="R78" s="74">
        <f t="shared" si="226"/>
        <v>0.26340819418815725</v>
      </c>
      <c r="S78" s="74">
        <f t="shared" si="226"/>
        <v>0.24840590855202022</v>
      </c>
      <c r="T78" s="74">
        <f t="shared" si="226"/>
        <v>0.25361378384426048</v>
      </c>
      <c r="U78" s="74">
        <f t="shared" si="226"/>
        <v>0.24264002707116478</v>
      </c>
      <c r="V78" s="74">
        <f t="shared" si="226"/>
        <v>0.32983398906055078</v>
      </c>
      <c r="W78" s="74">
        <f t="shared" si="226"/>
        <v>0.31260476716137209</v>
      </c>
      <c r="X78" s="74">
        <f t="shared" si="226"/>
        <v>0.33405690818421824</v>
      </c>
      <c r="Y78" s="74">
        <f t="shared" si="226"/>
        <v>0.30596907587198846</v>
      </c>
      <c r="Z78" s="74">
        <f t="shared" si="226"/>
        <v>0.32917087967644082</v>
      </c>
      <c r="AA78" s="74">
        <f t="shared" si="226"/>
        <v>0.29430316288396685</v>
      </c>
      <c r="AB78" s="74">
        <f t="shared" si="226"/>
        <v>0.3053559935289718</v>
      </c>
      <c r="AC78" s="74">
        <f t="shared" si="226"/>
        <v>0.2997276649925727</v>
      </c>
      <c r="AD78" s="74">
        <f t="shared" si="226"/>
        <v>0.32142164468580292</v>
      </c>
      <c r="AE78" s="74">
        <f t="shared" si="226"/>
        <v>0.30581244006028224</v>
      </c>
      <c r="AF78" s="74">
        <f t="shared" si="226"/>
        <v>0.32673362333674522</v>
      </c>
      <c r="AG78" s="74">
        <f t="shared" si="226"/>
        <v>0.31193376815601565</v>
      </c>
      <c r="AH78" s="74">
        <f t="shared" si="226"/>
        <v>0.35278554065450696</v>
      </c>
      <c r="AI78" s="74">
        <f t="shared" si="226"/>
        <v>0.32976938454947874</v>
      </c>
      <c r="AJ78" s="74">
        <f t="shared" si="226"/>
        <v>0.34480849924113921</v>
      </c>
      <c r="AK78" s="74">
        <f t="shared" si="226"/>
        <v>0.32290307762976572</v>
      </c>
      <c r="AL78" s="74">
        <f t="shared" si="226"/>
        <v>0.35995680667262442</v>
      </c>
      <c r="AM78" s="74">
        <f t="shared" si="226"/>
        <v>0.33431652853678839</v>
      </c>
      <c r="AN78" s="74">
        <f t="shared" si="226"/>
        <v>0.35058639846047712</v>
      </c>
      <c r="AO78" s="74">
        <f t="shared" si="226"/>
        <v>0.32054719562243505</v>
      </c>
      <c r="AP78" s="74">
        <f t="shared" si="226"/>
        <v>0.35729597871082203</v>
      </c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>
        <f t="shared" ref="BK78" si="227">BK59/BK56</f>
        <v>0.29793209088588202</v>
      </c>
      <c r="BL78" s="74">
        <f t="shared" ref="BL78:BM78" si="228">BL59/BL56</f>
        <v>0.28142352795075126</v>
      </c>
      <c r="BM78" s="74">
        <f t="shared" si="228"/>
        <v>0.25786955886649138</v>
      </c>
      <c r="BN78" s="74">
        <f t="shared" ref="BN78:BO78" si="229">BN59/BN56</f>
        <v>0.27772598662152659</v>
      </c>
      <c r="BO78" s="74">
        <f t="shared" si="229"/>
        <v>0.26444588552510334</v>
      </c>
      <c r="BP78" s="74">
        <f t="shared" ref="BP78:BV78" si="230">BP59/BP56</f>
        <v>0.26341055387860496</v>
      </c>
      <c r="BQ78" s="74">
        <f t="shared" si="230"/>
        <v>0.27333379786085082</v>
      </c>
      <c r="BR78" s="74">
        <f t="shared" si="230"/>
        <v>0.20885471969462779</v>
      </c>
      <c r="BS78" s="74">
        <f t="shared" si="230"/>
        <v>0.23157399788409544</v>
      </c>
      <c r="BT78" s="74">
        <f t="shared" si="230"/>
        <v>0.25010385756676567</v>
      </c>
      <c r="BU78" s="74">
        <f t="shared" si="230"/>
        <v>0.23296914218219408</v>
      </c>
      <c r="BV78" s="74">
        <f t="shared" si="230"/>
        <v>0.19900248753109415</v>
      </c>
      <c r="BW78" s="74">
        <f>BW59/BW56</f>
        <v>0.19947247794522477</v>
      </c>
      <c r="BX78" s="74">
        <f t="shared" ref="BX78:CD78" si="231">BX59/BX56</f>
        <v>0.23744342019942455</v>
      </c>
      <c r="BY78" s="74">
        <f t="shared" si="231"/>
        <v>0.22652383790047328</v>
      </c>
      <c r="BZ78" s="74">
        <f t="shared" si="231"/>
        <v>0.21737649958659841</v>
      </c>
      <c r="CA78" s="74">
        <f t="shared" si="231"/>
        <v>0.23123610396290656</v>
      </c>
      <c r="CB78" s="74">
        <f t="shared" si="231"/>
        <v>0.23936112956514508</v>
      </c>
      <c r="CC78" s="74">
        <f t="shared" si="231"/>
        <v>0.22110206565391702</v>
      </c>
      <c r="CD78" s="74">
        <f t="shared" si="231"/>
        <v>0.20492794387212696</v>
      </c>
      <c r="CE78" s="74"/>
      <c r="CF78" s="74"/>
      <c r="CH78" s="74">
        <f t="shared" ref="CH78:DB78" si="232">CH59/CH56</f>
        <v>0.29383437956832059</v>
      </c>
      <c r="CI78" s="74">
        <f t="shared" si="232"/>
        <v>0.30910896452107972</v>
      </c>
      <c r="CJ78" s="74">
        <f t="shared" si="232"/>
        <v>0.32220897894318634</v>
      </c>
      <c r="CK78" s="74">
        <f t="shared" si="232"/>
        <v>0.30911321163143085</v>
      </c>
      <c r="CL78" s="74">
        <f t="shared" si="232"/>
        <v>0.30696245733788396</v>
      </c>
      <c r="CM78" s="74">
        <f t="shared" si="232"/>
        <v>0.30107390629454817</v>
      </c>
      <c r="CN78" s="74">
        <f t="shared" si="232"/>
        <v>0.26468097532486495</v>
      </c>
      <c r="CO78" s="74">
        <f t="shared" si="232"/>
        <v>0.33758834028714957</v>
      </c>
      <c r="CP78" s="74">
        <f t="shared" si="232"/>
        <v>0.32861448926124026</v>
      </c>
      <c r="CQ78" s="74">
        <f t="shared" si="232"/>
        <v>0.32216426568252204</v>
      </c>
      <c r="CR78" s="74">
        <f t="shared" si="232"/>
        <v>0.33001637538582668</v>
      </c>
      <c r="CS78" s="74">
        <f t="shared" si="232"/>
        <v>0.33926219307249983</v>
      </c>
      <c r="CT78" s="74">
        <f t="shared" si="232"/>
        <v>0.32582328357254975</v>
      </c>
      <c r="CU78" s="74">
        <f t="shared" si="232"/>
        <v>0.31429736130018421</v>
      </c>
      <c r="CV78" s="74">
        <f t="shared" si="232"/>
        <v>0.38184058472415427</v>
      </c>
      <c r="CW78" s="74">
        <f t="shared" si="232"/>
        <v>0.45160262783691435</v>
      </c>
      <c r="CX78" s="74">
        <f t="shared" si="232"/>
        <v>1.3371570658653731</v>
      </c>
      <c r="CY78" s="74">
        <f t="shared" si="232"/>
        <v>1.6433745148337575</v>
      </c>
      <c r="CZ78" s="74">
        <f t="shared" si="232"/>
        <v>8.8457153786999996</v>
      </c>
      <c r="DA78" s="74">
        <f t="shared" si="232"/>
        <v>0.24943866926923092</v>
      </c>
      <c r="DB78" s="74">
        <f>DB59/DB56</f>
        <v>0.22711654925225561</v>
      </c>
      <c r="DC78" s="74">
        <f t="shared" ref="DC78:DK78" si="233">DC59/DC56</f>
        <v>0.21964878265928234</v>
      </c>
      <c r="DD78" s="74">
        <f t="shared" si="233"/>
        <v>0.22280799339165408</v>
      </c>
      <c r="DE78" s="74">
        <f t="shared" si="233"/>
        <v>0.25</v>
      </c>
      <c r="DF78" s="74">
        <f t="shared" si="233"/>
        <v>0.25</v>
      </c>
      <c r="DG78" s="74">
        <f t="shared" si="233"/>
        <v>0.25</v>
      </c>
      <c r="DH78" s="74">
        <f t="shared" si="233"/>
        <v>0.25</v>
      </c>
      <c r="DI78" s="74">
        <f t="shared" si="233"/>
        <v>0.25</v>
      </c>
      <c r="DJ78" s="74">
        <f t="shared" si="233"/>
        <v>0.25</v>
      </c>
      <c r="DK78" s="74">
        <f t="shared" si="233"/>
        <v>0.25</v>
      </c>
    </row>
    <row r="79" spans="2:193">
      <c r="B79" s="52" t="s">
        <v>60</v>
      </c>
      <c r="F79" s="74">
        <f t="shared" ref="F79:AP79" si="234">F60/F56</f>
        <v>0.22394867832214857</v>
      </c>
      <c r="G79" s="74">
        <f t="shared" si="234"/>
        <v>0.23401274326819779</v>
      </c>
      <c r="H79" s="74">
        <f t="shared" si="234"/>
        <v>0.24083901945918626</v>
      </c>
      <c r="I79" s="74">
        <f t="shared" si="234"/>
        <v>0.23734777295520629</v>
      </c>
      <c r="J79" s="74">
        <f t="shared" si="234"/>
        <v>0.23442248140537719</v>
      </c>
      <c r="K79" s="74">
        <f t="shared" si="234"/>
        <v>0.22957523933451063</v>
      </c>
      <c r="L79" s="74">
        <f t="shared" si="234"/>
        <v>0.22640958223780311</v>
      </c>
      <c r="M79" s="74">
        <f t="shared" si="234"/>
        <v>0.21320647620077304</v>
      </c>
      <c r="N79" s="74">
        <f t="shared" si="234"/>
        <v>0.15667359081787136</v>
      </c>
      <c r="O79" s="74">
        <f t="shared" si="234"/>
        <v>0.19693106704438151</v>
      </c>
      <c r="P79" s="74">
        <f t="shared" si="234"/>
        <v>0.20372931470265629</v>
      </c>
      <c r="Q79" s="74">
        <f t="shared" si="234"/>
        <v>0.14315257742444021</v>
      </c>
      <c r="R79" s="74">
        <f t="shared" si="234"/>
        <v>0.14306074380785214</v>
      </c>
      <c r="S79" s="74">
        <f t="shared" si="234"/>
        <v>0.14052036271588322</v>
      </c>
      <c r="T79" s="74">
        <f t="shared" si="234"/>
        <v>0.14194077720593723</v>
      </c>
      <c r="U79" s="74">
        <f t="shared" si="234"/>
        <v>0.14021097853433181</v>
      </c>
      <c r="V79" s="74">
        <f t="shared" si="234"/>
        <v>0.19884847903272238</v>
      </c>
      <c r="W79" s="74">
        <f t="shared" si="234"/>
        <v>0.19365059896152745</v>
      </c>
      <c r="X79" s="74">
        <f t="shared" si="234"/>
        <v>0.20346142563801703</v>
      </c>
      <c r="Y79" s="74">
        <f t="shared" si="234"/>
        <v>0.20174397698669541</v>
      </c>
      <c r="Z79" s="74">
        <f t="shared" si="234"/>
        <v>0.2050387596899225</v>
      </c>
      <c r="AA79" s="74">
        <f t="shared" si="234"/>
        <v>0.1894266703126424</v>
      </c>
      <c r="AB79" s="74">
        <f t="shared" si="234"/>
        <v>0.20651625584914851</v>
      </c>
      <c r="AC79" s="74">
        <f t="shared" si="234"/>
        <v>0.2157105467921058</v>
      </c>
      <c r="AD79" s="74">
        <f t="shared" si="234"/>
        <v>0.23243147142487713</v>
      </c>
      <c r="AE79" s="74">
        <f t="shared" si="234"/>
        <v>0.19249212220852172</v>
      </c>
      <c r="AF79" s="74">
        <f t="shared" si="234"/>
        <v>0.20160568065506657</v>
      </c>
      <c r="AG79" s="74">
        <f t="shared" si="234"/>
        <v>0.20834078821099203</v>
      </c>
      <c r="AH79" s="74">
        <f t="shared" si="234"/>
        <v>0.22411654788087243</v>
      </c>
      <c r="AI79" s="74">
        <f t="shared" si="234"/>
        <v>0.20553691275167782</v>
      </c>
      <c r="AJ79" s="74">
        <f t="shared" si="234"/>
        <v>0.23581823051513262</v>
      </c>
      <c r="AK79" s="74">
        <f t="shared" si="234"/>
        <v>0.24672485071198896</v>
      </c>
      <c r="AL79" s="74">
        <f t="shared" si="234"/>
        <v>0.24301831992850759</v>
      </c>
      <c r="AM79" s="74">
        <f t="shared" si="234"/>
        <v>0.20837103253591982</v>
      </c>
      <c r="AN79" s="74">
        <f t="shared" si="234"/>
        <v>0.23976979775607277</v>
      </c>
      <c r="AO79" s="74">
        <f t="shared" si="234"/>
        <v>0.24492476060191518</v>
      </c>
      <c r="AP79" s="74">
        <f t="shared" si="234"/>
        <v>0.24122191011235955</v>
      </c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>
        <f t="shared" ref="BK79" si="235">BK60/BK56</f>
        <v>0.24164882857760059</v>
      </c>
      <c r="BL79" s="74">
        <f t="shared" ref="BL79:BM79" si="236">BL60/BL56</f>
        <v>0.24876257384639947</v>
      </c>
      <c r="BM79" s="74">
        <f t="shared" si="236"/>
        <v>0.25213628396143734</v>
      </c>
      <c r="BN79" s="74">
        <f t="shared" ref="BN79:BO79" si="237">BN60/BN56</f>
        <v>0.25863958261779768</v>
      </c>
      <c r="BO79" s="74">
        <f t="shared" si="237"/>
        <v>0.23756783507969564</v>
      </c>
      <c r="BP79" s="74">
        <f t="shared" ref="BP79:BV79" si="238">BP60/BP56</f>
        <v>0.25279121358693685</v>
      </c>
      <c r="BQ79" s="74">
        <f t="shared" si="238"/>
        <v>0.25526948402606009</v>
      </c>
      <c r="BR79" s="74">
        <f t="shared" si="238"/>
        <v>0.24703969032674294</v>
      </c>
      <c r="BS79" s="74">
        <f t="shared" si="238"/>
        <v>0.24569472199365225</v>
      </c>
      <c r="BT79" s="74">
        <f t="shared" si="238"/>
        <v>0.24818991097922857</v>
      </c>
      <c r="BU79" s="74">
        <f t="shared" si="238"/>
        <v>0.25231064520891783</v>
      </c>
      <c r="BV79" s="74">
        <f t="shared" si="238"/>
        <v>0.24492806160077002</v>
      </c>
      <c r="BW79" s="74">
        <f>BW60/BW56</f>
        <v>0.20615613116349341</v>
      </c>
      <c r="BX79" s="74">
        <f t="shared" ref="BX79:CD79" si="239">BX60/BX56</f>
        <v>0.23562635896636255</v>
      </c>
      <c r="BY79" s="74">
        <f t="shared" si="239"/>
        <v>0.24533024056538361</v>
      </c>
      <c r="BZ79" s="74">
        <f t="shared" si="239"/>
        <v>0.2675424078454654</v>
      </c>
      <c r="CA79" s="74">
        <f t="shared" si="239"/>
        <v>0.23898404967627948</v>
      </c>
      <c r="CB79" s="74">
        <f t="shared" si="239"/>
        <v>0.23752939285553457</v>
      </c>
      <c r="CC79" s="74">
        <f t="shared" si="239"/>
        <v>0.23945834336521882</v>
      </c>
      <c r="CD79" s="74">
        <f t="shared" si="239"/>
        <v>0.25222098820543065</v>
      </c>
      <c r="CE79" s="74"/>
      <c r="CF79" s="74"/>
      <c r="CY79" s="60"/>
      <c r="CZ79" s="60"/>
    </row>
    <row r="80" spans="2:193">
      <c r="B80" s="52" t="s">
        <v>207</v>
      </c>
      <c r="F80" s="74">
        <f t="shared" ref="F80:R80" si="240">F65/F64</f>
        <v>0.41673612268711452</v>
      </c>
      <c r="G80" s="74">
        <f t="shared" si="240"/>
        <v>0.46445508108287376</v>
      </c>
      <c r="H80" s="74">
        <f t="shared" si="240"/>
        <v>0.47611317254174368</v>
      </c>
      <c r="I80" s="74">
        <f t="shared" si="240"/>
        <v>0.38536054109824602</v>
      </c>
      <c r="J80" s="74">
        <f t="shared" si="240"/>
        <v>0.30359645025688908</v>
      </c>
      <c r="K80" s="74">
        <f t="shared" si="240"/>
        <v>0.3900210822206604</v>
      </c>
      <c r="L80" s="74">
        <f t="shared" si="240"/>
        <v>0.3674496644295302</v>
      </c>
      <c r="M80" s="74">
        <f t="shared" si="240"/>
        <v>0.31622706422018343</v>
      </c>
      <c r="N80" s="74">
        <f t="shared" si="240"/>
        <v>9.6808646985944338E-2</v>
      </c>
      <c r="O80" s="74">
        <f t="shared" si="240"/>
        <v>0.21815718157181574</v>
      </c>
      <c r="P80" s="74">
        <f t="shared" si="240"/>
        <v>0.32179549902152643</v>
      </c>
      <c r="Q80" s="74">
        <f t="shared" si="240"/>
        <v>0.10236373532384734</v>
      </c>
      <c r="R80" s="74">
        <f t="shared" si="240"/>
        <v>7.2875239357784644E-2</v>
      </c>
      <c r="S80" s="74">
        <v>0.22</v>
      </c>
      <c r="T80" s="74">
        <v>0.22</v>
      </c>
      <c r="U80" s="74">
        <v>0.22</v>
      </c>
      <c r="V80" s="74">
        <v>0.22</v>
      </c>
      <c r="W80" s="74">
        <f t="shared" ref="W80:AP80" si="241">W65/W64</f>
        <v>0.24231121580944903</v>
      </c>
      <c r="X80" s="74">
        <f t="shared" si="241"/>
        <v>0.24831347782402755</v>
      </c>
      <c r="Y80" s="74">
        <f t="shared" si="241"/>
        <v>7.8861236336688664E-2</v>
      </c>
      <c r="Z80" s="74">
        <f t="shared" si="241"/>
        <v>0.21005613091944028</v>
      </c>
      <c r="AA80" s="74">
        <f t="shared" si="241"/>
        <v>0.27264573991031388</v>
      </c>
      <c r="AB80" s="74">
        <f t="shared" si="241"/>
        <v>0.22206943966998971</v>
      </c>
      <c r="AC80" s="74">
        <f t="shared" si="241"/>
        <v>0.21555204493593119</v>
      </c>
      <c r="AD80" s="74">
        <f t="shared" si="241"/>
        <v>0.16120365394948946</v>
      </c>
      <c r="AE80" s="74">
        <f t="shared" si="241"/>
        <v>0.20900931998619257</v>
      </c>
      <c r="AF80" s="74">
        <f t="shared" si="241"/>
        <v>0.20076941572493406</v>
      </c>
      <c r="AG80" s="74">
        <f t="shared" si="241"/>
        <v>0.17926565874730019</v>
      </c>
      <c r="AH80" s="74">
        <f t="shared" si="241"/>
        <v>0.19874390546235837</v>
      </c>
      <c r="AI80" s="74">
        <f t="shared" si="241"/>
        <v>0.24435454211107024</v>
      </c>
      <c r="AJ80" s="74">
        <f t="shared" si="241"/>
        <v>0.22108814846056535</v>
      </c>
      <c r="AK80" s="74">
        <f t="shared" si="241"/>
        <v>0.22108127084430404</v>
      </c>
      <c r="AL80" s="74">
        <f t="shared" si="241"/>
        <v>0.20000000000000004</v>
      </c>
      <c r="AM80" s="74">
        <f t="shared" si="241"/>
        <v>0.2</v>
      </c>
      <c r="AN80" s="74">
        <f t="shared" si="241"/>
        <v>0.2</v>
      </c>
      <c r="AO80" s="74">
        <f t="shared" si="241"/>
        <v>0.2</v>
      </c>
      <c r="AP80" s="74">
        <f t="shared" si="241"/>
        <v>0.20000000000000004</v>
      </c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>
        <f t="shared" ref="BK80" si="242">BK65/BK64</f>
        <v>0.14349424927626941</v>
      </c>
      <c r="BL80" s="74">
        <f t="shared" ref="BL80:BM80" si="243">BL65/BL64</f>
        <v>0.10415262235405147</v>
      </c>
      <c r="BM80" s="74">
        <f t="shared" si="243"/>
        <v>0.12209341739543082</v>
      </c>
      <c r="BN80" s="74">
        <f t="shared" ref="BN80:BO80" si="244">BN65/BN64</f>
        <v>0.10993629736652002</v>
      </c>
      <c r="BO80" s="74">
        <f t="shared" si="244"/>
        <v>0.14963763811334227</v>
      </c>
      <c r="BP80" s="74">
        <f t="shared" ref="BP80:BV80" si="245">BP65/BP64</f>
        <v>0.15867689357622258</v>
      </c>
      <c r="BQ80" s="74">
        <f t="shared" si="245"/>
        <v>0.18152418447694052</v>
      </c>
      <c r="BR80" s="74">
        <f t="shared" si="245"/>
        <v>0.15692650334075731</v>
      </c>
      <c r="BS80" s="74">
        <f t="shared" si="245"/>
        <v>7.4556151403134235E-2</v>
      </c>
      <c r="BT80" s="74">
        <f t="shared" si="245"/>
        <v>0.1070977917981074</v>
      </c>
      <c r="BU80" s="74">
        <f t="shared" si="245"/>
        <v>0.1475739883229315</v>
      </c>
      <c r="BV80" s="74">
        <f t="shared" si="245"/>
        <v>4.903059026281776E-2</v>
      </c>
      <c r="BW80" s="74">
        <f>BW65/BW64</f>
        <v>9.7358034349109265E-2</v>
      </c>
      <c r="BX80" s="74">
        <f t="shared" ref="BX80:CD80" si="246">BX65/BX64</f>
        <v>0.1</v>
      </c>
      <c r="BY80" s="74">
        <f t="shared" si="246"/>
        <v>0.1</v>
      </c>
      <c r="BZ80" s="74">
        <f t="shared" si="246"/>
        <v>0.1</v>
      </c>
      <c r="CA80" s="74">
        <f t="shared" si="246"/>
        <v>0.1</v>
      </c>
      <c r="CB80" s="74">
        <f t="shared" si="246"/>
        <v>0.1</v>
      </c>
      <c r="CC80" s="74">
        <f t="shared" si="246"/>
        <v>0.1</v>
      </c>
      <c r="CD80" s="74">
        <f t="shared" si="246"/>
        <v>0.1</v>
      </c>
      <c r="CE80" s="74"/>
      <c r="CF80" s="74"/>
      <c r="CY80" s="60"/>
      <c r="CZ80" s="60"/>
      <c r="DC80" s="92">
        <f>+DC65/DC64</f>
        <v>0.15</v>
      </c>
      <c r="DD80" s="92">
        <f t="shared" ref="DD80:DK80" si="247">+DD65/DD64</f>
        <v>0.15</v>
      </c>
      <c r="DE80" s="92">
        <f t="shared" si="247"/>
        <v>0.15</v>
      </c>
      <c r="DF80" s="92">
        <f t="shared" si="247"/>
        <v>0.15</v>
      </c>
      <c r="DG80" s="92">
        <f t="shared" si="247"/>
        <v>0.15</v>
      </c>
      <c r="DH80" s="92">
        <f t="shared" si="247"/>
        <v>0.15</v>
      </c>
      <c r="DI80" s="92">
        <f t="shared" si="247"/>
        <v>0.15</v>
      </c>
      <c r="DJ80" s="92">
        <f t="shared" si="247"/>
        <v>0.15</v>
      </c>
      <c r="DK80" s="92">
        <f t="shared" si="247"/>
        <v>0.15</v>
      </c>
      <c r="DL80" s="58" t="s">
        <v>272</v>
      </c>
      <c r="DM80" s="76">
        <v>0.01</v>
      </c>
    </row>
    <row r="81" spans="2:117">
      <c r="DL81" s="53" t="s">
        <v>244</v>
      </c>
      <c r="DM81" s="73">
        <v>-0.01</v>
      </c>
    </row>
    <row r="82" spans="2:117">
      <c r="B82" s="52" t="s">
        <v>188</v>
      </c>
      <c r="Z82" s="57">
        <f>4498-6662+1155.8</f>
        <v>-1008.2</v>
      </c>
      <c r="AA82" s="57">
        <f>+Z82+AA66</f>
        <v>289.39999999999986</v>
      </c>
      <c r="AE82" s="57">
        <f>+AE84-AE97</f>
        <v>1939.5</v>
      </c>
      <c r="AF82" s="57">
        <f t="shared" ref="AF82" si="248">+AF84-AF97</f>
        <v>2544.1999999999989</v>
      </c>
      <c r="AG82" s="57">
        <f t="shared" ref="AG82" si="249">+AG84-AG97</f>
        <v>2923.8999999999996</v>
      </c>
      <c r="AH82" s="57">
        <f>+AH84-AH97</f>
        <v>3939.9000000000015</v>
      </c>
      <c r="AI82" s="57">
        <f>+AI84-AI97</f>
        <v>4031.9000000000005</v>
      </c>
      <c r="AJ82" s="57">
        <f>+AJ84-AJ97</f>
        <v>4299.8</v>
      </c>
      <c r="AK82" s="57">
        <f>+AK84-AK97</f>
        <v>6604.2000000000007</v>
      </c>
      <c r="AL82" s="57">
        <f>+AK82+AL66</f>
        <v>7231.4000000000005</v>
      </c>
      <c r="AM82" s="57">
        <f>+AL82+AM66</f>
        <v>8258.0400000000009</v>
      </c>
      <c r="AN82" s="57">
        <f>+AM82+AN66</f>
        <v>9132.6</v>
      </c>
      <c r="AO82" s="57">
        <f>+AN82+AO66</f>
        <v>10076.120000000001</v>
      </c>
      <c r="AP82" s="57">
        <f>+AO82+AP66</f>
        <v>10735.320000000002</v>
      </c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>
        <f t="shared" ref="BS82" si="250">+BS84-BS97</f>
        <v>-9920.7000000000007</v>
      </c>
      <c r="BT82" s="57">
        <f t="shared" ref="BT82" si="251">+BT84-BT97</f>
        <v>-9768.9999999999982</v>
      </c>
      <c r="BU82" s="57">
        <f>+BU84-BU97</f>
        <v>-9909.6000000000022</v>
      </c>
      <c r="BV82" s="57">
        <f>+BV84-BV97</f>
        <v>-9763.5</v>
      </c>
      <c r="BW82" s="57">
        <f>+BW84-BW97</f>
        <v>-11213.199999999999</v>
      </c>
      <c r="BX82" s="57">
        <f>+BW82+BX66</f>
        <v>-9188.194019499997</v>
      </c>
      <c r="BY82" s="57">
        <f t="shared" ref="BY82:CD82" si="252">+BX82+BY66</f>
        <v>-7193.692209812496</v>
      </c>
      <c r="BZ82" s="57">
        <f t="shared" si="252"/>
        <v>-5182.8023930078089</v>
      </c>
      <c r="CA82" s="57">
        <f t="shared" si="252"/>
        <v>-3243.8036263926915</v>
      </c>
      <c r="CB82" s="57">
        <f t="shared" si="252"/>
        <v>-1259.2383689387664</v>
      </c>
      <c r="CC82" s="57">
        <f t="shared" si="252"/>
        <v>856.70955838692703</v>
      </c>
      <c r="CD82" s="57">
        <f t="shared" si="252"/>
        <v>3183.9129700254198</v>
      </c>
      <c r="CE82" s="57"/>
      <c r="CF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DC82" s="55">
        <f>+BZ82</f>
        <v>-5182.8023930078089</v>
      </c>
      <c r="DD82" s="55">
        <f>+DC82+DD66</f>
        <v>2804.0954498569072</v>
      </c>
      <c r="DE82" s="55">
        <f t="shared" ref="DE82:DK82" si="253">+DD82+DE66</f>
        <v>18497.395901412132</v>
      </c>
      <c r="DF82" s="55">
        <f t="shared" si="253"/>
        <v>36515.220297612577</v>
      </c>
      <c r="DG82" s="55">
        <f t="shared" si="253"/>
        <v>57631.937237445061</v>
      </c>
      <c r="DH82" s="55">
        <f t="shared" si="253"/>
        <v>79461.030100457079</v>
      </c>
      <c r="DI82" s="55">
        <f t="shared" si="253"/>
        <v>101237.21567883433</v>
      </c>
      <c r="DJ82" s="55">
        <f t="shared" si="253"/>
        <v>122116.8156195175</v>
      </c>
      <c r="DK82" s="55">
        <f t="shared" si="253"/>
        <v>135027.77123342091</v>
      </c>
      <c r="DL82" s="53" t="s">
        <v>243</v>
      </c>
      <c r="DM82" s="73">
        <v>7.0000000000000007E-2</v>
      </c>
    </row>
    <row r="83" spans="2:117">
      <c r="DL83" s="53" t="s">
        <v>245</v>
      </c>
      <c r="DM83" s="57">
        <f>NPV(DM82,DD66:GK66)+Main!J5-Main!J6</f>
        <v>184139.96599511561</v>
      </c>
    </row>
    <row r="84" spans="2:117" s="55" customFormat="1">
      <c r="B84" s="55" t="s">
        <v>175</v>
      </c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>
        <f>5993.2+733.8+1779.5</f>
        <v>8506.5</v>
      </c>
      <c r="AE84" s="57">
        <f>6506.4+206.7+1898.7</f>
        <v>8611.7999999999993</v>
      </c>
      <c r="AF84" s="57">
        <f>6113.5+216.3+2943</f>
        <v>9272.7999999999993</v>
      </c>
      <c r="AG84" s="57">
        <f>6597.7+186.6+3219.6</f>
        <v>10003.9</v>
      </c>
      <c r="AH84" s="57">
        <f>5922.5+974.6+4029.8</f>
        <v>10926.900000000001</v>
      </c>
      <c r="AI84" s="57">
        <f>4122.2+802.4+4521.1</f>
        <v>9445.7000000000007</v>
      </c>
      <c r="AJ84" s="57">
        <f>4345.8+915.7+4547.6</f>
        <v>9809.1</v>
      </c>
      <c r="AK84" s="57">
        <f>5319.2+1580.7+5224.3</f>
        <v>12124.2</v>
      </c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>
        <f>3002.4+49+3232.4</f>
        <v>6283.8</v>
      </c>
      <c r="BT84" s="57">
        <f>3220+51.2+3474.9</f>
        <v>6746.1</v>
      </c>
      <c r="BU84" s="57">
        <f>3788.2+37.1+3350.5</f>
        <v>7175.7999999999993</v>
      </c>
      <c r="BV84" s="57">
        <f>3818.5+90.1+3212.6</f>
        <v>7121.2</v>
      </c>
      <c r="BW84" s="57">
        <f>2459.2+109.1+2727.3</f>
        <v>5295.6</v>
      </c>
      <c r="BX84" s="57"/>
      <c r="BY84" s="57"/>
      <c r="BZ84" s="57"/>
      <c r="CA84" s="57"/>
      <c r="CB84" s="57"/>
      <c r="CC84" s="57"/>
      <c r="CD84" s="57"/>
      <c r="CE84" s="57"/>
      <c r="CF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DL84" s="70" t="s">
        <v>267</v>
      </c>
      <c r="DM84" s="75">
        <f>+DM83/Main!J3</f>
        <v>193.79899328583781</v>
      </c>
    </row>
    <row r="85" spans="2:117" s="55" customFormat="1">
      <c r="B85" s="56" t="s">
        <v>288</v>
      </c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>
        <v>3493.8</v>
      </c>
      <c r="AE85" s="57">
        <v>3694.3</v>
      </c>
      <c r="AF85" s="57">
        <v>3833.6</v>
      </c>
      <c r="AG85" s="57">
        <v>3533.2</v>
      </c>
      <c r="AH85" s="57">
        <v>3597.7</v>
      </c>
      <c r="AI85" s="57">
        <v>3402.1</v>
      </c>
      <c r="AJ85" s="57">
        <v>3181.7</v>
      </c>
      <c r="AK85" s="57">
        <v>3268.2</v>
      </c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>
        <v>5592.8</v>
      </c>
      <c r="BT85" s="57">
        <v>5829.4</v>
      </c>
      <c r="BU85" s="57">
        <v>5914.3</v>
      </c>
      <c r="BV85" s="57">
        <v>6672.8</v>
      </c>
      <c r="BW85" s="57">
        <v>6322.5</v>
      </c>
      <c r="BX85" s="57"/>
      <c r="BY85" s="57"/>
      <c r="BZ85" s="57"/>
      <c r="CA85" s="57"/>
      <c r="CB85" s="57"/>
      <c r="CC85" s="57"/>
      <c r="CD85" s="57"/>
      <c r="CE85" s="57"/>
      <c r="CF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</row>
    <row r="86" spans="2:117" s="55" customFormat="1">
      <c r="B86" s="56" t="s">
        <v>289</v>
      </c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>
        <v>664.3</v>
      </c>
      <c r="AE86" s="57">
        <v>488.8</v>
      </c>
      <c r="AF86" s="57">
        <v>612.9</v>
      </c>
      <c r="AG86" s="57">
        <v>564.4</v>
      </c>
      <c r="AH86" s="57">
        <v>640.20000000000005</v>
      </c>
      <c r="AI86" s="57">
        <v>529.20000000000005</v>
      </c>
      <c r="AJ86" s="57">
        <v>590</v>
      </c>
      <c r="AK86" s="57">
        <v>527.29999999999995</v>
      </c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>
        <v>1065.8</v>
      </c>
      <c r="BT86" s="57">
        <v>1073.4000000000001</v>
      </c>
      <c r="BU86" s="57">
        <v>1110.7</v>
      </c>
      <c r="BV86" s="57">
        <v>1454.4</v>
      </c>
      <c r="BW86" s="57">
        <v>1483.2</v>
      </c>
      <c r="BX86" s="57"/>
      <c r="BY86" s="57"/>
      <c r="BZ86" s="57"/>
      <c r="CA86" s="57"/>
      <c r="CB86" s="57"/>
      <c r="CC86" s="57"/>
      <c r="CD86" s="57"/>
      <c r="CE86" s="57"/>
      <c r="CF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</row>
    <row r="87" spans="2:117" s="55" customFormat="1">
      <c r="B87" s="56" t="s">
        <v>290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>
        <v>2517.6999999999998</v>
      </c>
      <c r="AE87" s="57">
        <v>2767.2</v>
      </c>
      <c r="AF87" s="57">
        <v>2870.2</v>
      </c>
      <c r="AG87" s="57">
        <v>2513.3000000000002</v>
      </c>
      <c r="AH87" s="57">
        <v>2299.8000000000002</v>
      </c>
      <c r="AI87" s="57">
        <v>2424.1999999999998</v>
      </c>
      <c r="AJ87" s="57">
        <v>2320.8000000000002</v>
      </c>
      <c r="AK87" s="57">
        <v>2553.4</v>
      </c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>
        <v>3660.8</v>
      </c>
      <c r="BT87" s="57">
        <v>3824.9</v>
      </c>
      <c r="BU87" s="57">
        <v>3907.4</v>
      </c>
      <c r="BV87" s="57">
        <v>3886</v>
      </c>
      <c r="BW87" s="57">
        <v>3893</v>
      </c>
      <c r="BX87" s="57"/>
      <c r="BY87" s="57"/>
      <c r="BZ87" s="57"/>
      <c r="CA87" s="57"/>
      <c r="CB87" s="57"/>
      <c r="CC87" s="57"/>
      <c r="CD87" s="57"/>
      <c r="CE87" s="57"/>
      <c r="CF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</row>
    <row r="88" spans="2:117" s="55" customFormat="1">
      <c r="B88" s="56" t="s">
        <v>291</v>
      </c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>
        <v>828.3</v>
      </c>
      <c r="AE88" s="57">
        <v>550.1</v>
      </c>
      <c r="AF88" s="57">
        <v>436.5</v>
      </c>
      <c r="AG88" s="57">
        <v>378.4</v>
      </c>
      <c r="AH88" s="57">
        <v>158.5</v>
      </c>
      <c r="AI88" s="57">
        <v>324</v>
      </c>
      <c r="AJ88" s="57">
        <v>0</v>
      </c>
      <c r="AK88" s="57">
        <v>0</v>
      </c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>
        <v>3233.7</v>
      </c>
      <c r="BT88" s="57">
        <v>3296.6</v>
      </c>
      <c r="BU88" s="57">
        <v>3050.6</v>
      </c>
      <c r="BV88" s="57">
        <v>2530.6</v>
      </c>
      <c r="BW88" s="57">
        <v>2697.7</v>
      </c>
      <c r="BX88" s="57"/>
      <c r="BY88" s="57"/>
      <c r="BZ88" s="57"/>
      <c r="CA88" s="57"/>
      <c r="CB88" s="57"/>
      <c r="CC88" s="57"/>
      <c r="CD88" s="57"/>
      <c r="CE88" s="57"/>
      <c r="CF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</row>
    <row r="89" spans="2:117" s="55" customFormat="1">
      <c r="B89" s="56" t="s">
        <v>292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>
        <v>608.9</v>
      </c>
      <c r="AE89" s="57">
        <v>1140.8</v>
      </c>
      <c r="AF89" s="57">
        <v>867.3</v>
      </c>
      <c r="AG89" s="57">
        <v>799.1</v>
      </c>
      <c r="AH89" s="57">
        <v>654.9</v>
      </c>
      <c r="AI89" s="57">
        <v>998.5</v>
      </c>
      <c r="AJ89" s="57">
        <v>953.3</v>
      </c>
      <c r="AK89" s="57">
        <v>790.1</v>
      </c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</row>
    <row r="90" spans="2:117" s="55" customFormat="1">
      <c r="B90" s="56" t="s">
        <v>293</v>
      </c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>
        <v>4818.8</v>
      </c>
      <c r="AE90" s="57">
        <v>4731.3</v>
      </c>
      <c r="AF90" s="57">
        <v>4955.3999999999996</v>
      </c>
      <c r="AG90" s="57">
        <v>5221.8999999999996</v>
      </c>
      <c r="AH90" s="57">
        <v>5128.1000000000004</v>
      </c>
      <c r="AI90" s="57">
        <v>5266.7</v>
      </c>
      <c r="AJ90" s="57">
        <v>5142.8</v>
      </c>
      <c r="AK90" s="57">
        <v>5031.1000000000004</v>
      </c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>
        <f>3877.4+8087.8</f>
        <v>11965.2</v>
      </c>
      <c r="BT90" s="57">
        <f>3884.2+7985.4</f>
        <v>11869.599999999999</v>
      </c>
      <c r="BU90" s="57">
        <f>3884.1+7887.7</f>
        <v>11771.8</v>
      </c>
      <c r="BV90" s="57">
        <f>3892+7691.9</f>
        <v>11583.9</v>
      </c>
      <c r="BW90" s="57">
        <f>3892+7482.4</f>
        <v>11374.4</v>
      </c>
      <c r="BX90" s="57"/>
      <c r="BY90" s="57"/>
      <c r="BZ90" s="57"/>
      <c r="CA90" s="57"/>
      <c r="CB90" s="57"/>
      <c r="CC90" s="57"/>
      <c r="CD90" s="57"/>
      <c r="CE90" s="57"/>
      <c r="CF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</row>
    <row r="91" spans="2:117" s="55" customFormat="1">
      <c r="B91" s="56" t="s">
        <v>390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>
        <v>2649.9</v>
      </c>
      <c r="BT91" s="57">
        <v>2674.9</v>
      </c>
      <c r="BU91" s="57">
        <v>2625.6</v>
      </c>
      <c r="BV91" s="57">
        <v>2489.3000000000002</v>
      </c>
      <c r="BW91" s="57">
        <v>2464.9</v>
      </c>
      <c r="BX91" s="57"/>
      <c r="BY91" s="57"/>
      <c r="BZ91" s="57"/>
      <c r="CA91" s="57"/>
      <c r="CB91" s="57"/>
      <c r="CC91" s="57"/>
      <c r="CD91" s="57"/>
      <c r="CE91" s="57"/>
      <c r="CF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</row>
    <row r="92" spans="2:117" s="55" customFormat="1">
      <c r="B92" s="56" t="s">
        <v>294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>
        <v>1622.4</v>
      </c>
      <c r="AE92" s="57">
        <v>1743.3</v>
      </c>
      <c r="AF92" s="57">
        <v>1976.9</v>
      </c>
      <c r="AG92" s="57">
        <v>2215.8000000000002</v>
      </c>
      <c r="AH92" s="57">
        <v>2493.4</v>
      </c>
      <c r="AI92" s="57">
        <v>2093.1999999999998</v>
      </c>
      <c r="AJ92" s="57">
        <v>2195</v>
      </c>
      <c r="AK92" s="57">
        <v>2387.8000000000002</v>
      </c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>
        <v>0</v>
      </c>
      <c r="BT92" s="57">
        <v>0</v>
      </c>
      <c r="BU92" s="57">
        <v>0</v>
      </c>
      <c r="BV92" s="57">
        <v>0</v>
      </c>
      <c r="BW92" s="57">
        <v>0</v>
      </c>
      <c r="BX92" s="57"/>
      <c r="BY92" s="57"/>
      <c r="BZ92" s="57"/>
      <c r="CA92" s="57"/>
      <c r="CB92" s="57"/>
      <c r="CC92" s="57"/>
      <c r="CD92" s="57"/>
      <c r="CE92" s="57"/>
      <c r="CF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</row>
    <row r="93" spans="2:117" s="55" customFormat="1">
      <c r="B93" s="56" t="s">
        <v>295</v>
      </c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>
        <v>7940.7</v>
      </c>
      <c r="AE93" s="57">
        <v>7967.7</v>
      </c>
      <c r="AF93" s="57">
        <v>7953.7</v>
      </c>
      <c r="AG93" s="57">
        <v>7812.2</v>
      </c>
      <c r="AH93" s="57">
        <v>7760.3</v>
      </c>
      <c r="AI93" s="57">
        <v>7754.6</v>
      </c>
      <c r="AJ93" s="57">
        <v>7619.9</v>
      </c>
      <c r="AK93" s="57">
        <v>7638.9</v>
      </c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>
        <v>8630.1</v>
      </c>
      <c r="BT93" s="57">
        <v>8855.5</v>
      </c>
      <c r="BU93" s="57">
        <v>8920.4</v>
      </c>
      <c r="BV93" s="57">
        <v>8985.1</v>
      </c>
      <c r="BW93" s="57">
        <v>9102.7000000000007</v>
      </c>
      <c r="BX93" s="57"/>
      <c r="BY93" s="57"/>
      <c r="BZ93" s="57"/>
      <c r="CA93" s="57"/>
      <c r="CB93" s="57"/>
      <c r="CC93" s="57"/>
      <c r="CD93" s="57"/>
      <c r="CE93" s="57"/>
      <c r="CF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</row>
    <row r="94" spans="2:117" s="55" customFormat="1">
      <c r="B94" s="56" t="s">
        <v>391</v>
      </c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>
        <v>3756.2</v>
      </c>
      <c r="BT94" s="57">
        <v>3638.6</v>
      </c>
      <c r="BU94" s="57">
        <v>3710.4</v>
      </c>
      <c r="BV94" s="57">
        <v>4082.7</v>
      </c>
      <c r="BW94" s="57">
        <v>4285.3</v>
      </c>
      <c r="BX94" s="57"/>
      <c r="BY94" s="57"/>
      <c r="BZ94" s="57"/>
      <c r="CA94" s="57"/>
      <c r="CB94" s="57"/>
      <c r="CC94" s="57"/>
      <c r="CD94" s="57"/>
      <c r="CE94" s="57"/>
      <c r="CF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</row>
    <row r="95" spans="2:117" s="55" customFormat="1">
      <c r="B95" s="56" t="s">
        <v>296</v>
      </c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>
        <f>SUM(AD84:AD93)</f>
        <v>31001.4</v>
      </c>
      <c r="AE95" s="57">
        <f>SUM(AE84:AE93)</f>
        <v>31695.3</v>
      </c>
      <c r="AF95" s="57">
        <f t="shared" ref="AF95" si="254">SUM(AF84:AF93)</f>
        <v>32779.299999999996</v>
      </c>
      <c r="AG95" s="57">
        <f>SUM(AG84:AG93)</f>
        <v>33042.199999999997</v>
      </c>
      <c r="AH95" s="57">
        <f>SUM(AH84:AH93)</f>
        <v>33659.80000000001</v>
      </c>
      <c r="AI95" s="57">
        <f>SUM(AI84:AI93)</f>
        <v>32238.200000000004</v>
      </c>
      <c r="AJ95" s="57">
        <f>SUM(AJ84:AJ93)</f>
        <v>31812.6</v>
      </c>
      <c r="AK95" s="57">
        <f>SUM(AK84:AK93)</f>
        <v>34321</v>
      </c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>
        <f t="shared" ref="BS95" si="255">SUM(BS84:BS94)</f>
        <v>46838.299999999996</v>
      </c>
      <c r="BT95" s="57">
        <f t="shared" ref="BT95" si="256">SUM(BT84:BT94)</f>
        <v>47808.999999999993</v>
      </c>
      <c r="BU95" s="57">
        <f>SUM(BU84:BU94)</f>
        <v>48187</v>
      </c>
      <c r="BV95" s="57">
        <f>SUM(BV84:BV94)</f>
        <v>48806</v>
      </c>
      <c r="BW95" s="57">
        <f>SUM(BW84:BW94)</f>
        <v>46919.3</v>
      </c>
      <c r="BX95" s="57"/>
      <c r="BY95" s="57"/>
      <c r="BZ95" s="57"/>
      <c r="CA95" s="57"/>
      <c r="CB95" s="57"/>
      <c r="CC95" s="57"/>
      <c r="CD95" s="57"/>
      <c r="CE95" s="57"/>
      <c r="CF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</row>
    <row r="97" spans="2:102" s="55" customFormat="1">
      <c r="B97" s="56" t="s">
        <v>176</v>
      </c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>
        <f>156+6770.5</f>
        <v>6926.5</v>
      </c>
      <c r="AE97" s="57">
        <f>1539.9+5132.4</f>
        <v>6672.2999999999993</v>
      </c>
      <c r="AF97" s="57">
        <f>1528.5+5200.1</f>
        <v>6728.6</v>
      </c>
      <c r="AG97" s="57">
        <f>1628.7+5451.3</f>
        <v>7080</v>
      </c>
      <c r="AH97" s="57">
        <f>1522.3+5464.7</f>
        <v>6987</v>
      </c>
      <c r="AI97" s="57">
        <f>10.6+5403.2</f>
        <v>5413.8</v>
      </c>
      <c r="AJ97" s="57">
        <f>9.1+5500.2</f>
        <v>5509.3</v>
      </c>
      <c r="AK97" s="57">
        <f>9.1+5510.9</f>
        <v>5520</v>
      </c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>
        <f>4.9+16199.6</f>
        <v>16204.5</v>
      </c>
      <c r="BT97" s="57">
        <f>1778.5+14736.6</f>
        <v>16515.099999999999</v>
      </c>
      <c r="BU97" s="57">
        <f>1563+15522.4</f>
        <v>17085.400000000001</v>
      </c>
      <c r="BV97" s="57">
        <f>1538.3+15346.4</f>
        <v>16884.7</v>
      </c>
      <c r="BW97" s="57">
        <f>1355.9+15152.9</f>
        <v>16508.8</v>
      </c>
      <c r="BX97" s="57"/>
      <c r="BY97" s="57"/>
      <c r="BZ97" s="57"/>
      <c r="CA97" s="57"/>
      <c r="CB97" s="57"/>
      <c r="CC97" s="57"/>
      <c r="CD97" s="57"/>
      <c r="CE97" s="57"/>
      <c r="CF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</row>
    <row r="98" spans="2:102" s="55" customFormat="1">
      <c r="B98" s="56" t="s">
        <v>297</v>
      </c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>
        <v>1072.2</v>
      </c>
      <c r="AE98" s="57">
        <v>1183.2</v>
      </c>
      <c r="AF98" s="57">
        <v>1187.5999999999999</v>
      </c>
      <c r="AG98" s="57">
        <v>1154.3</v>
      </c>
      <c r="AH98" s="57">
        <v>1125.2</v>
      </c>
      <c r="AI98" s="57">
        <v>1246.3</v>
      </c>
      <c r="AJ98" s="57">
        <v>1201.5999999999999</v>
      </c>
      <c r="AK98" s="57">
        <v>1328.7</v>
      </c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>
        <v>1639.6</v>
      </c>
      <c r="BT98" s="57">
        <v>1597.8</v>
      </c>
      <c r="BU98" s="57">
        <v>1566.8</v>
      </c>
      <c r="BV98" s="57">
        <v>1670.6</v>
      </c>
      <c r="BW98" s="57">
        <v>1433.3</v>
      </c>
      <c r="BX98" s="57"/>
      <c r="BY98" s="57"/>
      <c r="BZ98" s="57"/>
      <c r="CA98" s="57"/>
      <c r="CB98" s="57"/>
      <c r="CC98" s="57"/>
      <c r="CD98" s="57"/>
      <c r="CE98" s="57"/>
      <c r="CF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</row>
    <row r="99" spans="2:102" s="55" customFormat="1">
      <c r="B99" s="56" t="s">
        <v>298</v>
      </c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>
        <v>851.8</v>
      </c>
      <c r="AE99" s="57">
        <v>524</v>
      </c>
      <c r="AF99" s="57">
        <v>584.70000000000005</v>
      </c>
      <c r="AG99" s="57">
        <v>689.3</v>
      </c>
      <c r="AH99" s="57">
        <v>804.7</v>
      </c>
      <c r="AI99" s="57">
        <v>533.79999999999995</v>
      </c>
      <c r="AJ99" s="57">
        <v>602.9</v>
      </c>
      <c r="AK99" s="57">
        <v>772.7</v>
      </c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>
        <v>649.9</v>
      </c>
      <c r="BT99" s="57">
        <v>755.5</v>
      </c>
      <c r="BU99" s="57">
        <v>836.6</v>
      </c>
      <c r="BV99" s="57">
        <v>958.1</v>
      </c>
      <c r="BW99" s="57">
        <v>693.1</v>
      </c>
      <c r="BX99" s="57"/>
      <c r="BY99" s="57"/>
      <c r="BZ99" s="57"/>
      <c r="CA99" s="57"/>
      <c r="CB99" s="57"/>
      <c r="CC99" s="57"/>
      <c r="CD99" s="57"/>
      <c r="CE99" s="57"/>
      <c r="CF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</row>
    <row r="100" spans="2:102" s="55" customFormat="1">
      <c r="B100" s="56" t="s">
        <v>299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>
        <v>1372.6</v>
      </c>
      <c r="AE100" s="57">
        <v>1489.5</v>
      </c>
      <c r="AF100" s="57">
        <v>1807.6</v>
      </c>
      <c r="AG100" s="57">
        <v>1882.3</v>
      </c>
      <c r="AH100" s="57">
        <v>1771.3</v>
      </c>
      <c r="AI100" s="57">
        <v>1619.8</v>
      </c>
      <c r="AJ100" s="57">
        <v>1628.6</v>
      </c>
      <c r="AK100" s="57">
        <v>1695.6</v>
      </c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>
        <v>5821.4</v>
      </c>
      <c r="BT100" s="57">
        <v>7035.8</v>
      </c>
      <c r="BU100" s="57">
        <v>7185.6</v>
      </c>
      <c r="BV100" s="57">
        <v>6845.8</v>
      </c>
      <c r="BW100" s="57">
        <v>6768.7</v>
      </c>
      <c r="BX100" s="57"/>
      <c r="BY100" s="57"/>
      <c r="BZ100" s="57"/>
      <c r="CA100" s="57"/>
      <c r="CB100" s="57"/>
      <c r="CC100" s="57"/>
      <c r="CD100" s="57"/>
      <c r="CE100" s="57"/>
      <c r="CF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</row>
    <row r="101" spans="2:102" s="55" customFormat="1">
      <c r="B101" s="56" t="s">
        <v>300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>
        <v>540</v>
      </c>
      <c r="AE101" s="57">
        <v>0</v>
      </c>
      <c r="AF101" s="57">
        <v>542.29999999999995</v>
      </c>
      <c r="AG101" s="57">
        <v>0</v>
      </c>
      <c r="AH101" s="57">
        <v>542.29999999999995</v>
      </c>
      <c r="AI101" s="57">
        <v>0</v>
      </c>
      <c r="AJ101" s="57">
        <v>543.6</v>
      </c>
      <c r="AK101" s="57">
        <v>0</v>
      </c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>
        <v>0</v>
      </c>
      <c r="BT101" s="57">
        <v>770.8</v>
      </c>
      <c r="BU101" s="57">
        <v>0</v>
      </c>
      <c r="BV101" s="57">
        <v>885.5</v>
      </c>
      <c r="BW101" s="57">
        <v>0</v>
      </c>
      <c r="BX101" s="57"/>
      <c r="BY101" s="57"/>
      <c r="BZ101" s="57"/>
      <c r="CA101" s="57"/>
      <c r="CB101" s="57"/>
      <c r="CC101" s="57"/>
      <c r="CD101" s="57"/>
      <c r="CE101" s="57"/>
      <c r="CF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</row>
    <row r="102" spans="2:102" s="55" customFormat="1">
      <c r="B102" s="56" t="s">
        <v>82</v>
      </c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>
        <v>457.5</v>
      </c>
      <c r="AE102" s="57">
        <v>315.2</v>
      </c>
      <c r="AF102" s="57">
        <v>183.1</v>
      </c>
      <c r="AG102" s="57">
        <v>144.4</v>
      </c>
      <c r="AH102" s="57">
        <v>261.60000000000002</v>
      </c>
      <c r="AI102" s="57">
        <v>388.8</v>
      </c>
      <c r="AJ102" s="57">
        <v>33.5</v>
      </c>
      <c r="AK102" s="57">
        <v>338.2</v>
      </c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>
        <v>791.6</v>
      </c>
      <c r="BT102" s="57">
        <v>529.9</v>
      </c>
      <c r="BU102" s="57">
        <v>203.5</v>
      </c>
      <c r="BV102" s="57">
        <v>126.9</v>
      </c>
      <c r="BW102" s="57">
        <v>598.29999999999995</v>
      </c>
      <c r="BX102" s="57"/>
      <c r="BY102" s="57"/>
      <c r="BZ102" s="57"/>
      <c r="CA102" s="57"/>
      <c r="CB102" s="57"/>
      <c r="CC102" s="57"/>
      <c r="CD102" s="57"/>
      <c r="CE102" s="57"/>
      <c r="CF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</row>
    <row r="103" spans="2:102" s="55" customFormat="1">
      <c r="B103" s="56" t="s">
        <v>301</v>
      </c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>
        <v>2651.3</v>
      </c>
      <c r="AE103" s="57">
        <v>2600</v>
      </c>
      <c r="AF103" s="57">
        <v>2786.7</v>
      </c>
      <c r="AG103" s="57">
        <v>2720.3</v>
      </c>
      <c r="AH103" s="57">
        <v>2903.5</v>
      </c>
      <c r="AI103" s="57">
        <v>2754.4</v>
      </c>
      <c r="AJ103" s="57">
        <v>2590.4</v>
      </c>
      <c r="AK103" s="57">
        <v>2816.4</v>
      </c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>
        <v>2806.8</v>
      </c>
      <c r="BT103" s="57">
        <v>2624.9</v>
      </c>
      <c r="BU103" s="57">
        <v>2326.5</v>
      </c>
      <c r="BV103" s="57">
        <v>3027.5</v>
      </c>
      <c r="BW103" s="57">
        <v>2536.6999999999998</v>
      </c>
      <c r="BX103" s="57"/>
      <c r="BY103" s="57"/>
      <c r="BZ103" s="57"/>
      <c r="CA103" s="57"/>
      <c r="CB103" s="57"/>
      <c r="CC103" s="57"/>
      <c r="CD103" s="57"/>
      <c r="CE103" s="57"/>
      <c r="CF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</row>
    <row r="104" spans="2:102" s="55" customFormat="1">
      <c r="B104" s="56" t="s">
        <v>302</v>
      </c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>
        <v>1887.4</v>
      </c>
      <c r="AE104" s="57">
        <v>1866.4</v>
      </c>
      <c r="AF104" s="57">
        <v>1848.6</v>
      </c>
      <c r="AG104" s="57">
        <v>1805.9</v>
      </c>
      <c r="AH104" s="57">
        <v>3068.5</v>
      </c>
      <c r="AI104" s="57">
        <v>2766.5</v>
      </c>
      <c r="AJ104" s="57">
        <v>2714.5</v>
      </c>
      <c r="AK104" s="57">
        <v>2702.4</v>
      </c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>
        <v>3969.8</v>
      </c>
      <c r="BT104" s="57">
        <v>3918.5</v>
      </c>
      <c r="BU104" s="57">
        <v>3878.8</v>
      </c>
      <c r="BV104" s="57">
        <v>1954.1</v>
      </c>
      <c r="BW104" s="57">
        <v>1940.3</v>
      </c>
      <c r="BX104" s="57"/>
      <c r="BY104" s="57"/>
      <c r="BZ104" s="57"/>
      <c r="CA104" s="57"/>
      <c r="CB104" s="57"/>
      <c r="CC104" s="57"/>
      <c r="CD104" s="57"/>
      <c r="CE104" s="57"/>
      <c r="CF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</row>
    <row r="105" spans="2:102" s="55" customFormat="1">
      <c r="B105" s="56" t="s">
        <v>82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>
        <v>1234.8</v>
      </c>
      <c r="AE105" s="57">
        <v>1224.3</v>
      </c>
      <c r="AF105" s="57">
        <v>1283</v>
      </c>
      <c r="AG105" s="57">
        <v>1058.8</v>
      </c>
      <c r="AH105" s="57">
        <v>1086.3</v>
      </c>
      <c r="AI105" s="57">
        <v>1158.3</v>
      </c>
      <c r="AJ105" s="57">
        <v>1207.5</v>
      </c>
      <c r="AK105" s="57">
        <v>1275.0999999999999</v>
      </c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>
        <f>3917.5+2200.6</f>
        <v>6118.1</v>
      </c>
      <c r="BT105" s="57">
        <f>3738+1857.3</f>
        <v>5595.3</v>
      </c>
      <c r="BU105" s="57">
        <f>3768.5+1632.5</f>
        <v>5401</v>
      </c>
      <c r="BV105" s="57">
        <f>3920+1733.7</f>
        <v>5653.7</v>
      </c>
      <c r="BW105" s="57">
        <f>1286.1+3978.1</f>
        <v>5264.2</v>
      </c>
      <c r="BX105" s="57"/>
      <c r="BY105" s="57"/>
      <c r="BZ105" s="57"/>
      <c r="CA105" s="57"/>
      <c r="CB105" s="57"/>
      <c r="CC105" s="57"/>
      <c r="CD105" s="57"/>
      <c r="CE105" s="57"/>
      <c r="CF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</row>
    <row r="106" spans="2:102" s="55" customFormat="1">
      <c r="B106" s="56" t="s">
        <v>303</v>
      </c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>
        <v>1594.5</v>
      </c>
      <c r="AE106" s="57">
        <v>1886.2</v>
      </c>
      <c r="AF106" s="57">
        <v>1550.1</v>
      </c>
      <c r="AG106" s="57">
        <v>1449</v>
      </c>
      <c r="AH106" s="57">
        <v>1573.8</v>
      </c>
      <c r="AI106" s="57">
        <v>1533.9</v>
      </c>
      <c r="AJ106" s="57">
        <v>1472.8</v>
      </c>
      <c r="AK106" s="57">
        <v>1815</v>
      </c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>
        <v>1737.3</v>
      </c>
      <c r="BT106" s="57">
        <v>1801.9</v>
      </c>
      <c r="BU106" s="57">
        <v>1748.7</v>
      </c>
      <c r="BV106" s="57">
        <v>1644.3</v>
      </c>
      <c r="BW106" s="57">
        <v>1713.9</v>
      </c>
      <c r="BX106" s="57"/>
      <c r="BY106" s="57"/>
      <c r="BZ106" s="57"/>
      <c r="CA106" s="57"/>
      <c r="CB106" s="57"/>
      <c r="CC106" s="57"/>
      <c r="CD106" s="57"/>
      <c r="CE106" s="57"/>
      <c r="CF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</row>
    <row r="107" spans="2:102" s="55" customFormat="1">
      <c r="B107" s="56" t="s">
        <v>304</v>
      </c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>
        <v>12412.8</v>
      </c>
      <c r="AE107" s="57">
        <v>13934.2</v>
      </c>
      <c r="AF107" s="57">
        <v>14277</v>
      </c>
      <c r="AG107" s="57">
        <v>15057.9</v>
      </c>
      <c r="AH107" s="57">
        <v>13535.6</v>
      </c>
      <c r="AI107" s="57">
        <v>14822.6</v>
      </c>
      <c r="AJ107" s="57">
        <v>14307.9</v>
      </c>
      <c r="AK107" s="57">
        <v>16056.9</v>
      </c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>
        <v>7099.3</v>
      </c>
      <c r="BT107" s="57">
        <v>6663.5</v>
      </c>
      <c r="BU107" s="57">
        <v>7954.1</v>
      </c>
      <c r="BV107" s="57">
        <v>9154.7999999999993</v>
      </c>
      <c r="BW107" s="57">
        <v>9462</v>
      </c>
      <c r="BX107" s="57"/>
      <c r="BY107" s="57"/>
      <c r="BZ107" s="57"/>
      <c r="CA107" s="57"/>
      <c r="CB107" s="57"/>
      <c r="CC107" s="57"/>
      <c r="CD107" s="57"/>
      <c r="CE107" s="57"/>
      <c r="CF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</row>
    <row r="108" spans="2:102" s="55" customFormat="1">
      <c r="B108" s="56" t="s">
        <v>305</v>
      </c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>
        <f>SUM(AD97:AD107)</f>
        <v>31001.4</v>
      </c>
      <c r="AE108" s="57">
        <f>SUM(AE97:AE107)</f>
        <v>31695.3</v>
      </c>
      <c r="AF108" s="57">
        <f t="shared" ref="AF108" si="257">SUM(AF97:AF107)</f>
        <v>32779.300000000003</v>
      </c>
      <c r="AG108" s="57">
        <f>SUM(AG97:AG107)</f>
        <v>33042.199999999997</v>
      </c>
      <c r="AH108" s="57">
        <f>SUM(AH97:AH107)</f>
        <v>33659.799999999996</v>
      </c>
      <c r="AI108" s="57">
        <f>SUM(AI97:AI107)</f>
        <v>32238.199999999997</v>
      </c>
      <c r="AJ108" s="57">
        <f>SUM(AJ97:AJ107)</f>
        <v>31812.6</v>
      </c>
      <c r="AK108" s="57">
        <f>SUM(AK97:AK107)</f>
        <v>34321</v>
      </c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>
        <f t="shared" ref="BS108" si="258">SUM(BS97:BS107)</f>
        <v>46838.3</v>
      </c>
      <c r="BT108" s="57">
        <f t="shared" ref="BT108" si="259">SUM(BT97:BT107)</f>
        <v>47809.000000000007</v>
      </c>
      <c r="BU108" s="57">
        <f>SUM(BU97:BU107)</f>
        <v>48187</v>
      </c>
      <c r="BV108" s="57">
        <f>SUM(BV97:BV107)</f>
        <v>48806</v>
      </c>
      <c r="BW108" s="57">
        <f>SUM(BW97:BW107)</f>
        <v>46919.299999999996</v>
      </c>
      <c r="BX108" s="57"/>
      <c r="BY108" s="57"/>
      <c r="BZ108" s="57"/>
      <c r="CA108" s="57"/>
      <c r="CB108" s="57"/>
      <c r="CC108" s="57"/>
      <c r="CD108" s="57"/>
      <c r="CE108" s="57"/>
      <c r="CF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</row>
    <row r="110" spans="2:102">
      <c r="B110" s="56" t="s">
        <v>392</v>
      </c>
      <c r="BS110" s="57">
        <f>BS66</f>
        <v>1777.5000000000007</v>
      </c>
      <c r="BW110" s="57">
        <f>BW66</f>
        <v>2538.5</v>
      </c>
    </row>
    <row r="111" spans="2:102">
      <c r="B111" s="56" t="s">
        <v>393</v>
      </c>
      <c r="BS111" s="57">
        <v>1355.3</v>
      </c>
      <c r="BW111" s="57">
        <v>1902.9</v>
      </c>
    </row>
    <row r="112" spans="2:102">
      <c r="B112" s="56" t="s">
        <v>394</v>
      </c>
      <c r="BS112" s="57">
        <v>350.3</v>
      </c>
      <c r="BW112" s="57">
        <v>435.7</v>
      </c>
    </row>
    <row r="113" spans="2:102">
      <c r="B113" s="56" t="s">
        <v>390</v>
      </c>
      <c r="BS113" s="57">
        <v>-119.1</v>
      </c>
      <c r="BW113" s="57">
        <v>-506.6</v>
      </c>
    </row>
    <row r="114" spans="2:102">
      <c r="B114" s="56" t="s">
        <v>395</v>
      </c>
      <c r="BS114" s="57">
        <v>85.5</v>
      </c>
      <c r="BW114" s="57">
        <v>101</v>
      </c>
    </row>
    <row r="115" spans="2:102">
      <c r="B115" s="56" t="s">
        <v>396</v>
      </c>
      <c r="BS115" s="57">
        <v>-302.2</v>
      </c>
      <c r="BW115" s="57">
        <v>426.1</v>
      </c>
    </row>
    <row r="116" spans="2:102">
      <c r="B116" s="56" t="s">
        <v>397</v>
      </c>
      <c r="BS116" s="57">
        <v>299.3</v>
      </c>
      <c r="BW116" s="57">
        <v>153</v>
      </c>
    </row>
    <row r="117" spans="2:102">
      <c r="B117" s="56" t="s">
        <v>78</v>
      </c>
      <c r="BS117" s="57">
        <v>-102.8</v>
      </c>
      <c r="BW117" s="57">
        <v>-45.5</v>
      </c>
    </row>
    <row r="118" spans="2:102">
      <c r="B118" s="56" t="s">
        <v>398</v>
      </c>
      <c r="BS118" s="57">
        <v>131.1</v>
      </c>
      <c r="BW118" s="57">
        <v>32.6</v>
      </c>
    </row>
    <row r="119" spans="2:102" s="55" customFormat="1">
      <c r="B119" s="56" t="s">
        <v>306</v>
      </c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>
        <v>1176.0999999999999</v>
      </c>
      <c r="AF119" s="57">
        <f>3216.4-AE119</f>
        <v>2040.3000000000002</v>
      </c>
      <c r="AG119" s="57">
        <f>5289.8-AF119-AE119</f>
        <v>2073.4</v>
      </c>
      <c r="AH119" s="58">
        <f>7234.5-AG119-AF119-AE119</f>
        <v>1944.7000000000003</v>
      </c>
      <c r="AI119" s="58">
        <v>852.5</v>
      </c>
      <c r="AJ119" s="58">
        <f>2158.5-AI119</f>
        <v>1306</v>
      </c>
      <c r="AK119" s="57">
        <f>3702.8-AJ119-AI119</f>
        <v>1544.3000000000002</v>
      </c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>
        <f>SUM(BS111:BS118)</f>
        <v>1697.3999999999999</v>
      </c>
      <c r="BT119" s="57"/>
      <c r="BU119" s="57"/>
      <c r="BV119" s="57"/>
      <c r="BW119" s="57">
        <f>SUM(BW111:BW118)</f>
        <v>2499.1999999999998</v>
      </c>
      <c r="BX119" s="57"/>
      <c r="BY119" s="57"/>
      <c r="BZ119" s="57"/>
      <c r="CA119" s="57"/>
      <c r="CB119" s="57"/>
      <c r="CC119" s="57"/>
      <c r="CD119" s="57"/>
      <c r="CE119" s="57"/>
      <c r="CF119" s="57"/>
      <c r="CH119" s="57"/>
      <c r="CI119" s="57"/>
      <c r="CJ119" s="57"/>
      <c r="CK119" s="57"/>
      <c r="CL119" s="57"/>
      <c r="CM119" s="57"/>
      <c r="CN119" s="57"/>
      <c r="CO119" s="57">
        <v>7295.6</v>
      </c>
      <c r="CP119" s="57">
        <v>4335.5</v>
      </c>
      <c r="CQ119" s="57">
        <v>6856.8</v>
      </c>
      <c r="CR119" s="57"/>
      <c r="CS119" s="57"/>
      <c r="CT119" s="57"/>
      <c r="CU119" s="57"/>
      <c r="CV119" s="57"/>
      <c r="CW119" s="57"/>
      <c r="CX119" s="57"/>
    </row>
    <row r="120" spans="2:102">
      <c r="BS120" s="57"/>
    </row>
    <row r="121" spans="2:102">
      <c r="B121" s="56" t="s">
        <v>399</v>
      </c>
      <c r="BS121" s="57">
        <v>-300.3</v>
      </c>
      <c r="BW121" s="57">
        <v>-365.4</v>
      </c>
    </row>
    <row r="122" spans="2:102">
      <c r="B122" s="56" t="s">
        <v>396</v>
      </c>
      <c r="BS122" s="57">
        <f>4-19.4+284.8-291.5</f>
        <v>-22.099999999999966</v>
      </c>
      <c r="BW122" s="57">
        <f>26.7-14.6+81.4-116.7</f>
        <v>-23.200000000000003</v>
      </c>
    </row>
    <row r="123" spans="2:102">
      <c r="B123" s="56" t="s">
        <v>400</v>
      </c>
      <c r="BS123" s="57">
        <f>-747.4-191.8</f>
        <v>-939.2</v>
      </c>
      <c r="BW123" s="57">
        <v>-491.8</v>
      </c>
    </row>
    <row r="124" spans="2:102">
      <c r="B124" s="56" t="s">
        <v>78</v>
      </c>
      <c r="BS124" s="57">
        <v>-21.9</v>
      </c>
      <c r="BW124" s="57">
        <v>-133.4</v>
      </c>
    </row>
    <row r="125" spans="2:102">
      <c r="B125" s="56" t="s">
        <v>401</v>
      </c>
      <c r="BS125" s="57">
        <f>SUM(BS121:BS124)</f>
        <v>-1283.5</v>
      </c>
      <c r="BW125" s="57">
        <f>SUM(BW121:BW124)</f>
        <v>-1013.8</v>
      </c>
    </row>
    <row r="126" spans="2:102">
      <c r="BS126" s="57"/>
    </row>
    <row r="127" spans="2:102">
      <c r="B127" s="56" t="s">
        <v>300</v>
      </c>
      <c r="BS127" s="57">
        <v>-774.8</v>
      </c>
      <c r="BW127" s="57">
        <v>-885.5</v>
      </c>
    </row>
    <row r="128" spans="2:102">
      <c r="B128" s="56" t="s">
        <v>404</v>
      </c>
      <c r="BS128" s="57">
        <v>-3.7</v>
      </c>
      <c r="BW128" s="58">
        <f>499.7-710.1</f>
        <v>-210.40000000000003</v>
      </c>
    </row>
    <row r="129" spans="2:75">
      <c r="B129" s="59" t="s">
        <v>403</v>
      </c>
      <c r="BS129" s="57">
        <v>0</v>
      </c>
      <c r="BW129" s="57">
        <v>-1500</v>
      </c>
    </row>
    <row r="130" spans="2:75">
      <c r="B130" s="59" t="s">
        <v>78</v>
      </c>
      <c r="BS130" s="57">
        <v>-279.89999999999998</v>
      </c>
      <c r="BW130" s="57">
        <v>-282.39999999999998</v>
      </c>
    </row>
    <row r="131" spans="2:75">
      <c r="B131" s="59" t="s">
        <v>402</v>
      </c>
      <c r="BS131" s="57">
        <f>SUM(BS127:BS130)</f>
        <v>-1058.4000000000001</v>
      </c>
      <c r="BW131" s="57">
        <f>SUM(BW127:BW130)</f>
        <v>-2878.3</v>
      </c>
    </row>
    <row r="133" spans="2:75">
      <c r="B133" s="59" t="s">
        <v>405</v>
      </c>
      <c r="BS133" s="57">
        <v>-10.199999999999999</v>
      </c>
      <c r="BW133" s="57">
        <v>33.6</v>
      </c>
    </row>
    <row r="134" spans="2:75">
      <c r="B134" s="59" t="s">
        <v>406</v>
      </c>
      <c r="BS134" s="57">
        <f>+BS133+BS131+BS125+BS119</f>
        <v>-654.7000000000005</v>
      </c>
      <c r="BW134" s="57">
        <f>+BW133+BW131+BW125+BW119</f>
        <v>-1359.3000000000002</v>
      </c>
    </row>
    <row r="136" spans="2:75">
      <c r="B136" s="91" t="s">
        <v>505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>
      <c r="A1" s="17" t="s">
        <v>6</v>
      </c>
    </row>
    <row r="2" spans="1:5">
      <c r="B2" s="1" t="s">
        <v>50</v>
      </c>
      <c r="C2" s="1" t="s">
        <v>7</v>
      </c>
    </row>
    <row r="3" spans="1:5">
      <c r="B3" s="1" t="s">
        <v>48</v>
      </c>
      <c r="C3" s="1" t="s">
        <v>85</v>
      </c>
    </row>
    <row r="4" spans="1:5">
      <c r="B4" s="1" t="s">
        <v>3</v>
      </c>
      <c r="C4" s="1" t="s">
        <v>86</v>
      </c>
    </row>
    <row r="5" spans="1:5">
      <c r="B5" s="1" t="s">
        <v>1</v>
      </c>
      <c r="C5" s="1" t="s">
        <v>87</v>
      </c>
    </row>
    <row r="6" spans="1:5">
      <c r="B6" s="1" t="s">
        <v>4</v>
      </c>
      <c r="C6" s="1" t="s">
        <v>88</v>
      </c>
    </row>
    <row r="7" spans="1:5">
      <c r="C7" s="1" t="s">
        <v>8</v>
      </c>
    </row>
    <row r="8" spans="1:5">
      <c r="C8" s="1" t="s">
        <v>29</v>
      </c>
    </row>
    <row r="9" spans="1:5">
      <c r="C9" s="1" t="s">
        <v>30</v>
      </c>
    </row>
    <row r="12" spans="1:5">
      <c r="B12" s="1" t="s">
        <v>165</v>
      </c>
      <c r="C12" s="19"/>
      <c r="D12" s="19" t="s">
        <v>166</v>
      </c>
      <c r="E12" s="19" t="s">
        <v>167</v>
      </c>
    </row>
    <row r="13" spans="1:5">
      <c r="C13" s="48">
        <v>40165</v>
      </c>
      <c r="D13" s="40">
        <v>117723</v>
      </c>
      <c r="E13" s="40">
        <v>53829</v>
      </c>
    </row>
    <row r="14" spans="1:5">
      <c r="C14" s="48">
        <f t="shared" ref="C14:C20" si="0">C13-7</f>
        <v>40158</v>
      </c>
      <c r="D14" s="40">
        <v>116406</v>
      </c>
      <c r="E14" s="40">
        <v>52891</v>
      </c>
    </row>
    <row r="15" spans="1:5">
      <c r="C15" s="48">
        <f t="shared" si="0"/>
        <v>40151</v>
      </c>
      <c r="D15" s="40">
        <v>128647</v>
      </c>
      <c r="E15" s="40">
        <v>56775</v>
      </c>
    </row>
    <row r="16" spans="1:5">
      <c r="C16" s="48">
        <f t="shared" si="0"/>
        <v>40144</v>
      </c>
      <c r="D16" s="40">
        <v>104242</v>
      </c>
      <c r="E16" s="40">
        <v>44896</v>
      </c>
    </row>
    <row r="17" spans="3:5">
      <c r="C17" s="48">
        <f t="shared" si="0"/>
        <v>40137</v>
      </c>
      <c r="D17" s="40">
        <v>116685</v>
      </c>
      <c r="E17" s="40">
        <v>53770</v>
      </c>
    </row>
    <row r="18" spans="3:5">
      <c r="C18" s="48">
        <f t="shared" si="0"/>
        <v>40130</v>
      </c>
      <c r="D18" s="40">
        <v>113476</v>
      </c>
      <c r="E18" s="40">
        <v>51112</v>
      </c>
    </row>
    <row r="19" spans="3:5">
      <c r="C19" s="48">
        <f t="shared" si="0"/>
        <v>40123</v>
      </c>
      <c r="D19" s="40">
        <v>122441</v>
      </c>
      <c r="E19" s="40">
        <v>54445</v>
      </c>
    </row>
    <row r="20" spans="3:5">
      <c r="C20" s="48">
        <f t="shared" si="0"/>
        <v>40116</v>
      </c>
      <c r="D20" s="40">
        <v>114922</v>
      </c>
      <c r="E20" s="40">
        <v>51865</v>
      </c>
    </row>
    <row r="21" spans="3:5">
      <c r="C21" s="48">
        <v>39234</v>
      </c>
      <c r="D21" s="40">
        <v>118958</v>
      </c>
      <c r="E21" s="40">
        <v>50496</v>
      </c>
    </row>
    <row r="22" spans="3:5">
      <c r="C22" s="48">
        <f>C21-7</f>
        <v>39227</v>
      </c>
      <c r="D22" s="40">
        <v>123390</v>
      </c>
      <c r="E22" s="40">
        <v>53736</v>
      </c>
    </row>
    <row r="23" spans="3:5">
      <c r="C23" s="48">
        <f>C21-365</f>
        <v>38869</v>
      </c>
      <c r="D23" s="40">
        <v>132085</v>
      </c>
      <c r="E23" s="40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/>
  <cols>
    <col min="1" max="1" width="6.140625" customWidth="1"/>
    <col min="2" max="2" width="12" bestFit="1" customWidth="1"/>
  </cols>
  <sheetData>
    <row r="1" spans="1:3">
      <c r="A1" s="15" t="s">
        <v>6</v>
      </c>
    </row>
    <row r="2" spans="1:3">
      <c r="B2" t="s">
        <v>50</v>
      </c>
      <c r="C2" t="s">
        <v>14</v>
      </c>
    </row>
    <row r="3" spans="1:3">
      <c r="B3" t="s">
        <v>3</v>
      </c>
      <c r="C3" t="s">
        <v>233</v>
      </c>
    </row>
    <row r="4" spans="1:3">
      <c r="B4" t="s">
        <v>2</v>
      </c>
      <c r="C4" t="s">
        <v>282</v>
      </c>
    </row>
    <row r="5" spans="1:3">
      <c r="B5" t="s">
        <v>92</v>
      </c>
    </row>
    <row r="6" spans="1:3">
      <c r="C6" s="23" t="s">
        <v>234</v>
      </c>
    </row>
    <row r="7" spans="1:3">
      <c r="C7" t="s">
        <v>235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/>
  <cols>
    <col min="1" max="1" width="5" style="1" bestFit="1" customWidth="1"/>
    <col min="2" max="2" width="12.28515625" style="1" customWidth="1"/>
    <col min="3" max="16384" width="9.140625" style="1"/>
  </cols>
  <sheetData>
    <row r="1" spans="1:8">
      <c r="A1" s="17" t="s">
        <v>6</v>
      </c>
    </row>
    <row r="2" spans="1:8">
      <c r="A2" s="17"/>
      <c r="B2" s="1" t="s">
        <v>50</v>
      </c>
      <c r="C2" s="1" t="s">
        <v>15</v>
      </c>
    </row>
    <row r="3" spans="1:8">
      <c r="A3" s="17"/>
    </row>
    <row r="4" spans="1:8">
      <c r="B4" s="1" t="s">
        <v>9</v>
      </c>
    </row>
    <row r="5" spans="1:8">
      <c r="B5" s="1" t="s">
        <v>10</v>
      </c>
    </row>
    <row r="6" spans="1:8">
      <c r="B6" s="1" t="s">
        <v>11</v>
      </c>
    </row>
    <row r="8" spans="1:8">
      <c r="B8" s="1" t="s">
        <v>31</v>
      </c>
    </row>
    <row r="9" spans="1:8">
      <c r="B9" s="1" t="s">
        <v>32</v>
      </c>
    </row>
    <row r="11" spans="1:8">
      <c r="B11" s="34">
        <v>38338</v>
      </c>
    </row>
    <row r="12" spans="1:8">
      <c r="B12" s="1" t="s">
        <v>44</v>
      </c>
    </row>
    <row r="13" spans="1:8">
      <c r="B13" s="1" t="s">
        <v>42</v>
      </c>
    </row>
    <row r="14" spans="1:8">
      <c r="B14" s="1" t="s">
        <v>43</v>
      </c>
    </row>
    <row r="16" spans="1:8">
      <c r="C16" s="19">
        <v>2004</v>
      </c>
      <c r="D16" s="19">
        <v>2005</v>
      </c>
      <c r="E16" s="19">
        <v>2006</v>
      </c>
      <c r="F16" s="19">
        <v>2007</v>
      </c>
      <c r="G16" s="19">
        <v>2008</v>
      </c>
      <c r="H16" s="19"/>
    </row>
    <row r="17" spans="2:8">
      <c r="B17" s="1" t="s">
        <v>45</v>
      </c>
      <c r="C17" s="19">
        <v>660</v>
      </c>
      <c r="D17" s="19">
        <v>810</v>
      </c>
      <c r="E17" s="19"/>
      <c r="F17" s="19"/>
      <c r="G17" s="19">
        <v>1200</v>
      </c>
      <c r="H17" s="19"/>
    </row>
    <row r="18" spans="2:8">
      <c r="C18" s="19"/>
      <c r="D18" s="19"/>
      <c r="E18" s="19"/>
      <c r="F18" s="19"/>
      <c r="G18" s="19"/>
      <c r="H18" s="19"/>
    </row>
    <row r="19" spans="2:8">
      <c r="C19" s="19" t="s">
        <v>3</v>
      </c>
      <c r="D19" s="19" t="s">
        <v>89</v>
      </c>
      <c r="E19" s="19"/>
      <c r="F19" s="19"/>
      <c r="G19" s="19"/>
      <c r="H19" s="19"/>
    </row>
    <row r="20" spans="2:8">
      <c r="C20" s="19"/>
      <c r="D20" s="19"/>
      <c r="E20" s="19"/>
      <c r="F20" s="19"/>
      <c r="G20" s="19"/>
      <c r="H20" s="19"/>
    </row>
    <row r="21" spans="2:8">
      <c r="C21" s="19"/>
      <c r="D21" s="19"/>
      <c r="E21" s="19"/>
      <c r="F21" s="19"/>
      <c r="G21" s="19"/>
      <c r="H21" s="19"/>
    </row>
    <row r="22" spans="2:8">
      <c r="C22" s="19"/>
      <c r="D22" s="19"/>
      <c r="E22" s="19"/>
      <c r="F22" s="19"/>
      <c r="G22" s="19"/>
      <c r="H22" s="19"/>
    </row>
    <row r="23" spans="2:8">
      <c r="C23" s="19"/>
      <c r="D23" s="19"/>
      <c r="E23" s="19"/>
      <c r="F23" s="19"/>
      <c r="G23" s="19"/>
      <c r="H23" s="19"/>
    </row>
    <row r="24" spans="2:8">
      <c r="C24" s="19"/>
      <c r="D24" s="19" t="s">
        <v>166</v>
      </c>
      <c r="E24" s="19" t="s">
        <v>167</v>
      </c>
      <c r="F24" s="19"/>
      <c r="G24" s="19"/>
      <c r="H24" s="19"/>
    </row>
    <row r="25" spans="2:8">
      <c r="B25" s="1" t="s">
        <v>165</v>
      </c>
      <c r="C25" s="35">
        <v>39234</v>
      </c>
      <c r="D25" s="20">
        <v>62826</v>
      </c>
      <c r="E25" s="20">
        <v>31426</v>
      </c>
      <c r="F25" s="19"/>
    </row>
    <row r="26" spans="2:8">
      <c r="C26" s="35">
        <f>C25-7</f>
        <v>39227</v>
      </c>
      <c r="D26" s="20">
        <v>69314</v>
      </c>
      <c r="E26" s="20">
        <v>35541</v>
      </c>
      <c r="F26" s="19"/>
    </row>
    <row r="27" spans="2:8">
      <c r="C27" s="35">
        <v>38869</v>
      </c>
      <c r="D27" s="20">
        <v>70448</v>
      </c>
      <c r="E27" s="20">
        <v>34206</v>
      </c>
      <c r="F27" s="19"/>
    </row>
    <row r="28" spans="2:8">
      <c r="C28" s="19"/>
      <c r="D28" s="19"/>
      <c r="E28" s="19"/>
      <c r="F28" s="19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5" t="s">
        <v>6</v>
      </c>
    </row>
    <row r="2" spans="1:3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5" t="s">
        <v>6</v>
      </c>
    </row>
    <row r="2" spans="1:3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5" t="s">
        <v>6</v>
      </c>
    </row>
    <row r="2" spans="1:3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2022-08-02T14:04:36Z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