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E898B20-477A-4264-81FC-56C2326E8EB9}" xr6:coauthVersionLast="47" xr6:coauthVersionMax="47" xr10:uidLastSave="{00000000-0000-0000-0000-000000000000}"/>
  <bookViews>
    <workbookView xWindow="8505" yWindow="3045" windowWidth="17760" windowHeight="11475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Herceptin" sheetId="118" r:id="rId11"/>
    <sheet name="Pegasys" sheetId="119" r:id="rId12"/>
    <sheet name="Xeloda" sheetId="127" r:id="rId13"/>
    <sheet name="Actemra" sheetId="112" r:id="rId14"/>
    <sheet name="Lucentis" sheetId="123" r:id="rId15"/>
    <sheet name="Tarceva" sheetId="122" r:id="rId16"/>
    <sheet name="R1626" sheetId="114" r:id="rId17"/>
    <sheet name="pertuzumab" sheetId="117" r:id="rId18"/>
    <sheet name="dalcetrapib" sheetId="111" r:id="rId19"/>
    <sheet name="taspoglutide" sheetId="116" r:id="rId20"/>
    <sheet name="Mircera" sheetId="102" r:id="rId21"/>
    <sheet name="aleglitazar" sheetId="120" r:id="rId22"/>
    <sheet name="Failures" sheetId="125" r:id="rId23"/>
    <sheet name="ocrelizumab" sheetId="126" r:id="rId24"/>
    <sheet name="Kadcyla" sheetId="130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100" i="99" l="1"/>
  <c r="ED94" i="99"/>
  <c r="EC90" i="99"/>
  <c r="EC91" i="99"/>
  <c r="ED91" i="99"/>
  <c r="ED90" i="99"/>
  <c r="ED89" i="99"/>
  <c r="ED88" i="99"/>
  <c r="ED87" i="99"/>
  <c r="ED86" i="99"/>
  <c r="ED85" i="99"/>
  <c r="ED84" i="99"/>
  <c r="EC84" i="99"/>
  <c r="EC72" i="99"/>
  <c r="EC70" i="99"/>
  <c r="EC65" i="99"/>
  <c r="ED78" i="99"/>
  <c r="ED76" i="99"/>
  <c r="ED72" i="99"/>
  <c r="ED74" i="99" s="1"/>
  <c r="ED71" i="99"/>
  <c r="ED70" i="99"/>
  <c r="ED65" i="99"/>
  <c r="ED62" i="99"/>
  <c r="EC62" i="99"/>
  <c r="EC61" i="99"/>
  <c r="EC3" i="99"/>
  <c r="ED3" i="99"/>
  <c r="ED61" i="99"/>
  <c r="ED15" i="99"/>
  <c r="EC15" i="99"/>
  <c r="K5" i="101"/>
  <c r="ED2" i="99"/>
  <c r="EE2" i="99" s="1"/>
  <c r="EF2" i="99" s="1"/>
  <c r="EG2" i="99" s="1"/>
  <c r="EH2" i="99" s="1"/>
  <c r="EI2" i="99" s="1"/>
  <c r="EJ2" i="99" s="1"/>
  <c r="EK2" i="99" s="1"/>
  <c r="EL2" i="99" s="1"/>
  <c r="EM2" i="99" s="1"/>
  <c r="EN2" i="99" s="1"/>
  <c r="CZ3" i="99"/>
  <c r="DQ15" i="99" l="1"/>
  <c r="DR15" i="99"/>
  <c r="DU15" i="99"/>
  <c r="DV15" i="99"/>
  <c r="DV58" i="99" l="1"/>
  <c r="DU58" i="99"/>
  <c r="DV10" i="99"/>
  <c r="DW10" i="99" s="1"/>
  <c r="DX10" i="99" s="1"/>
  <c r="DY10" i="99" s="1"/>
  <c r="DZ10" i="99" s="1"/>
  <c r="EA10" i="99" s="1"/>
  <c r="DU10" i="99"/>
  <c r="DV57" i="99"/>
  <c r="DW57" i="99" s="1"/>
  <c r="DX57" i="99" s="1"/>
  <c r="DY57" i="99" s="1"/>
  <c r="DZ57" i="99" s="1"/>
  <c r="EA57" i="99" s="1"/>
  <c r="DU57" i="99"/>
  <c r="DV56" i="99"/>
  <c r="DU56" i="99"/>
  <c r="DV55" i="99"/>
  <c r="DU55" i="99"/>
  <c r="DV54" i="99"/>
  <c r="DU54" i="99"/>
  <c r="DV53" i="99"/>
  <c r="DU53" i="99"/>
  <c r="DV52" i="99"/>
  <c r="DU52" i="99"/>
  <c r="DV51" i="99"/>
  <c r="DU51" i="99"/>
  <c r="DV50" i="99"/>
  <c r="DU50" i="99"/>
  <c r="DV49" i="99"/>
  <c r="DU49" i="99"/>
  <c r="DV48" i="99"/>
  <c r="DW48" i="99" s="1"/>
  <c r="DX48" i="99" s="1"/>
  <c r="DY48" i="99" s="1"/>
  <c r="DZ48" i="99" s="1"/>
  <c r="EA48" i="99" s="1"/>
  <c r="DU48" i="99"/>
  <c r="DV47" i="99"/>
  <c r="DU47" i="99"/>
  <c r="DV22" i="99"/>
  <c r="DU22" i="99"/>
  <c r="DV27" i="99"/>
  <c r="DU27" i="99"/>
  <c r="DV45" i="99"/>
  <c r="DU45" i="99"/>
  <c r="DV44" i="99"/>
  <c r="DW44" i="99" s="1"/>
  <c r="DX44" i="99" s="1"/>
  <c r="DY44" i="99" s="1"/>
  <c r="DZ44" i="99" s="1"/>
  <c r="EA44" i="99" s="1"/>
  <c r="EB44" i="99" s="1"/>
  <c r="DU44" i="99"/>
  <c r="DV19" i="99"/>
  <c r="DU19" i="99"/>
  <c r="DV28" i="99"/>
  <c r="DU28" i="99"/>
  <c r="DV43" i="99"/>
  <c r="DU43" i="99"/>
  <c r="DV13" i="99"/>
  <c r="DU13" i="99"/>
  <c r="DV41" i="99"/>
  <c r="DU41" i="99"/>
  <c r="DV40" i="99"/>
  <c r="DU40" i="99"/>
  <c r="DV39" i="99"/>
  <c r="DU39" i="99"/>
  <c r="DV38" i="99"/>
  <c r="DU38" i="99"/>
  <c r="DV21" i="99"/>
  <c r="DU21" i="99"/>
  <c r="DV16" i="99"/>
  <c r="DU16" i="99"/>
  <c r="DU14" i="99"/>
  <c r="DT56" i="99"/>
  <c r="DT55" i="99"/>
  <c r="DT54" i="99"/>
  <c r="DT53" i="99"/>
  <c r="DT52" i="99"/>
  <c r="DT51" i="99"/>
  <c r="DT50" i="99"/>
  <c r="DT49" i="99"/>
  <c r="DV14" i="99"/>
  <c r="DR14" i="99"/>
  <c r="DQ14" i="99"/>
  <c r="DN14" i="99"/>
  <c r="DM14" i="99"/>
  <c r="DS84" i="99" l="1"/>
  <c r="DT72" i="99"/>
  <c r="DT70" i="99"/>
  <c r="DT8" i="99"/>
  <c r="DT7" i="99"/>
  <c r="DT6" i="99"/>
  <c r="DT5" i="99"/>
  <c r="DT4" i="99"/>
  <c r="DT47" i="99"/>
  <c r="DW47" i="99" s="1"/>
  <c r="DX47" i="99" s="1"/>
  <c r="DY47" i="99" s="1"/>
  <c r="DZ47" i="99" s="1"/>
  <c r="EA47" i="99" s="1"/>
  <c r="EB47" i="99" s="1"/>
  <c r="DT46" i="99"/>
  <c r="BK61" i="99"/>
  <c r="BK62" i="99" s="1"/>
  <c r="BJ61" i="99"/>
  <c r="BJ62" i="99" s="1"/>
  <c r="BH61" i="99"/>
  <c r="V13" i="99"/>
  <c r="V47" i="99"/>
  <c r="V46" i="99"/>
  <c r="BG61" i="99"/>
  <c r="BG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BI41" i="99"/>
  <c r="DT41" i="99" s="1"/>
  <c r="BH62" i="99" l="1"/>
  <c r="BG117" i="99"/>
  <c r="BH117" i="99"/>
  <c r="BK117" i="99"/>
  <c r="BG118" i="99"/>
  <c r="BH118" i="99"/>
  <c r="BK118" i="99"/>
  <c r="BI48" i="99"/>
  <c r="BI13" i="99"/>
  <c r="DT13" i="99" s="1"/>
  <c r="U47" i="99"/>
  <c r="BI22" i="99"/>
  <c r="BI27" i="99"/>
  <c r="BI45" i="99"/>
  <c r="BI44" i="99"/>
  <c r="DT44" i="99" s="1"/>
  <c r="BI19" i="99"/>
  <c r="BI43" i="99"/>
  <c r="BI42" i="99"/>
  <c r="U41" i="99"/>
  <c r="BI40" i="99"/>
  <c r="BI39" i="99"/>
  <c r="BI38" i="99"/>
  <c r="BI28" i="99"/>
  <c r="BI21" i="99"/>
  <c r="BI16" i="99"/>
  <c r="BI15" i="99"/>
  <c r="DT15" i="99" s="1"/>
  <c r="BI14" i="99"/>
  <c r="DT14" i="99" s="1"/>
  <c r="BK3" i="99"/>
  <c r="BJ3" i="99"/>
  <c r="BH3" i="99"/>
  <c r="U15" i="99" l="1"/>
  <c r="W15" i="99" s="1"/>
  <c r="DW15" i="99"/>
  <c r="DX15" i="99" s="1"/>
  <c r="DY15" i="99" s="1"/>
  <c r="DZ15" i="99" s="1"/>
  <c r="EA15" i="99" s="1"/>
  <c r="EB15" i="99" s="1"/>
  <c r="U38" i="99"/>
  <c r="DT38" i="99"/>
  <c r="U45" i="99"/>
  <c r="DT45" i="99"/>
  <c r="U13" i="99"/>
  <c r="U16" i="99"/>
  <c r="W16" i="99" s="1"/>
  <c r="DT16" i="99"/>
  <c r="DW16" i="99" s="1"/>
  <c r="DX16" i="99" s="1"/>
  <c r="DY16" i="99" s="1"/>
  <c r="DZ16" i="99" s="1"/>
  <c r="EA16" i="99" s="1"/>
  <c r="EB16" i="99" s="1"/>
  <c r="U43" i="99"/>
  <c r="DT43" i="99"/>
  <c r="U21" i="99"/>
  <c r="DT21" i="99"/>
  <c r="U40" i="99"/>
  <c r="DT40" i="99"/>
  <c r="U19" i="99"/>
  <c r="DT19" i="99"/>
  <c r="U22" i="99"/>
  <c r="DT22" i="99"/>
  <c r="U44" i="99"/>
  <c r="U42" i="99"/>
  <c r="DT42" i="99"/>
  <c r="U39" i="99"/>
  <c r="DT39" i="99"/>
  <c r="U27" i="99"/>
  <c r="DT27" i="99"/>
  <c r="U48" i="99"/>
  <c r="V48" i="99" s="1"/>
  <c r="V62" i="99" s="1"/>
  <c r="DT48" i="99"/>
  <c r="U14" i="99"/>
  <c r="W14" i="99" s="1"/>
  <c r="BI61" i="99"/>
  <c r="DT61" i="99" s="1"/>
  <c r="U28" i="99"/>
  <c r="DT28" i="99"/>
  <c r="U46" i="99"/>
  <c r="DW61" i="99" l="1"/>
  <c r="DX61" i="99" s="1"/>
  <c r="DY61" i="99" s="1"/>
  <c r="DZ61" i="99" s="1"/>
  <c r="EA61" i="99" s="1"/>
  <c r="EB61" i="99" s="1"/>
  <c r="BI62" i="99"/>
  <c r="U62" i="99"/>
  <c r="BI3" i="99"/>
  <c r="DT3" i="99" s="1"/>
  <c r="DT62" i="99" s="1"/>
  <c r="DT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2" i="115"/>
  <c r="AC42" i="115" s="1"/>
  <c r="D43" i="115"/>
  <c r="E43" i="115"/>
  <c r="F43" i="115"/>
  <c r="G43" i="115"/>
  <c r="H43" i="115"/>
  <c r="I43" i="115"/>
  <c r="J43" i="115"/>
  <c r="K43" i="115"/>
  <c r="L43" i="115"/>
  <c r="M43" i="115"/>
  <c r="N43" i="115"/>
  <c r="O43" i="115"/>
  <c r="P43" i="115"/>
  <c r="Q43" i="115"/>
  <c r="R43" i="115"/>
  <c r="S43" i="115"/>
  <c r="T43" i="115"/>
  <c r="Y44" i="115"/>
  <c r="Z44" i="115"/>
  <c r="AA44" i="115"/>
  <c r="Y45" i="115"/>
  <c r="Z45" i="115"/>
  <c r="AA45" i="115"/>
  <c r="Y46" i="115"/>
  <c r="Z46" i="115"/>
  <c r="AA46" i="115"/>
  <c r="C12" i="124"/>
  <c r="C13" i="124"/>
  <c r="C14" i="124"/>
  <c r="C15" i="124"/>
  <c r="C16" i="124"/>
  <c r="DQ2" i="99"/>
  <c r="DR2" i="99" s="1"/>
  <c r="DS2" i="99" s="1"/>
  <c r="DT2" i="99" s="1"/>
  <c r="DU2" i="99" s="1"/>
  <c r="DV2" i="99" s="1"/>
  <c r="DW2" i="99" s="1"/>
  <c r="DX2" i="99" s="1"/>
  <c r="DY2" i="99" s="1"/>
  <c r="DZ2" i="99" s="1"/>
  <c r="EA2" i="99" s="1"/>
  <c r="EB2" i="99" s="1"/>
  <c r="EC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B28" i="99"/>
  <c r="DR28" i="99" s="1"/>
  <c r="BB38" i="99"/>
  <c r="DR38" i="99" s="1"/>
  <c r="BB39" i="99"/>
  <c r="R39" i="99" s="1"/>
  <c r="BB40" i="99"/>
  <c r="BB124" i="99" s="1"/>
  <c r="BB41" i="99"/>
  <c r="R41" i="99" s="1"/>
  <c r="BB43" i="99"/>
  <c r="R43" i="99" s="1"/>
  <c r="BA4" i="99"/>
  <c r="BB4" i="99" s="1"/>
  <c r="BA5" i="99"/>
  <c r="BB5" i="99" s="1"/>
  <c r="R5" i="99" s="1"/>
  <c r="BA8" i="99"/>
  <c r="BB8" i="99" s="1"/>
  <c r="BC8" i="99"/>
  <c r="BC61" i="99" s="1"/>
  <c r="BD3" i="99"/>
  <c r="AF3" i="99"/>
  <c r="AG3" i="99"/>
  <c r="AH3" i="99"/>
  <c r="AI3" i="99"/>
  <c r="AJ3" i="99"/>
  <c r="AK3" i="99"/>
  <c r="AL3" i="99"/>
  <c r="AM3" i="99"/>
  <c r="AN3" i="99"/>
  <c r="AO3" i="99"/>
  <c r="AP3" i="99"/>
  <c r="AQ3" i="99"/>
  <c r="AR3" i="99"/>
  <c r="AS3" i="99"/>
  <c r="AT61" i="99"/>
  <c r="AT3" i="99" s="1"/>
  <c r="AU61" i="99"/>
  <c r="AU3" i="99" s="1"/>
  <c r="AV61" i="99"/>
  <c r="AV62" i="99" s="1"/>
  <c r="AW61" i="99"/>
  <c r="AW3" i="99" s="1"/>
  <c r="AX61" i="99"/>
  <c r="AX3" i="99" s="1"/>
  <c r="AY61" i="99"/>
  <c r="AY3" i="99" s="1"/>
  <c r="AZ61" i="99"/>
  <c r="BE14" i="99"/>
  <c r="BE15" i="99"/>
  <c r="BE16" i="99"/>
  <c r="BE21" i="99"/>
  <c r="BF21" i="99" s="1"/>
  <c r="T21" i="99" s="1"/>
  <c r="BE28" i="99"/>
  <c r="BE38" i="99"/>
  <c r="BF38" i="99" s="1"/>
  <c r="T38" i="99" s="1"/>
  <c r="BE39" i="99"/>
  <c r="BF39" i="99" s="1"/>
  <c r="BE40" i="99"/>
  <c r="BF40" i="99" s="1"/>
  <c r="BE41" i="99"/>
  <c r="BE42" i="99"/>
  <c r="BF42" i="99" s="1"/>
  <c r="BE43" i="99"/>
  <c r="BF43" i="99" s="1"/>
  <c r="BE49" i="99"/>
  <c r="BF49" i="99" s="1"/>
  <c r="T49" i="99" s="1"/>
  <c r="BE19" i="99"/>
  <c r="BE44" i="99"/>
  <c r="BF44" i="99" s="1"/>
  <c r="T44" i="99" s="1"/>
  <c r="BE45" i="99"/>
  <c r="BF45" i="99" s="1"/>
  <c r="DS45" i="99" s="1"/>
  <c r="DW45" i="99" s="1"/>
  <c r="DX45" i="99" s="1"/>
  <c r="DY45" i="99" s="1"/>
  <c r="DZ45" i="99" s="1"/>
  <c r="EA45" i="99" s="1"/>
  <c r="EB45" i="99" s="1"/>
  <c r="BE27" i="99"/>
  <c r="BF27" i="99" s="1"/>
  <c r="BE58" i="99"/>
  <c r="BE22" i="99"/>
  <c r="BF22" i="99" s="1"/>
  <c r="BE46" i="99"/>
  <c r="BF46" i="99" s="1"/>
  <c r="BE13" i="99"/>
  <c r="DS13" i="99" s="1"/>
  <c r="DJ3" i="99"/>
  <c r="DK3" i="99"/>
  <c r="DL3" i="99"/>
  <c r="DM16" i="99"/>
  <c r="DM21" i="99"/>
  <c r="DM28" i="99"/>
  <c r="DM38" i="99"/>
  <c r="DM39" i="99"/>
  <c r="DM40" i="99"/>
  <c r="DM41" i="99"/>
  <c r="DM42" i="99"/>
  <c r="DM43" i="99"/>
  <c r="DM49" i="99"/>
  <c r="DM19" i="99"/>
  <c r="DM44" i="99"/>
  <c r="DM45" i="99"/>
  <c r="DM27" i="99"/>
  <c r="DM58" i="99"/>
  <c r="DM22" i="99"/>
  <c r="DM46" i="99"/>
  <c r="DM50" i="99"/>
  <c r="DM51" i="99"/>
  <c r="DM52" i="99"/>
  <c r="DM53" i="99"/>
  <c r="DM54" i="99"/>
  <c r="DM55" i="99"/>
  <c r="DM56" i="99"/>
  <c r="DM60" i="99"/>
  <c r="DN16" i="99"/>
  <c r="DN21" i="99"/>
  <c r="DN28" i="99"/>
  <c r="DN38" i="99"/>
  <c r="DN39" i="99"/>
  <c r="DN40" i="99"/>
  <c r="DN41" i="99"/>
  <c r="DN42" i="99"/>
  <c r="DN43" i="99"/>
  <c r="DN49" i="99"/>
  <c r="DN19" i="99"/>
  <c r="DN44" i="99"/>
  <c r="DN45" i="99"/>
  <c r="DN27" i="99"/>
  <c r="DN58" i="99"/>
  <c r="DN22" i="99"/>
  <c r="DN46" i="99"/>
  <c r="DN50" i="99"/>
  <c r="DN51" i="99"/>
  <c r="DN52" i="99"/>
  <c r="DN53" i="99"/>
  <c r="DN54" i="99"/>
  <c r="DN55" i="99"/>
  <c r="DN56" i="99"/>
  <c r="DN60" i="99"/>
  <c r="L14" i="99"/>
  <c r="DO14" i="99" s="1"/>
  <c r="L15" i="99"/>
  <c r="DO15" i="99" s="1"/>
  <c r="L16" i="99"/>
  <c r="DO16" i="99" s="1"/>
  <c r="L21" i="99"/>
  <c r="DO21" i="99" s="1"/>
  <c r="L28" i="99"/>
  <c r="DO28" i="99" s="1"/>
  <c r="L38" i="99"/>
  <c r="DO38" i="99" s="1"/>
  <c r="L39" i="99"/>
  <c r="DO39" i="99" s="1"/>
  <c r="L40" i="99"/>
  <c r="DO40" i="99" s="1"/>
  <c r="L41" i="99"/>
  <c r="DO41" i="99" s="1"/>
  <c r="L42" i="99"/>
  <c r="DO42" i="99" s="1"/>
  <c r="L43" i="99"/>
  <c r="DO43" i="99" s="1"/>
  <c r="L49" i="99"/>
  <c r="DO49" i="99" s="1"/>
  <c r="L19" i="99"/>
  <c r="DO19" i="99" s="1"/>
  <c r="L44" i="99"/>
  <c r="DO44" i="99" s="1"/>
  <c r="L45" i="99"/>
  <c r="DO45" i="99" s="1"/>
  <c r="L27" i="99"/>
  <c r="DO27" i="99" s="1"/>
  <c r="L58" i="99"/>
  <c r="DO58" i="99" s="1"/>
  <c r="L22" i="99"/>
  <c r="DO22" i="99" s="1"/>
  <c r="L46" i="99"/>
  <c r="DO46" i="99" s="1"/>
  <c r="L50" i="99"/>
  <c r="DO50" i="99" s="1"/>
  <c r="DO60" i="99"/>
  <c r="N14" i="99"/>
  <c r="DP14" i="99" s="1"/>
  <c r="N15" i="99"/>
  <c r="DP15" i="99" s="1"/>
  <c r="N16" i="99"/>
  <c r="DP16" i="99" s="1"/>
  <c r="N21" i="99"/>
  <c r="DP21" i="99" s="1"/>
  <c r="N28" i="99"/>
  <c r="DP28" i="99" s="1"/>
  <c r="N38" i="99"/>
  <c r="DP38" i="99" s="1"/>
  <c r="N39" i="99"/>
  <c r="DP39" i="99" s="1"/>
  <c r="N40" i="99"/>
  <c r="DP40" i="99" s="1"/>
  <c r="N41" i="99"/>
  <c r="DP41" i="99" s="1"/>
  <c r="N42" i="99"/>
  <c r="DP42" i="99" s="1"/>
  <c r="N43" i="99"/>
  <c r="DP43" i="99" s="1"/>
  <c r="N49" i="99"/>
  <c r="DP49" i="99" s="1"/>
  <c r="N19" i="99"/>
  <c r="DP19" i="99" s="1"/>
  <c r="N44" i="99"/>
  <c r="DP44" i="99" s="1"/>
  <c r="N45" i="99"/>
  <c r="DP45" i="99" s="1"/>
  <c r="N27" i="99"/>
  <c r="DP27" i="99" s="1"/>
  <c r="N58" i="99"/>
  <c r="DP58" i="99" s="1"/>
  <c r="N22" i="99"/>
  <c r="DP22" i="99" s="1"/>
  <c r="N46" i="99"/>
  <c r="DP46" i="99" s="1"/>
  <c r="DP47" i="99"/>
  <c r="N50" i="99"/>
  <c r="DP50" i="99" s="1"/>
  <c r="DQ16" i="99"/>
  <c r="DQ21" i="99"/>
  <c r="DQ28" i="99"/>
  <c r="DQ38" i="99"/>
  <c r="DQ39" i="99"/>
  <c r="DQ40" i="99"/>
  <c r="DQ41" i="99"/>
  <c r="DQ42" i="99"/>
  <c r="DQ43" i="99"/>
  <c r="DQ49" i="99"/>
  <c r="DQ19" i="99"/>
  <c r="DQ44" i="99"/>
  <c r="DQ45" i="99"/>
  <c r="DQ27" i="99"/>
  <c r="DQ58" i="99"/>
  <c r="DQ22" i="99"/>
  <c r="DQ46" i="99"/>
  <c r="DQ47" i="99"/>
  <c r="DR16" i="99"/>
  <c r="DR21" i="99"/>
  <c r="DR42" i="99"/>
  <c r="DR49" i="99"/>
  <c r="DR19" i="99"/>
  <c r="DR44" i="99"/>
  <c r="DR45" i="99"/>
  <c r="DR27" i="99"/>
  <c r="DR58" i="99"/>
  <c r="DR22" i="99"/>
  <c r="DR46" i="99"/>
  <c r="DR47" i="99"/>
  <c r="BD61" i="99"/>
  <c r="DW43" i="99"/>
  <c r="DX43" i="99" s="1"/>
  <c r="DY43" i="99" s="1"/>
  <c r="DZ43" i="99" s="1"/>
  <c r="EA43" i="99" s="1"/>
  <c r="EB43" i="99" s="1"/>
  <c r="DW13" i="99"/>
  <c r="DX13" i="99" s="1"/>
  <c r="DY13" i="99" s="1"/>
  <c r="DZ13" i="99" s="1"/>
  <c r="EA13" i="99" s="1"/>
  <c r="EB13" i="99" s="1"/>
  <c r="J4" i="99"/>
  <c r="L4" i="99"/>
  <c r="N4" i="99"/>
  <c r="DP4" i="99" s="1"/>
  <c r="P4" i="99"/>
  <c r="T4" i="99"/>
  <c r="DS4" i="99"/>
  <c r="J5" i="99"/>
  <c r="L5" i="99"/>
  <c r="DO5" i="99" s="1"/>
  <c r="N5" i="99"/>
  <c r="DP5" i="99" s="1"/>
  <c r="P5" i="99"/>
  <c r="DQ5" i="99" s="1"/>
  <c r="T5" i="99"/>
  <c r="DM5" i="99"/>
  <c r="DN5" i="99"/>
  <c r="DS5" i="99"/>
  <c r="J6" i="99"/>
  <c r="L6" i="99"/>
  <c r="DO6" i="99" s="1"/>
  <c r="N6" i="99"/>
  <c r="DP6" i="99" s="1"/>
  <c r="P6" i="99"/>
  <c r="DQ6" i="99" s="1"/>
  <c r="BA6" i="99"/>
  <c r="BB6" i="99" s="1"/>
  <c r="R6" i="99" s="1"/>
  <c r="T6" i="99"/>
  <c r="DJ6" i="99"/>
  <c r="DK6" i="99"/>
  <c r="DL6" i="99"/>
  <c r="DM8" i="99"/>
  <c r="DN8" i="99"/>
  <c r="DS6" i="99"/>
  <c r="EC100" i="99" s="1"/>
  <c r="S7" i="99"/>
  <c r="T7" i="99" s="1"/>
  <c r="DR7" i="99"/>
  <c r="DS7" i="99"/>
  <c r="J8" i="99"/>
  <c r="L8" i="99"/>
  <c r="M8" i="99"/>
  <c r="N8" i="99" s="1"/>
  <c r="P8" i="99"/>
  <c r="DQ8" i="99" s="1"/>
  <c r="S8" i="99"/>
  <c r="T8" i="99" s="1"/>
  <c r="DS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AP61" i="99"/>
  <c r="AP62" i="99" s="1"/>
  <c r="AQ61" i="99"/>
  <c r="AQ62" i="99" s="1"/>
  <c r="AR61" i="99"/>
  <c r="AR62" i="99" s="1"/>
  <c r="AS61" i="99"/>
  <c r="AS62" i="99" s="1"/>
  <c r="I62" i="99"/>
  <c r="K62" i="99"/>
  <c r="K65" i="99" s="1"/>
  <c r="K84" i="99" s="1"/>
  <c r="O62" i="99"/>
  <c r="O65" i="99" s="1"/>
  <c r="BD62" i="99"/>
  <c r="J63" i="99"/>
  <c r="DN63" i="99" s="1"/>
  <c r="L63" i="99"/>
  <c r="DO63" i="99" s="1"/>
  <c r="M63" i="99"/>
  <c r="N63" i="99" s="1"/>
  <c r="DP63" i="99" s="1"/>
  <c r="P63" i="99"/>
  <c r="DQ63" i="99" s="1"/>
  <c r="R63" i="99"/>
  <c r="DR63" i="99" s="1"/>
  <c r="T63" i="99"/>
  <c r="J64" i="99"/>
  <c r="DN64" i="99" s="1"/>
  <c r="L64" i="99"/>
  <c r="DO64" i="99" s="1"/>
  <c r="N64" i="99"/>
  <c r="DP64" i="99" s="1"/>
  <c r="P64" i="99"/>
  <c r="DQ64" i="99" s="1"/>
  <c r="R64" i="99"/>
  <c r="DR64" i="99" s="1"/>
  <c r="T64" i="99"/>
  <c r="DS64" i="99" s="1"/>
  <c r="J66" i="99"/>
  <c r="L66" i="99"/>
  <c r="DO66" i="99" s="1"/>
  <c r="N66" i="99"/>
  <c r="DP66" i="99" s="1"/>
  <c r="P66" i="99"/>
  <c r="DQ66" i="99" s="1"/>
  <c r="R66" i="99"/>
  <c r="DR66" i="99" s="1"/>
  <c r="T66" i="99"/>
  <c r="DS66" i="99" s="1"/>
  <c r="DU66" i="99" s="1"/>
  <c r="J67" i="99"/>
  <c r="L67" i="99"/>
  <c r="DO67" i="99" s="1"/>
  <c r="DO103" i="99" s="1"/>
  <c r="N67" i="99"/>
  <c r="DP67" i="99" s="1"/>
  <c r="P67" i="99"/>
  <c r="R67" i="99"/>
  <c r="DR67" i="99" s="1"/>
  <c r="T67" i="99"/>
  <c r="J68" i="99"/>
  <c r="DN68" i="99" s="1"/>
  <c r="DN104" i="99" s="1"/>
  <c r="L68" i="99"/>
  <c r="DO68" i="99" s="1"/>
  <c r="N68" i="99"/>
  <c r="P68" i="99"/>
  <c r="DQ68" i="99" s="1"/>
  <c r="R68" i="99"/>
  <c r="DR68" i="99" s="1"/>
  <c r="T68" i="99"/>
  <c r="DS68" i="99" s="1"/>
  <c r="M69" i="99"/>
  <c r="N69" i="99" s="1"/>
  <c r="O70" i="99"/>
  <c r="Q70" i="99"/>
  <c r="S70" i="99"/>
  <c r="J72" i="99"/>
  <c r="L72" i="99"/>
  <c r="DO72" i="99" s="1"/>
  <c r="N72" i="99"/>
  <c r="DP72" i="99" s="1"/>
  <c r="P72" i="99"/>
  <c r="R72" i="99"/>
  <c r="DR72" i="99" s="1"/>
  <c r="T72" i="99"/>
  <c r="DS72" i="99" s="1"/>
  <c r="DS82" i="99"/>
  <c r="T73" i="99"/>
  <c r="DS73" i="99" s="1"/>
  <c r="T75" i="99"/>
  <c r="DS75" i="99" s="1"/>
  <c r="T77" i="99"/>
  <c r="DS77" i="99" s="1"/>
  <c r="J73" i="99"/>
  <c r="L73" i="99"/>
  <c r="DO73" i="99" s="1"/>
  <c r="N73" i="99"/>
  <c r="DP73" i="99" s="1"/>
  <c r="P73" i="99"/>
  <c r="R73" i="99"/>
  <c r="DR73" i="99" s="1"/>
  <c r="J75" i="99"/>
  <c r="L75" i="99"/>
  <c r="DO75" i="99" s="1"/>
  <c r="N75" i="99"/>
  <c r="DP75" i="99" s="1"/>
  <c r="R75" i="99"/>
  <c r="DR75" i="99" s="1"/>
  <c r="J77" i="99"/>
  <c r="L77" i="99"/>
  <c r="DO77" i="99" s="1"/>
  <c r="N77" i="99"/>
  <c r="DP77" i="99" s="1"/>
  <c r="P77" i="99"/>
  <c r="R77" i="99"/>
  <c r="DR77" i="99" s="1"/>
  <c r="P80" i="99"/>
  <c r="Q80" i="99" s="1"/>
  <c r="R80" i="99" s="1"/>
  <c r="S80" i="99" s="1"/>
  <c r="T80" i="99" s="1"/>
  <c r="DO80" i="99"/>
  <c r="DP80" i="99" s="1"/>
  <c r="DQ80" i="99" s="1"/>
  <c r="DR80" i="99" s="1"/>
  <c r="DS80" i="99" s="1"/>
  <c r="DT80" i="99" s="1"/>
  <c r="DU80" i="99" s="1"/>
  <c r="DV80" i="99" s="1"/>
  <c r="DW80" i="99" s="1"/>
  <c r="DQ82" i="99"/>
  <c r="DR82" i="99"/>
  <c r="DK84" i="99"/>
  <c r="DL84" i="99"/>
  <c r="DM84" i="99"/>
  <c r="DN102" i="99"/>
  <c r="DN103" i="99"/>
  <c r="AJ117" i="99"/>
  <c r="AK117" i="99"/>
  <c r="AL117" i="99"/>
  <c r="AM117" i="99"/>
  <c r="AN117" i="99"/>
  <c r="AO117" i="99"/>
  <c r="AP117" i="99"/>
  <c r="AQ117" i="99"/>
  <c r="AR117" i="99"/>
  <c r="AS117" i="99"/>
  <c r="AT117" i="99"/>
  <c r="AU117" i="99"/>
  <c r="AV117" i="99"/>
  <c r="AW117" i="99"/>
  <c r="AX117" i="99"/>
  <c r="AY117" i="99"/>
  <c r="AZ117" i="99"/>
  <c r="BA117" i="99"/>
  <c r="BB117" i="99"/>
  <c r="BC117" i="99"/>
  <c r="BD117" i="99"/>
  <c r="AJ118" i="99"/>
  <c r="AK118" i="99"/>
  <c r="AL118" i="99"/>
  <c r="AM118" i="99"/>
  <c r="AN118" i="99"/>
  <c r="AO118" i="99"/>
  <c r="AP118" i="99"/>
  <c r="AQ118" i="99"/>
  <c r="AR118" i="99"/>
  <c r="AS118" i="99"/>
  <c r="AT118" i="99"/>
  <c r="AU118" i="99"/>
  <c r="AV118" i="99"/>
  <c r="AW118" i="99"/>
  <c r="AX118" i="99"/>
  <c r="AY118" i="99"/>
  <c r="AZ118" i="99"/>
  <c r="BA118" i="99"/>
  <c r="BB118" i="99"/>
  <c r="BC118" i="99"/>
  <c r="BD118" i="99"/>
  <c r="AJ119" i="99"/>
  <c r="AK119" i="99"/>
  <c r="AL119" i="99"/>
  <c r="AM119" i="99"/>
  <c r="AN119" i="99"/>
  <c r="AO119" i="99"/>
  <c r="AP119" i="99"/>
  <c r="AQ119" i="99"/>
  <c r="AR119" i="99"/>
  <c r="AS119" i="99"/>
  <c r="AT119" i="99"/>
  <c r="AU119" i="99"/>
  <c r="AV119" i="99"/>
  <c r="AW119" i="99"/>
  <c r="AX119" i="99"/>
  <c r="AY119" i="99"/>
  <c r="AZ119" i="99"/>
  <c r="BA119" i="99"/>
  <c r="BB119" i="99"/>
  <c r="BC119" i="99"/>
  <c r="BD119" i="99"/>
  <c r="BG119" i="99"/>
  <c r="BH119" i="99"/>
  <c r="BK119" i="99"/>
  <c r="AJ120" i="99"/>
  <c r="AK120" i="99"/>
  <c r="AL120" i="99"/>
  <c r="AM120" i="99"/>
  <c r="AN120" i="99"/>
  <c r="AO120" i="99"/>
  <c r="AP120" i="99"/>
  <c r="AQ120" i="99"/>
  <c r="AR120" i="99"/>
  <c r="AS120" i="99"/>
  <c r="AT120" i="99"/>
  <c r="AU120" i="99"/>
  <c r="AV120" i="99"/>
  <c r="AW120" i="99"/>
  <c r="AX120" i="99"/>
  <c r="AY120" i="99"/>
  <c r="AZ120" i="99"/>
  <c r="BA120" i="99"/>
  <c r="BC120" i="99"/>
  <c r="BD120" i="99"/>
  <c r="AJ121" i="99"/>
  <c r="AK121" i="99"/>
  <c r="AL121" i="99"/>
  <c r="AM121" i="99"/>
  <c r="AN121" i="99"/>
  <c r="AO121" i="99"/>
  <c r="AP121" i="99"/>
  <c r="AQ121" i="99"/>
  <c r="AR121" i="99"/>
  <c r="AS121" i="99"/>
  <c r="AT121" i="99"/>
  <c r="AU121" i="99"/>
  <c r="AV121" i="99"/>
  <c r="AW121" i="99"/>
  <c r="AX121" i="99"/>
  <c r="AY121" i="99"/>
  <c r="AZ121" i="99"/>
  <c r="BA121" i="99"/>
  <c r="BC121" i="99"/>
  <c r="BD121" i="99"/>
  <c r="AJ122" i="99"/>
  <c r="AK122" i="99"/>
  <c r="AL122" i="99"/>
  <c r="AM122" i="99"/>
  <c r="AN122" i="99"/>
  <c r="AO122" i="99"/>
  <c r="AP122" i="99"/>
  <c r="AQ122" i="99"/>
  <c r="AR122" i="99"/>
  <c r="AS122" i="99"/>
  <c r="AT122" i="99"/>
  <c r="AU122" i="99"/>
  <c r="AV122" i="99"/>
  <c r="AW122" i="99"/>
  <c r="AX122" i="99"/>
  <c r="AY122" i="99"/>
  <c r="AZ122" i="99"/>
  <c r="BA122" i="99"/>
  <c r="BC122" i="99"/>
  <c r="BD122" i="99"/>
  <c r="AJ123" i="99"/>
  <c r="AK123" i="99"/>
  <c r="AL123" i="99"/>
  <c r="AM123" i="99"/>
  <c r="AN123" i="99"/>
  <c r="AO123" i="99"/>
  <c r="AP123" i="99"/>
  <c r="AQ123" i="99"/>
  <c r="AR123" i="99"/>
  <c r="AS123" i="99"/>
  <c r="AT123" i="99"/>
  <c r="AU123" i="99"/>
  <c r="AV123" i="99"/>
  <c r="AW123" i="99"/>
  <c r="AX123" i="99"/>
  <c r="AY123" i="99"/>
  <c r="AZ123" i="99"/>
  <c r="BA123" i="99"/>
  <c r="BC123" i="99"/>
  <c r="BD123" i="99"/>
  <c r="AJ124" i="99"/>
  <c r="AK124" i="99"/>
  <c r="AL124" i="99"/>
  <c r="AM124" i="99"/>
  <c r="AN124" i="99"/>
  <c r="AO124" i="99"/>
  <c r="AP124" i="99"/>
  <c r="AQ124" i="99"/>
  <c r="AR124" i="99"/>
  <c r="AS124" i="99"/>
  <c r="AT124" i="99"/>
  <c r="AU124" i="99"/>
  <c r="AV124" i="99"/>
  <c r="AW124" i="99"/>
  <c r="AX124" i="99"/>
  <c r="AY124" i="99"/>
  <c r="AZ124" i="99"/>
  <c r="BA124" i="99"/>
  <c r="BC124" i="99"/>
  <c r="BD124" i="99"/>
  <c r="AM125" i="99"/>
  <c r="AN125" i="99"/>
  <c r="AO125" i="99"/>
  <c r="AP125" i="99"/>
  <c r="AQ125" i="99"/>
  <c r="AR125" i="99"/>
  <c r="AS125" i="99"/>
  <c r="AT125" i="99"/>
  <c r="AU125" i="99"/>
  <c r="AV125" i="99"/>
  <c r="AW125" i="99"/>
  <c r="AX125" i="99"/>
  <c r="AY125" i="99"/>
  <c r="AZ125" i="99"/>
  <c r="BA125" i="99"/>
  <c r="BC125" i="99"/>
  <c r="BD125" i="99"/>
  <c r="AT126" i="99"/>
  <c r="AU126" i="99"/>
  <c r="AV126" i="99"/>
  <c r="AW126" i="99"/>
  <c r="AX126" i="99"/>
  <c r="AY126" i="99"/>
  <c r="AZ126" i="99"/>
  <c r="BA126" i="99"/>
  <c r="BB126" i="99"/>
  <c r="BC126" i="99"/>
  <c r="BD126" i="99"/>
  <c r="AO127" i="99"/>
  <c r="AP127" i="99"/>
  <c r="AQ127" i="99"/>
  <c r="AR127" i="99"/>
  <c r="AS127" i="99"/>
  <c r="AT127" i="99"/>
  <c r="AU127" i="99"/>
  <c r="AV127" i="99"/>
  <c r="AW127" i="99"/>
  <c r="AX127" i="99"/>
  <c r="AY127" i="99"/>
  <c r="AZ127" i="99"/>
  <c r="BA127" i="99"/>
  <c r="BB127" i="99"/>
  <c r="BC127" i="99"/>
  <c r="BD127" i="99"/>
  <c r="AJ128" i="99"/>
  <c r="AK128" i="99"/>
  <c r="AL128" i="99"/>
  <c r="AM128" i="99"/>
  <c r="AN128" i="99"/>
  <c r="AO128" i="99"/>
  <c r="AP128" i="99"/>
  <c r="AQ128" i="99"/>
  <c r="AR128" i="99"/>
  <c r="AS128" i="99"/>
  <c r="AT128" i="99"/>
  <c r="AU128" i="99"/>
  <c r="AV128" i="99"/>
  <c r="AW128" i="99"/>
  <c r="AX128" i="99"/>
  <c r="AY128" i="99"/>
  <c r="AZ128" i="99"/>
  <c r="BA128" i="99"/>
  <c r="BB128" i="99"/>
  <c r="BC128" i="99"/>
  <c r="BD128" i="99"/>
  <c r="AJ129" i="99"/>
  <c r="AK129" i="99"/>
  <c r="AL129" i="99"/>
  <c r="AM129" i="99"/>
  <c r="AN129" i="99"/>
  <c r="AO129" i="99"/>
  <c r="AP129" i="99"/>
  <c r="AQ129" i="99"/>
  <c r="AR129" i="99"/>
  <c r="AS129" i="99"/>
  <c r="AT129" i="99"/>
  <c r="AU129" i="99"/>
  <c r="AV129" i="99"/>
  <c r="AW129" i="99"/>
  <c r="AX129" i="99"/>
  <c r="AY129" i="99"/>
  <c r="AZ129" i="99"/>
  <c r="BA129" i="99"/>
  <c r="BB129" i="99"/>
  <c r="BC129" i="99"/>
  <c r="BD129" i="99"/>
  <c r="AJ130" i="99"/>
  <c r="AK130" i="99"/>
  <c r="AL130" i="99"/>
  <c r="AM130" i="99"/>
  <c r="AN130" i="99"/>
  <c r="AO130" i="99"/>
  <c r="AP130" i="99"/>
  <c r="AQ130" i="99"/>
  <c r="AR130" i="99"/>
  <c r="AS130" i="99"/>
  <c r="AT130" i="99"/>
  <c r="AU130" i="99"/>
  <c r="AV130" i="99"/>
  <c r="AW130" i="99"/>
  <c r="AX130" i="99"/>
  <c r="AY130" i="99"/>
  <c r="AZ130" i="99"/>
  <c r="BA130" i="99"/>
  <c r="BB130" i="99"/>
  <c r="BC130" i="99"/>
  <c r="BD130" i="99"/>
  <c r="AJ131" i="99"/>
  <c r="AK131" i="99"/>
  <c r="AL131" i="99"/>
  <c r="AM131" i="99"/>
  <c r="AN131" i="99"/>
  <c r="AO131" i="99"/>
  <c r="AP131" i="99"/>
  <c r="AQ131" i="99"/>
  <c r="AR131" i="99"/>
  <c r="AS131" i="99"/>
  <c r="AT131" i="99"/>
  <c r="AU131" i="99"/>
  <c r="AV131" i="99"/>
  <c r="AW131" i="99"/>
  <c r="AX131" i="99"/>
  <c r="AY131" i="99"/>
  <c r="AZ131" i="99"/>
  <c r="BA131" i="99"/>
  <c r="BB131" i="99"/>
  <c r="BC131" i="99"/>
  <c r="BD131" i="99"/>
  <c r="AJ132" i="99"/>
  <c r="AK132" i="99"/>
  <c r="AL132" i="99"/>
  <c r="AM132" i="99"/>
  <c r="AN132" i="99"/>
  <c r="AO132" i="99"/>
  <c r="AP132" i="99"/>
  <c r="AQ132" i="99"/>
  <c r="AR132" i="99"/>
  <c r="AS132" i="99"/>
  <c r="AT132" i="99"/>
  <c r="AU132" i="99"/>
  <c r="AV132" i="99"/>
  <c r="AW132" i="99"/>
  <c r="AX132" i="99"/>
  <c r="AY132" i="99"/>
  <c r="AZ132" i="99"/>
  <c r="BA132" i="99"/>
  <c r="BB132" i="99"/>
  <c r="BC132" i="99"/>
  <c r="BD132" i="99"/>
  <c r="DQ140" i="99"/>
  <c r="DR140" i="99"/>
  <c r="K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3" i="115" l="1"/>
  <c r="D14" i="128"/>
  <c r="Z43" i="115"/>
  <c r="DT71" i="99"/>
  <c r="DT84" i="99"/>
  <c r="AB43" i="115"/>
  <c r="Y43" i="115"/>
  <c r="DW14" i="99"/>
  <c r="DU63" i="99"/>
  <c r="DV63" i="99" s="1"/>
  <c r="DW63" i="99" s="1"/>
  <c r="DX63" i="99" s="1"/>
  <c r="DY63" i="99" s="1"/>
  <c r="DZ63" i="99" s="1"/>
  <c r="EA63" i="99" s="1"/>
  <c r="EB63" i="99" s="1"/>
  <c r="DS63" i="99"/>
  <c r="BE119" i="99"/>
  <c r="AZ62" i="99"/>
  <c r="BD94" i="99" s="1"/>
  <c r="Q86" i="99"/>
  <c r="BE118" i="99"/>
  <c r="BI118" i="99"/>
  <c r="BF15" i="99"/>
  <c r="DS15" i="99" s="1"/>
  <c r="BE117" i="99"/>
  <c r="BI117" i="99"/>
  <c r="BB120" i="99"/>
  <c r="BI119" i="99"/>
  <c r="DT100" i="99"/>
  <c r="DR41" i="99"/>
  <c r="DP103" i="99"/>
  <c r="R28" i="99"/>
  <c r="AU62" i="99"/>
  <c r="EB100" i="99"/>
  <c r="K85" i="99"/>
  <c r="AT62" i="99"/>
  <c r="DQ100" i="99"/>
  <c r="BB123" i="99"/>
  <c r="EA100" i="99"/>
  <c r="DO104" i="99"/>
  <c r="K87" i="99"/>
  <c r="K94" i="99"/>
  <c r="DX100" i="99"/>
  <c r="DW100" i="99"/>
  <c r="K86" i="99"/>
  <c r="R70" i="99"/>
  <c r="AX62" i="99"/>
  <c r="DR39" i="99"/>
  <c r="DS44" i="99"/>
  <c r="DZ100" i="99"/>
  <c r="DV100" i="99"/>
  <c r="DY100" i="99"/>
  <c r="DU100" i="99"/>
  <c r="DS22" i="99"/>
  <c r="DW22" i="99" s="1"/>
  <c r="DX22" i="99" s="1"/>
  <c r="DY22" i="99" s="1"/>
  <c r="DZ22" i="99" s="1"/>
  <c r="EA22" i="99" s="1"/>
  <c r="T22" i="99"/>
  <c r="DS42" i="99"/>
  <c r="T42" i="99"/>
  <c r="DR8" i="99"/>
  <c r="R8" i="99"/>
  <c r="DP100" i="99"/>
  <c r="BB125" i="99"/>
  <c r="BB122" i="99"/>
  <c r="O87" i="99"/>
  <c r="O86" i="99"/>
  <c r="AY62" i="99"/>
  <c r="R38" i="99"/>
  <c r="DP8" i="99"/>
  <c r="DN6" i="99"/>
  <c r="DR5" i="99"/>
  <c r="DR43" i="99"/>
  <c r="BE61" i="99"/>
  <c r="BE3" i="99" s="1"/>
  <c r="M62" i="99"/>
  <c r="M61" i="99"/>
  <c r="BG3" i="99"/>
  <c r="BF16" i="99"/>
  <c r="BB121" i="99"/>
  <c r="Q94" i="99"/>
  <c r="DM6" i="99"/>
  <c r="DS38" i="99"/>
  <c r="DW38" i="99" s="1"/>
  <c r="DX38" i="99" s="1"/>
  <c r="DY38" i="99" s="1"/>
  <c r="DZ38" i="99" s="1"/>
  <c r="EA38" i="99" s="1"/>
  <c r="EB38" i="99" s="1"/>
  <c r="DS21" i="99"/>
  <c r="BA61" i="99"/>
  <c r="BA3" i="99" s="1"/>
  <c r="O84" i="99"/>
  <c r="O71" i="99"/>
  <c r="O74" i="99" s="1"/>
  <c r="O76" i="99" s="1"/>
  <c r="O78" i="99" s="1"/>
  <c r="O79" i="99" s="1"/>
  <c r="DS43" i="99"/>
  <c r="T43" i="99"/>
  <c r="DS39" i="99"/>
  <c r="DW39" i="99" s="1"/>
  <c r="DX39" i="99" s="1"/>
  <c r="DY39" i="99" s="1"/>
  <c r="DZ39" i="99" s="1"/>
  <c r="EA39" i="99" s="1"/>
  <c r="EB39" i="99" s="1"/>
  <c r="T39" i="99"/>
  <c r="DO102" i="99"/>
  <c r="DP102" i="99"/>
  <c r="DP69" i="99"/>
  <c r="N70" i="99"/>
  <c r="BC3" i="99"/>
  <c r="BC62" i="99"/>
  <c r="T27" i="99"/>
  <c r="DS27" i="99"/>
  <c r="DW27" i="99" s="1"/>
  <c r="DX27" i="99" s="1"/>
  <c r="DY27" i="99" s="1"/>
  <c r="DZ27" i="99" s="1"/>
  <c r="EA27" i="99" s="1"/>
  <c r="EB27" i="99" s="1"/>
  <c r="T40" i="99"/>
  <c r="DS40" i="99"/>
  <c r="DW40" i="99" s="1"/>
  <c r="DX40" i="99" s="1"/>
  <c r="DY40" i="99" s="1"/>
  <c r="DZ40" i="99" s="1"/>
  <c r="EA40" i="99" s="1"/>
  <c r="EB40" i="99" s="1"/>
  <c r="DR70" i="99"/>
  <c r="E14" i="128"/>
  <c r="K7" i="101"/>
  <c r="Q85" i="99"/>
  <c r="I85" i="99"/>
  <c r="M70" i="99"/>
  <c r="I65" i="99"/>
  <c r="I71" i="99" s="1"/>
  <c r="I74" i="99" s="1"/>
  <c r="I76" i="99" s="1"/>
  <c r="I78" i="99" s="1"/>
  <c r="I79" i="99" s="1"/>
  <c r="AW62" i="99"/>
  <c r="T45" i="99"/>
  <c r="O85" i="99"/>
  <c r="DO69" i="99"/>
  <c r="DO70" i="99" s="1"/>
  <c r="DS67" i="99"/>
  <c r="DS70" i="99" s="1"/>
  <c r="Q65" i="99"/>
  <c r="DS49" i="99"/>
  <c r="D11" i="128"/>
  <c r="T70" i="99"/>
  <c r="K71" i="99"/>
  <c r="L62" i="99"/>
  <c r="DP68" i="99"/>
  <c r="DQ67" i="99"/>
  <c r="DQ70" i="99" s="1"/>
  <c r="P70" i="99"/>
  <c r="DV66" i="99"/>
  <c r="P61" i="99"/>
  <c r="DO8" i="99"/>
  <c r="L61" i="99"/>
  <c r="DO61" i="99" s="1"/>
  <c r="J61" i="99"/>
  <c r="J62" i="99"/>
  <c r="DQ4" i="99"/>
  <c r="P62" i="99"/>
  <c r="BB61" i="99"/>
  <c r="BB3" i="99" s="1"/>
  <c r="R4" i="99"/>
  <c r="DR4" i="99"/>
  <c r="DR40" i="99"/>
  <c r="R40" i="99"/>
  <c r="DP3" i="99"/>
  <c r="N61" i="99"/>
  <c r="DO3" i="99"/>
  <c r="DS46" i="99"/>
  <c r="T46" i="99"/>
  <c r="AZ3" i="99"/>
  <c r="AV3" i="99"/>
  <c r="DQ61" i="99"/>
  <c r="DQ62" i="99" s="1"/>
  <c r="N62" i="99"/>
  <c r="DR6" i="99"/>
  <c r="DO4" i="99"/>
  <c r="Q60" i="99"/>
  <c r="Q3" i="99" s="1"/>
  <c r="G9" i="128"/>
  <c r="DM3" i="99"/>
  <c r="BF58" i="99"/>
  <c r="T58" i="99" s="1"/>
  <c r="BF19" i="99"/>
  <c r="T19" i="99" s="1"/>
  <c r="BF41" i="99"/>
  <c r="T41" i="99" s="1"/>
  <c r="BF28" i="99"/>
  <c r="T28" i="99" s="1"/>
  <c r="BF14" i="99"/>
  <c r="T14" i="99" s="1"/>
  <c r="DQ3" i="99"/>
  <c r="DN3" i="99"/>
  <c r="E8" i="128"/>
  <c r="DS14" i="99" l="1"/>
  <c r="AZ94" i="99"/>
  <c r="DX14" i="99"/>
  <c r="DR61" i="99"/>
  <c r="DR62" i="99" s="1"/>
  <c r="DS16" i="99"/>
  <c r="BF118" i="99"/>
  <c r="BJ118" i="99"/>
  <c r="BF117" i="99"/>
  <c r="BJ117" i="99"/>
  <c r="T15" i="99"/>
  <c r="AX94" i="99"/>
  <c r="O88" i="99"/>
  <c r="AY94" i="99"/>
  <c r="BA62" i="99"/>
  <c r="BA94" i="99" s="1"/>
  <c r="DP61" i="99"/>
  <c r="T16" i="99"/>
  <c r="BE62" i="99"/>
  <c r="S3" i="99"/>
  <c r="T3" i="99" s="1"/>
  <c r="DS58" i="99"/>
  <c r="O90" i="99"/>
  <c r="DS41" i="99"/>
  <c r="DW41" i="99" s="1"/>
  <c r="DX41" i="99" s="1"/>
  <c r="DY41" i="99" s="1"/>
  <c r="DZ41" i="99" s="1"/>
  <c r="EA41" i="99" s="1"/>
  <c r="M65" i="99"/>
  <c r="M86" i="99"/>
  <c r="M87" i="99"/>
  <c r="M85" i="99"/>
  <c r="M94" i="99"/>
  <c r="O94" i="99"/>
  <c r="DU67" i="99"/>
  <c r="DV67" i="99" s="1"/>
  <c r="DW67" i="99" s="1"/>
  <c r="BC94" i="99"/>
  <c r="S61" i="99"/>
  <c r="S62" i="99" s="1"/>
  <c r="BG94" i="99"/>
  <c r="DS28" i="99"/>
  <c r="DW28" i="99" s="1"/>
  <c r="DX28" i="99" s="1"/>
  <c r="DY28" i="99" s="1"/>
  <c r="DZ28" i="99" s="1"/>
  <c r="EA28" i="99" s="1"/>
  <c r="EB28" i="99" s="1"/>
  <c r="DS19" i="99"/>
  <c r="DW19" i="99" s="1"/>
  <c r="DX19" i="99" s="1"/>
  <c r="DY19" i="99" s="1"/>
  <c r="DZ19" i="99" s="1"/>
  <c r="EA19" i="99" s="1"/>
  <c r="EB19" i="99" s="1"/>
  <c r="BB62" i="99"/>
  <c r="BB94" i="99" s="1"/>
  <c r="R60" i="99"/>
  <c r="Q71" i="99"/>
  <c r="Q84" i="99"/>
  <c r="R3" i="99"/>
  <c r="R62" i="99" s="1"/>
  <c r="R86" i="99" s="1"/>
  <c r="DP104" i="99"/>
  <c r="DP70" i="99"/>
  <c r="J65" i="99"/>
  <c r="J71" i="99" s="1"/>
  <c r="J74" i="99" s="1"/>
  <c r="J76" i="99" s="1"/>
  <c r="J78" i="99" s="1"/>
  <c r="J79" i="99" s="1"/>
  <c r="J85" i="99"/>
  <c r="DN62" i="99"/>
  <c r="DW66" i="99"/>
  <c r="DQ86" i="99"/>
  <c r="K74" i="99"/>
  <c r="K88" i="99"/>
  <c r="DQ65" i="99"/>
  <c r="DQ85" i="99"/>
  <c r="DQ87" i="99"/>
  <c r="BF61" i="99"/>
  <c r="BF62" i="99" s="1"/>
  <c r="BF119" i="99"/>
  <c r="BJ119" i="99"/>
  <c r="DR100" i="99"/>
  <c r="DS100" i="99"/>
  <c r="E11" i="128"/>
  <c r="F8" i="128"/>
  <c r="H9" i="128"/>
  <c r="G14" i="128"/>
  <c r="DP62" i="99"/>
  <c r="DQ94" i="99" s="1"/>
  <c r="N65" i="99"/>
  <c r="N85" i="99"/>
  <c r="N86" i="99"/>
  <c r="N94" i="99"/>
  <c r="P65" i="99"/>
  <c r="P87" i="99"/>
  <c r="P85" i="99"/>
  <c r="P94" i="99"/>
  <c r="P86" i="99"/>
  <c r="N87" i="99"/>
  <c r="DO62" i="99"/>
  <c r="L65" i="99"/>
  <c r="L87" i="99"/>
  <c r="L85" i="99"/>
  <c r="L86" i="99"/>
  <c r="L94" i="99"/>
  <c r="DU3" i="99" l="1"/>
  <c r="DW21" i="99"/>
  <c r="DV3" i="99"/>
  <c r="DY14" i="99"/>
  <c r="DS61" i="99"/>
  <c r="DS62" i="99" s="1"/>
  <c r="DS65" i="99" s="1"/>
  <c r="DU62" i="99"/>
  <c r="BE94" i="99"/>
  <c r="DR3" i="99"/>
  <c r="DU70" i="99"/>
  <c r="BF94" i="99"/>
  <c r="R87" i="99"/>
  <c r="DV70" i="99"/>
  <c r="S65" i="99"/>
  <c r="S87" i="99"/>
  <c r="S86" i="99"/>
  <c r="S94" i="99"/>
  <c r="S85" i="99"/>
  <c r="R94" i="99"/>
  <c r="BF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DN65" i="99"/>
  <c r="DN94" i="99"/>
  <c r="DO65" i="99"/>
  <c r="DO94" i="99"/>
  <c r="DP65" i="99"/>
  <c r="DP94" i="99"/>
  <c r="G8" i="128"/>
  <c r="F11" i="128"/>
  <c r="DR85" i="99"/>
  <c r="DR94" i="99"/>
  <c r="DR87" i="99"/>
  <c r="DR86" i="99"/>
  <c r="DX66" i="99"/>
  <c r="DW70" i="99"/>
  <c r="DQ71" i="99"/>
  <c r="DQ84" i="99"/>
  <c r="DX67" i="99"/>
  <c r="L71" i="99"/>
  <c r="L84" i="99"/>
  <c r="P71" i="99"/>
  <c r="P84" i="99"/>
  <c r="H14" i="128"/>
  <c r="I9" i="128"/>
  <c r="DZ14" i="99" l="1"/>
  <c r="DX21" i="99"/>
  <c r="DW3" i="99"/>
  <c r="DR65" i="99"/>
  <c r="DR71" i="99" s="1"/>
  <c r="DR88" i="99" s="1"/>
  <c r="R71" i="99"/>
  <c r="R88" i="99" s="1"/>
  <c r="M74" i="99"/>
  <c r="M88" i="99"/>
  <c r="S84" i="99"/>
  <c r="S71" i="99"/>
  <c r="Q76" i="99"/>
  <c r="Q78" i="99" s="1"/>
  <c r="Q79" i="99" s="1"/>
  <c r="Q90" i="99"/>
  <c r="DY67" i="99"/>
  <c r="T65" i="99"/>
  <c r="T87" i="99"/>
  <c r="T85" i="99"/>
  <c r="T94" i="99"/>
  <c r="T86" i="99"/>
  <c r="P74" i="99"/>
  <c r="P88" i="99"/>
  <c r="H8" i="128"/>
  <c r="G11" i="128"/>
  <c r="DO84" i="99"/>
  <c r="DO71" i="99"/>
  <c r="DY66" i="99"/>
  <c r="DX70" i="99"/>
  <c r="N74" i="99"/>
  <c r="N88" i="99"/>
  <c r="I14" i="128"/>
  <c r="J9" i="128"/>
  <c r="L74" i="99"/>
  <c r="L88" i="99"/>
  <c r="DQ74" i="99"/>
  <c r="DQ88" i="99"/>
  <c r="DS3" i="99"/>
  <c r="DP84" i="99"/>
  <c r="DP71" i="99"/>
  <c r="DQ105" i="99" s="1"/>
  <c r="DN71" i="99"/>
  <c r="DN84" i="99"/>
  <c r="DR105" i="99" l="1"/>
  <c r="DY21" i="99"/>
  <c r="DX3" i="99"/>
  <c r="EA14" i="99"/>
  <c r="DR74" i="99"/>
  <c r="DR76" i="99" s="1"/>
  <c r="DR78" i="99" s="1"/>
  <c r="R74" i="99"/>
  <c r="R90" i="99" s="1"/>
  <c r="S88" i="99"/>
  <c r="S74" i="99"/>
  <c r="M76" i="99"/>
  <c r="M78" i="99" s="1"/>
  <c r="M79" i="99" s="1"/>
  <c r="M90" i="99"/>
  <c r="DS71" i="99"/>
  <c r="DS105" i="99" s="1"/>
  <c r="DS86" i="99"/>
  <c r="DS85" i="99"/>
  <c r="DS87" i="99"/>
  <c r="DS94" i="99"/>
  <c r="DO74" i="99"/>
  <c r="DO76" i="99" s="1"/>
  <c r="DO78" i="99" s="1"/>
  <c r="DO79" i="99" s="1"/>
  <c r="DO88" i="99"/>
  <c r="DQ89" i="99"/>
  <c r="DQ90" i="99"/>
  <c r="DQ76" i="99"/>
  <c r="DQ78" i="99" s="1"/>
  <c r="DZ66" i="99"/>
  <c r="DY70" i="99"/>
  <c r="DT87" i="99"/>
  <c r="DT85" i="99"/>
  <c r="DT94" i="99"/>
  <c r="DT86" i="99"/>
  <c r="T71" i="99"/>
  <c r="T84" i="99"/>
  <c r="P76" i="99"/>
  <c r="P78" i="99" s="1"/>
  <c r="P79" i="99" s="1"/>
  <c r="P90" i="99"/>
  <c r="DP88" i="99"/>
  <c r="DP74" i="99"/>
  <c r="DP76" i="99" s="1"/>
  <c r="DP78" i="99" s="1"/>
  <c r="DP79" i="99" s="1"/>
  <c r="J14" i="128"/>
  <c r="K9" i="128"/>
  <c r="DN74" i="99"/>
  <c r="DN76" i="99" s="1"/>
  <c r="DN78" i="99" s="1"/>
  <c r="DN105" i="99"/>
  <c r="L76" i="99"/>
  <c r="L78" i="99" s="1"/>
  <c r="L79" i="99" s="1"/>
  <c r="L90" i="99"/>
  <c r="N76" i="99"/>
  <c r="N78" i="99" s="1"/>
  <c r="N79" i="99" s="1"/>
  <c r="N90" i="99"/>
  <c r="H11" i="128"/>
  <c r="I8" i="128"/>
  <c r="DZ67" i="99"/>
  <c r="DR89" i="99" l="1"/>
  <c r="R89" i="99"/>
  <c r="R76" i="99"/>
  <c r="R78" i="99" s="1"/>
  <c r="R82" i="99" s="1"/>
  <c r="EB14" i="99"/>
  <c r="DZ21" i="99"/>
  <c r="DY3" i="99"/>
  <c r="DR90" i="99"/>
  <c r="S90" i="99"/>
  <c r="S89" i="99"/>
  <c r="S76" i="99"/>
  <c r="S78" i="99" s="1"/>
  <c r="S79" i="99" s="1"/>
  <c r="EA67" i="99"/>
  <c r="T74" i="99"/>
  <c r="T88" i="99"/>
  <c r="DZ70" i="99"/>
  <c r="EA66" i="99"/>
  <c r="DQ79" i="99"/>
  <c r="DQ112" i="99" s="1"/>
  <c r="DQ137" i="99"/>
  <c r="DQ91" i="99"/>
  <c r="DR79" i="99"/>
  <c r="DR137" i="99"/>
  <c r="DR91" i="99"/>
  <c r="I11" i="128"/>
  <c r="J8" i="128"/>
  <c r="L9" i="128"/>
  <c r="K14" i="128"/>
  <c r="DU65" i="99"/>
  <c r="DU71" i="99" s="1"/>
  <c r="DU87" i="99"/>
  <c r="DU94" i="99"/>
  <c r="DU85" i="99"/>
  <c r="DU86" i="99"/>
  <c r="DT88" i="99"/>
  <c r="DS74" i="99"/>
  <c r="DS88" i="99"/>
  <c r="R79" i="99" l="1"/>
  <c r="EA21" i="99"/>
  <c r="DZ3" i="99"/>
  <c r="DS76" i="99"/>
  <c r="DS78" i="99" s="1"/>
  <c r="DS89" i="99"/>
  <c r="DS90" i="99"/>
  <c r="DU64" i="99"/>
  <c r="EB66" i="99"/>
  <c r="EA70" i="99"/>
  <c r="T76" i="99"/>
  <c r="T78" i="99" s="1"/>
  <c r="T79" i="99" s="1"/>
  <c r="T89" i="99"/>
  <c r="T90" i="99"/>
  <c r="K8" i="128"/>
  <c r="J11" i="128"/>
  <c r="DR112" i="99"/>
  <c r="DU88" i="99"/>
  <c r="L14" i="128"/>
  <c r="M9" i="128"/>
  <c r="DV65" i="99"/>
  <c r="DV71" i="99" s="1"/>
  <c r="DV87" i="99"/>
  <c r="DV94" i="99"/>
  <c r="DV85" i="99"/>
  <c r="DV86" i="99"/>
  <c r="EB67" i="99"/>
  <c r="EB21" i="99" l="1"/>
  <c r="EA3" i="99"/>
  <c r="DV64" i="99"/>
  <c r="M14" i="128"/>
  <c r="N9" i="128"/>
  <c r="DS79" i="99"/>
  <c r="DS112" i="99" s="1"/>
  <c r="DS91" i="99"/>
  <c r="DT82" i="99"/>
  <c r="L8" i="128"/>
  <c r="K11" i="128"/>
  <c r="EB70" i="99"/>
  <c r="DV88" i="99"/>
  <c r="DW94" i="99"/>
  <c r="DW87" i="99"/>
  <c r="DW65" i="99"/>
  <c r="DW71" i="99" s="1"/>
  <c r="DW85" i="99"/>
  <c r="DW86" i="99"/>
  <c r="EB3" i="99" l="1"/>
  <c r="DW64" i="99"/>
  <c r="L11" i="128"/>
  <c r="M8" i="128"/>
  <c r="N14" i="128"/>
  <c r="O9" i="128"/>
  <c r="DW88" i="99"/>
  <c r="DX65" i="99"/>
  <c r="DX71" i="99" s="1"/>
  <c r="DX87" i="99"/>
  <c r="DX94" i="99"/>
  <c r="DX86" i="99"/>
  <c r="DX85" i="99"/>
  <c r="DT74" i="99"/>
  <c r="DT90" i="99" l="1"/>
  <c r="DT89" i="99"/>
  <c r="DX64" i="99"/>
  <c r="M11" i="128"/>
  <c r="N8" i="128"/>
  <c r="DY65" i="99"/>
  <c r="DY71" i="99" s="1"/>
  <c r="DY94" i="99"/>
  <c r="DY87" i="99"/>
  <c r="DY86" i="99"/>
  <c r="DY85" i="99"/>
  <c r="P9" i="128"/>
  <c r="O14" i="128"/>
  <c r="DX88" i="99"/>
  <c r="DT76" i="99" l="1"/>
  <c r="DT78" i="99" s="1"/>
  <c r="DU82" i="99" s="1"/>
  <c r="DY64" i="99"/>
  <c r="O8" i="128"/>
  <c r="N11" i="128"/>
  <c r="DY88" i="99"/>
  <c r="DZ65" i="99"/>
  <c r="DZ71" i="99" s="1"/>
  <c r="DZ87" i="99"/>
  <c r="DZ94" i="99"/>
  <c r="DZ85" i="99"/>
  <c r="DZ86" i="99"/>
  <c r="P14" i="128"/>
  <c r="Q9" i="128"/>
  <c r="DT91" i="99" l="1"/>
  <c r="DT79" i="99"/>
  <c r="DZ88" i="99"/>
  <c r="Q14" i="128"/>
  <c r="R9" i="128"/>
  <c r="DZ64" i="99"/>
  <c r="DU72" i="99"/>
  <c r="DU74" i="99" s="1"/>
  <c r="P8" i="128"/>
  <c r="O11" i="128"/>
  <c r="EA65" i="99"/>
  <c r="EA71" i="99" s="1"/>
  <c r="EA87" i="99"/>
  <c r="EA94" i="99"/>
  <c r="EA86" i="99"/>
  <c r="EA85" i="99"/>
  <c r="R14" i="128" l="1"/>
  <c r="S9" i="128"/>
  <c r="P11" i="128"/>
  <c r="Q8" i="128"/>
  <c r="EB65" i="99"/>
  <c r="EB71" i="99" s="1"/>
  <c r="EB87" i="99"/>
  <c r="EB94" i="99"/>
  <c r="EB85" i="99"/>
  <c r="EB86" i="99"/>
  <c r="EA88" i="99"/>
  <c r="EA64" i="99"/>
  <c r="DU89" i="99"/>
  <c r="DU75" i="99"/>
  <c r="DU90" i="99" s="1"/>
  <c r="EB64" i="99" l="1"/>
  <c r="DU76" i="99"/>
  <c r="DU78" i="99" s="1"/>
  <c r="DU79" i="99" s="1"/>
  <c r="Q11" i="128"/>
  <c r="R8" i="128"/>
  <c r="T9" i="128"/>
  <c r="S14" i="128"/>
  <c r="EC71" i="99"/>
  <c r="EC87" i="99"/>
  <c r="EC94" i="99"/>
  <c r="EC85" i="99"/>
  <c r="EC86" i="99"/>
  <c r="EB88" i="99"/>
  <c r="DV82" i="99" l="1"/>
  <c r="DV72" i="99" s="1"/>
  <c r="DV74" i="99" s="1"/>
  <c r="DU91" i="99"/>
  <c r="T14" i="128"/>
  <c r="U9" i="128"/>
  <c r="S8" i="128"/>
  <c r="R11" i="128"/>
  <c r="EC88" i="99"/>
  <c r="U14" i="128" l="1"/>
  <c r="V9" i="128"/>
  <c r="T8" i="128"/>
  <c r="S11" i="128"/>
  <c r="DV75" i="99"/>
  <c r="DV90" i="99" s="1"/>
  <c r="DV89" i="99"/>
  <c r="DV76" i="99" l="1"/>
  <c r="DV78" i="99" s="1"/>
  <c r="T11" i="128"/>
  <c r="U8" i="128"/>
  <c r="V14" i="128"/>
  <c r="W9" i="128"/>
  <c r="DW82" i="99" l="1"/>
  <c r="DW72" i="99" s="1"/>
  <c r="DW74" i="99" s="1"/>
  <c r="DV91" i="99"/>
  <c r="DV79" i="99"/>
  <c r="X9" i="128"/>
  <c r="W14" i="128"/>
  <c r="U11" i="128"/>
  <c r="V8" i="128"/>
  <c r="X14" i="128" l="1"/>
  <c r="Y9" i="128"/>
  <c r="W8" i="128"/>
  <c r="V11" i="128"/>
  <c r="DW75" i="99"/>
  <c r="DW90" i="99" s="1"/>
  <c r="DW89" i="99"/>
  <c r="DW76" i="99" l="1"/>
  <c r="DW78" i="99" s="1"/>
  <c r="X8" i="128"/>
  <c r="W11" i="128"/>
  <c r="Y14" i="128"/>
  <c r="Z9" i="128"/>
  <c r="Z14" i="128" s="1"/>
  <c r="DX82" i="99" l="1"/>
  <c r="DX72" i="99" s="1"/>
  <c r="DX74" i="99" s="1"/>
  <c r="DW91" i="99"/>
  <c r="DW79" i="99"/>
  <c r="X11" i="128"/>
  <c r="Y8" i="128"/>
  <c r="Y11" i="128" l="1"/>
  <c r="Z8" i="128"/>
  <c r="Z11" i="128" s="1"/>
  <c r="DX75" i="99"/>
  <c r="DX90" i="99" s="1"/>
  <c r="DX89" i="99"/>
  <c r="DX76" i="99" l="1"/>
  <c r="DX78" i="99" s="1"/>
  <c r="DX91" i="99" l="1"/>
  <c r="DY82" i="99"/>
  <c r="DY72" i="99" s="1"/>
  <c r="DY74" i="99" s="1"/>
  <c r="DY89" i="99" l="1"/>
  <c r="DY75" i="99"/>
  <c r="DY90" i="99" s="1"/>
  <c r="DY76" i="99" l="1"/>
  <c r="DY78" i="99" s="1"/>
  <c r="DY91" i="99" l="1"/>
  <c r="DZ82" i="99"/>
  <c r="DZ72" i="99" l="1"/>
  <c r="DZ74" i="99" s="1"/>
  <c r="DZ75" i="99" l="1"/>
  <c r="DZ90" i="99" s="1"/>
  <c r="DZ89" i="99"/>
  <c r="DZ76" i="99" l="1"/>
  <c r="DZ78" i="99" s="1"/>
  <c r="DZ91" i="99" s="1"/>
  <c r="EA82" i="99" l="1"/>
  <c r="EA72" i="99" s="1"/>
  <c r="EA74" i="99" s="1"/>
  <c r="EA75" i="99" l="1"/>
  <c r="EA90" i="99" s="1"/>
  <c r="EA89" i="99"/>
  <c r="EA76" i="99" l="1"/>
  <c r="EA78" i="99" s="1"/>
  <c r="EA91" i="99" s="1"/>
  <c r="EB82" i="99" l="1"/>
  <c r="EB72" i="99" s="1"/>
  <c r="EB74" i="99" s="1"/>
  <c r="EB75" i="99" l="1"/>
  <c r="EB90" i="99" s="1"/>
  <c r="EB89" i="99"/>
  <c r="EB76" i="99" l="1"/>
  <c r="EB78" i="99" s="1"/>
  <c r="EB91" i="99" s="1"/>
  <c r="EC74" i="99" l="1"/>
  <c r="EC89" i="99" s="1"/>
  <c r="EC76" i="99" l="1"/>
  <c r="EC78" i="99" s="1"/>
  <c r="EE78" i="99" l="1"/>
  <c r="EF78" i="99" s="1"/>
  <c r="EG78" i="99" s="1"/>
  <c r="EH78" i="99" s="1"/>
  <c r="EI78" i="99" s="1"/>
  <c r="EJ78" i="99" s="1"/>
  <c r="EK78" i="99" s="1"/>
  <c r="EL78" i="99" s="1"/>
  <c r="EM78" i="99" s="1"/>
  <c r="EN78" i="99" s="1"/>
  <c r="EO78" i="99" s="1"/>
  <c r="EP78" i="99" s="1"/>
  <c r="EQ78" i="99" s="1"/>
  <c r="ER78" i="99" s="1"/>
  <c r="ES78" i="99" s="1"/>
  <c r="ET78" i="99" s="1"/>
  <c r="EU78" i="99" s="1"/>
  <c r="EV78" i="99" s="1"/>
  <c r="EW78" i="99" s="1"/>
  <c r="EX78" i="99" s="1"/>
  <c r="EY78" i="99" s="1"/>
  <c r="EZ78" i="99" s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EG87" i="99" l="1"/>
  <c r="EG88" i="99" s="1"/>
  <c r="EG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DM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DR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AV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AV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DR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B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C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D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F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H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BI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DS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DU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B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C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D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G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H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I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BJ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BK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DQ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D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H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BI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B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A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DR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DR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DS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DR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DQ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C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D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DM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DQ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DR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DS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DT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DU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DM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DM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DM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DM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DS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DM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DM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DL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DM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DM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DP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DQ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DR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DS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DM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DX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DS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AZ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DR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B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E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DQ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DS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B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E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DQ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DR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DS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DT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B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DQ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DQ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DS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DR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DS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DT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<sst xmlns="http://schemas.openxmlformats.org/spreadsheetml/2006/main" count="1291" uniqueCount="845">
  <si>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</si>
  <si>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</si>
  <si>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</si>
  <si>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</si>
  <si>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</si>
  <si>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</si>
  <si>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</si>
  <si>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</si>
  <si>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</si>
  <si>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</si>
  <si>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</si>
  <si>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</si>
  <si>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</si>
  <si>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</si>
  <si>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</si>
  <si>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</si>
  <si>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</si>
  <si>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</si>
  <si>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</si>
  <si>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</si>
  <si>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</si>
  <si>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</si>
  <si>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</si>
  <si>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</si>
  <si>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</si>
  <si>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</si>
  <si>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</si>
  <si>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</si>
  <si>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</si>
  <si>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</si>
  <si>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</si>
  <si>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</si>
  <si>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</si>
  <si>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</si>
  <si>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</si>
  <si>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</si>
  <si>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</si>
  <si>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</si>
  <si>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</si>
  <si>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</si>
  <si>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</si>
  <si>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</si>
  <si>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</si>
  <si>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</si>
  <si>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</si>
  <si>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</si>
  <si>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</si>
  <si>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</si>
  <si>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</si>
  <si>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</si>
  <si>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</si>
  <si>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</si>
  <si>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</si>
  <si>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</si>
  <si>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</si>
  <si>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</si>
  <si>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</si>
  <si>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</si>
  <si>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</si>
  <si>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</si>
  <si>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</si>
  <si>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</si>
  <si>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</si>
  <si>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</si>
  <si>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</si>
  <si>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</si>
  <si>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</si>
  <si>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</si>
  <si>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</si>
  <si>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</si>
  <si>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</si>
  <si>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</si>
  <si>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</si>
  <si>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</si>
  <si>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</si>
  <si>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</si>
  <si>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</si>
  <si>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</si>
  <si>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</si>
  <si>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</si>
  <si>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</si>
  <si>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</si>
  <si>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</si>
  <si>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</si>
  <si>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</si>
  <si>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</si>
  <si>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</si>
  <si>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</si>
  <si>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</si>
  <si>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</si>
  <si>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</si>
  <si>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</si>
  <si>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</si>
  <si>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</si>
  <si>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</si>
  <si>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</si>
  <si>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</si>
  <si>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</si>
  <si>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</si>
  <si>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</si>
  <si>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</si>
  <si>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</si>
  <si>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</si>
  <si>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</si>
  <si>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</si>
  <si>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</si>
  <si>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</si>
  <si>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</si>
  <si>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</si>
  <si>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</si>
  <si>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</si>
  <si>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</si>
  <si>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</si>
  <si>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</si>
  <si>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</si>
  <si>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</si>
  <si>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</si>
  <si>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</si>
  <si>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</si>
  <si>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</si>
  <si>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</si>
  <si>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</si>
  <si>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</si>
  <si>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</si>
  <si>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</si>
  <si>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</si>
  <si>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</si>
  <si>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</si>
  <si>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</si>
  <si>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</si>
  <si>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</si>
  <si>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</si>
  <si>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</si>
  <si>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</si>
  <si>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</si>
  <si>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</si>
  <si>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</si>
  <si>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</si>
  <si>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</si>
  <si>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</si>
  <si>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</si>
  <si>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</si>
  <si>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</si>
  <si>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</si>
  <si>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</si>
  <si>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</si>
  <si>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</si>
  <si>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</si>
  <si>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</si>
  <si>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</si>
  <si>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</si>
  <si>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</si>
  <si>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</si>
  <si>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</si>
  <si>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</si>
  <si>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</si>
  <si>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</si>
  <si>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</si>
  <si>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</si>
  <si>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</si>
  <si>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</si>
  <si>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</si>
  <si>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</si>
  <si>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</si>
  <si>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</si>
  <si>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</si>
  <si>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</si>
  <si>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</si>
  <si>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</si>
  <si>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</si>
  <si>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</si>
  <si>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</si>
  <si>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</si>
  <si>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</si>
  <si>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</si>
  <si>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</si>
  <si>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</si>
  <si>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</si>
  <si>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</si>
  <si>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</si>
  <si>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</si>
  <si>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</si>
  <si>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</si>
  <si>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</si>
  <si>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</si>
  <si>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</si>
  <si>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</si>
  <si>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</si>
  <si>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</si>
  <si>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</si>
  <si>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</si>
  <si>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</si>
  <si>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</si>
  <si>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</si>
  <si>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</si>
  <si>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</si>
  <si>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</si>
  <si>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</si>
  <si>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</si>
  <si>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</si>
  <si>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</si>
  <si>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</si>
  <si>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</si>
  <si>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</si>
  <si>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</si>
  <si>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</si>
  <si>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</si>
  <si>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</si>
  <si>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</si>
  <si>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</si>
  <si>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</si>
  <si>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</si>
  <si>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</si>
  <si>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</si>
  <si>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</si>
  <si>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</si>
  <si>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</si>
  <si>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</si>
  <si>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</si>
  <si>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</si>
  <si>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</si>
  <si>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</si>
  <si>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</si>
  <si>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</si>
  <si>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</si>
  <si>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</si>
  <si>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</si>
  <si>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</si>
  <si>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</si>
  <si>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</si>
  <si>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</si>
  <si>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</si>
  <si>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</si>
  <si>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</si>
  <si>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</si>
  <si>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</si>
  <si>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</si>
  <si>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</si>
  <si>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</si>
  <si>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</si>
  <si>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</si>
  <si>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</si>
  <si>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</si>
  <si>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</si>
  <si>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</si>
  <si>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</si>
  <si>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</si>
  <si>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</si>
  <si>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</si>
  <si>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</si>
  <si>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</si>
  <si>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</si>
  <si>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</si>
  <si>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</si>
  <si>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</si>
  <si>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</si>
  <si>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</si>
  <si>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</si>
  <si>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</si>
  <si>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</si>
  <si>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</si>
  <si>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</si>
  <si>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</si>
  <si>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</si>
  <si>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</si>
  <si>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</si>
  <si>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</si>
  <si>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</si>
  <si>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</si>
  <si>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</si>
  <si>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</si>
  <si>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R7201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</si>
  <si>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</si>
  <si>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</si>
  <si>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</si>
  <si>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</si>
  <si>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</si>
  <si>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</si>
  <si>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</si>
  <si>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</si>
  <si>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</si>
  <si>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</si>
  <si>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</si>
  <si>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</si>
  <si>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</si>
  <si>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</si>
  <si>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</si>
  <si>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</si>
  <si>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</si>
  <si>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</si>
  <si>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</si>
  <si>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</si>
  <si>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</si>
  <si>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</si>
  <si>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</si>
  <si>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</si>
  <si>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</si>
  <si>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</si>
  <si>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</si>
  <si>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</si>
  <si>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</si>
  <si>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IV since 1997, but 6/09 initiated SQ study.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</si>
  <si>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</si>
  <si>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</si>
  <si>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</si>
  <si>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</si>
  <si>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</si>
  <si>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</si>
  <si>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</si>
  <si>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</si>
  <si>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</si>
  <si>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</si>
  <si>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</si>
  <si>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</si>
  <si>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</si>
  <si>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</si>
  <si>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</si>
  <si>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</si>
  <si>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</si>
  <si>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</si>
  <si>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</si>
  <si>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</si>
  <si>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</si>
  <si>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</si>
  <si>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</si>
  <si>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</si>
  <si>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</si>
  <si>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</si>
  <si>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</si>
  <si>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</si>
  <si>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</si>
  <si>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</si>
  <si>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</si>
  <si>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</si>
  <si>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</si>
  <si>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</si>
  <si>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</si>
  <si>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</si>
  <si>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</si>
  <si>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</si>
  <si>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</si>
  <si>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</si>
  <si>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</si>
  <si>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</si>
  <si>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</si>
  <si>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</si>
  <si>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</si>
  <si>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</si>
  <si>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</si>
  <si>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</si>
  <si>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</si>
  <si>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</si>
  <si>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</si>
  <si>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</si>
  <si>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</si>
  <si>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</si>
  <si>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</si>
  <si>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</si>
  <si>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</si>
  <si>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</si>
  <si>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</si>
  <si>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</si>
  <si>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</si>
  <si>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</si>
  <si>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</si>
  <si>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</si>
  <si>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</si>
  <si>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</si>
  <si>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</si>
  <si>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</si>
  <si>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</si>
  <si>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</si>
  <si>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</si>
  <si>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</si>
  <si>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</si>
  <si>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</si>
  <si>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</si>
  <si>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</si>
  <si>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</si>
  <si>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</si>
  <si>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</si>
  <si>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</si>
  <si>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</si>
  <si>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</si>
  <si>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</si>
  <si>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</si>
  <si>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</si>
  <si>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</si>
  <si>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</si>
  <si>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</si>
  <si>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</si>
  <si>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</si>
  <si>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</si>
  <si>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</si>
  <si>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</si>
  <si>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</si>
  <si>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</si>
  <si>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</si>
  <si>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</si>
  <si>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</si>
  <si>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</si>
  <si>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</si>
  <si>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</si>
  <si>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</si>
  <si>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</si>
  <si>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</si>
  <si>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</si>
  <si>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</si>
  <si>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</si>
  <si>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</si>
  <si>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</si>
  <si>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</si>
  <si>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</si>
  <si>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</si>
  <si>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</si>
  <si>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</si>
  <si>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</si>
  <si>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</si>
  <si>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</si>
  <si>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</si>
  <si>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</si>
  <si>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</si>
  <si>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</si>
  <si>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</si>
  <si>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</si>
  <si>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</si>
  <si>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</si>
  <si>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</si>
  <si>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</si>
  <si>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</si>
  <si>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</si>
  <si>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</si>
  <si>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</si>
  <si>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</si>
  <si>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</si>
  <si>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</si>
  <si>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</si>
  <si>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</si>
  <si>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</si>
  <si>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</si>
  <si>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</si>
  <si>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</si>
  <si>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</si>
  <si>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</si>
  <si>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</si>
  <si>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</si>
  <si>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</si>
  <si>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</si>
  <si>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</si>
  <si>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</si>
  <si>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</si>
  <si>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</si>
  <si>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</si>
  <si>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</si>
  <si>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</si>
  <si>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</si>
  <si>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</si>
  <si>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</si>
  <si>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</si>
  <si>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</si>
  <si>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</si>
  <si>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</si>
  <si>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</si>
  <si>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</si>
  <si>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</si>
  <si>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</si>
  <si>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</si>
  <si>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</si>
  <si>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</si>
  <si>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</si>
  <si>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</si>
  <si>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</si>
  <si>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R7417</t>
  </si>
  <si>
    <t>Anti-Factor-D</t>
  </si>
  <si>
    <t>R1450 (gantenerumab)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</si>
  <si>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</si>
  <si>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</si>
  <si>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</si>
  <si>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</si>
  <si>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</si>
  <si>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</si>
  <si>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</si>
  <si>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</si>
  <si>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</si>
  <si>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</si>
  <si>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</si>
  <si>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</si>
  <si>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</si>
  <si>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</si>
  <si>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</si>
  <si>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</si>
  <si>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</si>
  <si>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</si>
  <si>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</si>
  <si>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</si>
  <si>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</si>
  <si>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</si>
  <si>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</si>
  <si>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</si>
  <si>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</si>
  <si>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</si>
  <si>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</si>
  <si>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</si>
  <si>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</si>
  <si>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</si>
  <si>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</si>
  <si>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</si>
  <si>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</si>
  <si>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</si>
  <si>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</si>
  <si>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</si>
  <si>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</si>
  <si>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</si>
  <si>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</si>
  <si>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</si>
  <si>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</si>
  <si>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</si>
  <si>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</si>
  <si>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</si>
  <si>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</si>
  <si>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</si>
  <si>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</si>
  <si>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</si>
  <si>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</si>
  <si>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</si>
  <si>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</si>
  <si>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</si>
  <si>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</si>
  <si>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</si>
  <si>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Arzerra (Genmab/GSK). Velcade head-to-head trial in FL! TEVA/LONN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</si>
  <si>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</si>
  <si>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</si>
  <si>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</si>
  <si>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</si>
  <si>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</si>
  <si>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</si>
  <si>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</si>
  <si>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</si>
  <si>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</si>
  <si>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</si>
  <si>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</si>
  <si>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</si>
  <si>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</si>
  <si>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</si>
  <si>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</si>
  <si>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</si>
  <si>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</si>
  <si>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</si>
  <si>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</si>
  <si>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</si>
  <si>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</si>
  <si>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</si>
  <si>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</si>
  <si>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</si>
  <si>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</si>
  <si>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</si>
  <si>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</si>
  <si>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</si>
  <si>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</si>
  <si>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</si>
  <si>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</si>
  <si>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</si>
  <si>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</si>
  <si>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</si>
  <si>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</si>
  <si>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</si>
  <si>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</si>
  <si>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</si>
  <si>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</si>
  <si>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</si>
  <si>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</si>
  <si>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</si>
  <si>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</si>
  <si>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</si>
  <si>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</si>
  <si>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</si>
  <si>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</si>
  <si>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</si>
  <si>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</si>
  <si>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</si>
  <si>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</si>
  <si>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</si>
  <si>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</si>
  <si>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</si>
  <si>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</si>
  <si>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</si>
  <si>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</si>
  <si>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</si>
  <si>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</si>
  <si>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</si>
  <si>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</si>
  <si>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</si>
  <si>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RG7090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</si>
  <si>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</si>
  <si>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</si>
  <si>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</si>
  <si>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</si>
  <si>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</si>
  <si>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</si>
  <si>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</si>
  <si>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</si>
  <si>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</si>
  <si>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</si>
  <si>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</si>
  <si>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</si>
  <si>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</si>
  <si>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</si>
  <si>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</si>
  <si>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</si>
  <si>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</si>
  <si>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</si>
  <si>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Ex Piramed?</t>
  </si>
  <si>
    <t>Solid Tumors, MM, AML, NSCLC, BC</t>
  </si>
  <si>
    <t>CDK inhibitor</t>
  </si>
  <si>
    <t>Sued GSK, claiming Arzerra infringes CLL patent.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</si>
  <si>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</si>
  <si>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</si>
  <si>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</si>
  <si>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</si>
  <si>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</si>
  <si>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</si>
  <si>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</si>
  <si>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</si>
  <si>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</si>
  <si>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</si>
  <si>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</si>
  <si>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</si>
  <si>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</si>
  <si>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</si>
  <si>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</si>
  <si>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</si>
  <si>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</si>
  <si>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</si>
  <si>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</si>
  <si>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</si>
  <si>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</si>
  <si>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</si>
  <si>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</si>
  <si>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</si>
  <si>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</si>
  <si>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</si>
  <si>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</si>
  <si>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</si>
  <si>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</si>
  <si>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</si>
  <si>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</si>
  <si>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</si>
  <si>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</si>
  <si>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</si>
  <si>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</si>
  <si>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</si>
  <si>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</si>
  <si>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</si>
  <si>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</si>
  <si>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</si>
  <si>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</si>
  <si>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</si>
  <si>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</si>
  <si>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</si>
  <si>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</si>
  <si>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</si>
  <si>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</si>
  <si>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</si>
  <si>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</si>
  <si>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</si>
  <si>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</si>
  <si>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</si>
  <si>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</si>
  <si>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</si>
  <si>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</si>
  <si>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</si>
  <si>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</si>
  <si>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</si>
  <si>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</si>
  <si>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</si>
  <si>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</si>
  <si>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</si>
  <si>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</si>
  <si>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</si>
  <si>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</si>
  <si>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</si>
  <si>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</si>
  <si>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</si>
  <si>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</si>
  <si>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</si>
  <si>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</si>
  <si>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</si>
  <si>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</si>
  <si>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</si>
  <si>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</si>
  <si>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</si>
  <si>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</si>
  <si>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</si>
  <si>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</si>
  <si>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</si>
  <si>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</si>
  <si>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</si>
  <si>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</si>
  <si>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</si>
  <si>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</si>
  <si>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</si>
  <si>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</si>
  <si>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</si>
  <si>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</si>
  <si>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</si>
  <si>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</si>
  <si>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</si>
  <si>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</si>
  <si>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</si>
  <si>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</si>
  <si>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</si>
  <si>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</si>
  <si>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</si>
  <si>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</si>
  <si>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</si>
  <si>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</si>
  <si>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</si>
  <si>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</si>
  <si>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</si>
  <si>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</si>
  <si>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</si>
  <si>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</si>
  <si>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</si>
  <si>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</si>
  <si>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</si>
  <si>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</si>
  <si>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</si>
  <si>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</si>
  <si>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</si>
  <si>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</si>
  <si>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</si>
  <si>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</si>
  <si>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</si>
  <si>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</si>
  <si>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</si>
  <si>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</si>
  <si>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</si>
  <si>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</si>
  <si>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</si>
  <si>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RG7446</t>
  </si>
  <si>
    <t>PD1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</si>
  <si>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</si>
  <si>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</si>
  <si>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</si>
  <si>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</si>
  <si>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</si>
  <si>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</si>
  <si>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</si>
  <si>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</si>
  <si>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</si>
  <si>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</si>
  <si>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</si>
  <si>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</si>
  <si>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</si>
  <si>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</si>
  <si>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</si>
  <si>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</si>
  <si>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</si>
  <si>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</si>
  <si>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</si>
  <si>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</si>
  <si>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</si>
  <si>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</si>
  <si>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</si>
  <si>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</si>
  <si>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</si>
  <si>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</si>
  <si>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</si>
  <si>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</si>
  <si>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</si>
  <si>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</si>
  <si>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</si>
  <si>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</si>
  <si>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</si>
  <si>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</si>
  <si>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</si>
  <si>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</si>
  <si>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</si>
  <si>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</si>
  <si>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</si>
  <si>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</si>
  <si>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</si>
  <si>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</si>
  <si>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</si>
  <si>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</si>
  <si>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</si>
  <si>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</si>
  <si>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</si>
  <si>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</si>
  <si>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</si>
  <si>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</si>
  <si>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</si>
  <si>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</si>
  <si>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</si>
  <si>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</si>
  <si>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</si>
  <si>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</si>
  <si>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</si>
  <si>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</si>
  <si>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</si>
  <si>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</si>
  <si>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</si>
  <si>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</si>
  <si>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</si>
  <si>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</si>
  <si>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</si>
  <si>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</si>
  <si>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</si>
  <si>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</si>
  <si>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</si>
  <si>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</si>
  <si>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</si>
  <si>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</si>
  <si>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</si>
  <si>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</si>
  <si>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</si>
  <si>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</si>
  <si>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</si>
  <si>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</si>
  <si>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</si>
  <si>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</si>
  <si>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</si>
  <si>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</si>
  <si>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</si>
  <si>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7/26/2019: CHMP recommends Tecentriq for ES-SCLC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</si>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</sst>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47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Border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 applyBorder="1"/>
    <xf numFmtId="0" fontId="7" fillId="4" borderId="0" xfId="0" applyFont="1" applyFill="1" applyBorder="1" applyAlignment="1"/>
    <xf numFmtId="0" fontId="3" fillId="4" borderId="0" xfId="0" applyFont="1" applyFill="1" applyBorder="1"/>
    <xf numFmtId="0" fontId="6" fillId="4" borderId="0" xfId="0" applyFont="1" applyFill="1" applyAlignment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8" fillId="4" borderId="0" xfId="4" applyFont="1" applyFill="1" applyBorder="1" applyAlignment="1" applyProtection="1"/>
    <xf numFmtId="0" fontId="0" fillId="4" borderId="0" xfId="0" applyFill="1" applyBorder="1"/>
    <xf numFmtId="0" fontId="7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Border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4" xfId="0" applyFont="1" applyFill="1" applyBorder="1"/>
    <xf numFmtId="0" fontId="19" fillId="4" borderId="0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Border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6" fillId="4" borderId="0" xfId="0" applyFont="1" applyFill="1"/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4" borderId="0" xfId="0" applyFont="1" applyFill="1" applyBorder="1" applyAlignment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9" fontId="3" fillId="4" borderId="0" xfId="0" applyNumberFormat="1" applyFon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0" xfId="6" applyFont="1" applyFill="1"/>
    <xf numFmtId="9" fontId="5" fillId="4" borderId="0" xfId="0" applyNumberFormat="1" applyFont="1" applyFill="1" applyBorder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 applyBorder="1"/>
    <xf numFmtId="9" fontId="7" fillId="4" borderId="0" xfId="0" applyNumberFormat="1" applyFont="1" applyFill="1" applyBorder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" fontId="8" fillId="5" borderId="0" xfId="0" applyNumberFormat="1" applyFont="1" applyFill="1" applyBorder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0" fontId="5" fillId="4" borderId="0" xfId="0" applyFont="1" applyFill="1" applyBorder="1" applyAlignment="1"/>
    <xf numFmtId="3" fontId="7" fillId="4" borderId="0" xfId="2" applyNumberFormat="1" applyFont="1" applyFill="1" applyBorder="1" applyAlignment="1"/>
    <xf numFmtId="9" fontId="5" fillId="4" borderId="0" xfId="0" applyNumberFormat="1" applyFont="1" applyFill="1" applyBorder="1" applyAlignment="1"/>
    <xf numFmtId="0" fontId="3" fillId="4" borderId="0" xfId="0" applyFont="1" applyFill="1" applyBorder="1" applyAlignment="1"/>
    <xf numFmtId="0" fontId="7" fillId="4" borderId="0" xfId="0" applyFont="1" applyFill="1" applyAlignment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right"/>
    </xf>
    <xf numFmtId="0" fontId="26" fillId="4" borderId="0" xfId="0" applyFont="1" applyFill="1" applyBorder="1" applyAlignment="1">
      <alignment horizontal="right"/>
    </xf>
    <xf numFmtId="0" fontId="26" fillId="4" borderId="0" xfId="0" applyFont="1" applyFill="1" applyBorder="1" applyAlignment="1"/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Border="1" applyAlignment="1">
      <alignment horizontal="center"/>
    </xf>
    <xf numFmtId="0" fontId="1" fillId="4" borderId="4" xfId="4" applyFont="1" applyFill="1" applyBorder="1" applyAlignment="1" applyProtection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134</xdr:col>
      <xdr:colOff>114300</xdr:colOff>
      <xdr:row>0</xdr:row>
      <xdr:rowOff>0</xdr:rowOff>
    </xdr:from>
    <xdr:to>
      <xdr:col>134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71</xdr:col>
      <xdr:colOff>38100</xdr:colOff>
      <xdr:row>0</xdr:row>
      <xdr:rowOff>0</xdr:rowOff>
    </xdr:from>
    <xdr:to>
      <xdr:col>71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U62" dT="2022-07-08T05:58:42.15" personId="{F29822AD-7CF0-4443-937D-C2B9090ACE38}" id="{4F67C440-F225-48E5-8977-D72DD0D3FDD6}">
    <text>45499</text>
  </threadedComment>
</ThreadedComment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/>
  <cols>
    <col min="1" max="1" width="5" bestFit="1" customWidth="1"/>
    <col min="2" max="2" width="19.140625" bestFit="1" customWidth="1"/>
  </cols>
  <sheetData>
    <row r="1" spans="1:3">
      <c r="A1" s="47" t="s">
        <v>55</v>
      </c>
    </row>
    <row r="2" spans="1:3">
      <c r="B2" s="1" t="s">
        <v>309</v>
      </c>
      <c r="C2" s="2" t="s">
        <v>455</v>
      </c>
    </row>
    <row r="3" spans="1:3">
      <c r="B3" s="1" t="s">
        <v>311</v>
      </c>
      <c r="C3" s="2" t="s">
        <v>456</v>
      </c>
    </row>
    <row r="4" spans="1:3">
      <c r="B4" s="1" t="s">
        <v>334</v>
      </c>
      <c r="C4" s="2" t="s">
        <v>458</v>
      </c>
    </row>
    <row r="5" spans="1:3">
      <c r="B5" s="2" t="s">
        <v>446</v>
      </c>
      <c r="C5" s="2" t="s">
        <v>457</v>
      </c>
    </row>
    <row r="6" spans="1:3">
      <c r="B6" s="2" t="s">
        <v>449</v>
      </c>
      <c r="C6" s="2" t="s">
        <v>510</v>
      </c>
    </row>
    <row r="7" spans="1:3">
      <c r="B7" s="2" t="s">
        <v>451</v>
      </c>
      <c r="C7" s="2" t="s">
        <v>452</v>
      </c>
    </row>
    <row r="8" spans="1:3">
      <c r="B8" s="2" t="s">
        <v>413</v>
      </c>
      <c r="C8" s="2" t="s">
        <v>414</v>
      </c>
    </row>
    <row r="9" spans="1:3">
      <c r="B9" s="2" t="s">
        <v>447</v>
      </c>
      <c r="C9" s="2" t="s">
        <v>448</v>
      </c>
    </row>
    <row r="10" spans="1:3">
      <c r="B10" s="2" t="s">
        <v>419</v>
      </c>
      <c r="C10" s="2" t="s">
        <v>422</v>
      </c>
    </row>
    <row r="11" spans="1:3">
      <c r="B11" s="2" t="s">
        <v>420</v>
      </c>
      <c r="C11" s="2" t="s">
        <v>421</v>
      </c>
    </row>
    <row r="12" spans="1:3">
      <c r="B12" s="2" t="s">
        <v>423</v>
      </c>
      <c r="C12" s="2" t="s">
        <v>424</v>
      </c>
    </row>
    <row r="13" spans="1:3">
      <c r="B13" s="2" t="s">
        <v>453</v>
      </c>
      <c r="C13" s="2" t="s">
        <v>454</v>
      </c>
    </row>
    <row r="19" spans="2:3">
      <c r="B19" s="2" t="s">
        <v>408</v>
      </c>
    </row>
    <row r="20" spans="2:3">
      <c r="B20" s="2" t="s">
        <v>465</v>
      </c>
    </row>
    <row r="22" spans="2:3">
      <c r="B22" s="48" t="s">
        <v>835</v>
      </c>
    </row>
    <row r="23" spans="2:3">
      <c r="B23" s="1" t="s">
        <v>310</v>
      </c>
      <c r="C23" s="2" t="s">
        <v>836</v>
      </c>
    </row>
    <row r="24" spans="2:3">
      <c r="B24" s="1" t="s">
        <v>312</v>
      </c>
      <c r="C24" s="2" t="s">
        <v>837</v>
      </c>
    </row>
    <row r="25" spans="2:3">
      <c r="B25" s="2" t="s">
        <v>450</v>
      </c>
      <c r="C25" s="2" t="s">
        <v>838</v>
      </c>
    </row>
    <row r="26" spans="2:3">
      <c r="B26" s="2" t="s">
        <v>418</v>
      </c>
      <c r="C26" s="2" t="s">
        <v>839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/>
  <cols>
    <col min="1" max="1" width="5" bestFit="1" customWidth="1"/>
    <col min="2" max="2" width="22.5703125" customWidth="1"/>
    <col min="3" max="26" width="8.7109375" customWidth="1"/>
  </cols>
  <sheetData>
    <row r="1" spans="1:26">
      <c r="A1" s="47" t="s">
        <v>55</v>
      </c>
    </row>
    <row r="3" spans="1:26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>
      <c r="B4" s="2" t="s">
        <v>548</v>
      </c>
    </row>
    <row r="5" spans="1:26">
      <c r="B5" s="2" t="s">
        <v>549</v>
      </c>
    </row>
    <row r="8" spans="1:26">
      <c r="B8" s="2" t="s">
        <v>553</v>
      </c>
      <c r="C8" s="102">
        <v>15000</v>
      </c>
      <c r="D8" s="102">
        <f>C8*1.01</f>
        <v>15150</v>
      </c>
      <c r="E8" s="102">
        <f t="shared" ref="E8:Z8" si="1">D8*1.01</f>
        <v>15301.5</v>
      </c>
      <c r="F8" s="102">
        <f t="shared" si="1"/>
        <v>15454.514999999999</v>
      </c>
      <c r="G8" s="102">
        <f t="shared" si="1"/>
        <v>15609.060149999999</v>
      </c>
      <c r="H8" s="102">
        <f t="shared" si="1"/>
        <v>15765.150751499999</v>
      </c>
      <c r="I8" s="102">
        <f t="shared" si="1"/>
        <v>15922.802259014999</v>
      </c>
      <c r="J8" s="102">
        <f t="shared" si="1"/>
        <v>16082.03028160515</v>
      </c>
      <c r="K8" s="102">
        <f t="shared" si="1"/>
        <v>16242.850584421201</v>
      </c>
      <c r="L8" s="102">
        <f t="shared" si="1"/>
        <v>16405.279090265412</v>
      </c>
      <c r="M8" s="102">
        <f t="shared" si="1"/>
        <v>16569.331881168066</v>
      </c>
      <c r="N8" s="102">
        <f t="shared" si="1"/>
        <v>16735.025199979747</v>
      </c>
      <c r="O8" s="102">
        <f t="shared" si="1"/>
        <v>16902.375451979544</v>
      </c>
      <c r="P8" s="102">
        <f t="shared" si="1"/>
        <v>17071.39920649934</v>
      </c>
      <c r="Q8" s="102">
        <f t="shared" si="1"/>
        <v>17242.113198564333</v>
      </c>
      <c r="R8" s="102">
        <f t="shared" si="1"/>
        <v>17414.534330549977</v>
      </c>
      <c r="S8" s="102">
        <f t="shared" si="1"/>
        <v>17588.679673855477</v>
      </c>
      <c r="T8" s="102">
        <f t="shared" si="1"/>
        <v>17764.566470594033</v>
      </c>
      <c r="U8" s="102">
        <f t="shared" si="1"/>
        <v>17942.212135299975</v>
      </c>
      <c r="V8" s="102">
        <f t="shared" si="1"/>
        <v>18121.634256652975</v>
      </c>
      <c r="W8" s="102">
        <f t="shared" si="1"/>
        <v>18302.850599219506</v>
      </c>
      <c r="X8" s="102">
        <f t="shared" si="1"/>
        <v>18485.879105211701</v>
      </c>
      <c r="Y8" s="102">
        <f t="shared" si="1"/>
        <v>18670.737896263818</v>
      </c>
      <c r="Z8" s="102">
        <f t="shared" si="1"/>
        <v>18857.445275226455</v>
      </c>
    </row>
    <row r="9" spans="1:26">
      <c r="B9" s="2" t="s">
        <v>554</v>
      </c>
      <c r="C9" s="102">
        <v>15000</v>
      </c>
      <c r="D9" s="102">
        <f t="shared" ref="D9:Z9" si="2">C9*1.01</f>
        <v>15150</v>
      </c>
      <c r="E9" s="102">
        <f t="shared" si="2"/>
        <v>15301.5</v>
      </c>
      <c r="F9" s="102">
        <f t="shared" si="2"/>
        <v>15454.514999999999</v>
      </c>
      <c r="G9" s="102">
        <f t="shared" si="2"/>
        <v>15609.060149999999</v>
      </c>
      <c r="H9" s="102">
        <f t="shared" si="2"/>
        <v>15765.150751499999</v>
      </c>
      <c r="I9" s="102">
        <f t="shared" si="2"/>
        <v>15922.802259014999</v>
      </c>
      <c r="J9" s="102">
        <f t="shared" si="2"/>
        <v>16082.03028160515</v>
      </c>
      <c r="K9" s="102">
        <f t="shared" si="2"/>
        <v>16242.850584421201</v>
      </c>
      <c r="L9" s="102">
        <f t="shared" si="2"/>
        <v>16405.279090265412</v>
      </c>
      <c r="M9" s="102">
        <f t="shared" si="2"/>
        <v>16569.331881168066</v>
      </c>
      <c r="N9" s="102">
        <f t="shared" si="2"/>
        <v>16735.025199979747</v>
      </c>
      <c r="O9" s="102">
        <f t="shared" si="2"/>
        <v>16902.375451979544</v>
      </c>
      <c r="P9" s="102">
        <f t="shared" si="2"/>
        <v>17071.39920649934</v>
      </c>
      <c r="Q9" s="102">
        <f t="shared" si="2"/>
        <v>17242.113198564333</v>
      </c>
      <c r="R9" s="102">
        <f t="shared" si="2"/>
        <v>17414.534330549977</v>
      </c>
      <c r="S9" s="102">
        <f t="shared" si="2"/>
        <v>17588.679673855477</v>
      </c>
      <c r="T9" s="102">
        <f t="shared" si="2"/>
        <v>17764.566470594033</v>
      </c>
      <c r="U9" s="102">
        <f t="shared" si="2"/>
        <v>17942.212135299975</v>
      </c>
      <c r="V9" s="102">
        <f t="shared" si="2"/>
        <v>18121.634256652975</v>
      </c>
      <c r="W9" s="102">
        <f t="shared" si="2"/>
        <v>18302.850599219506</v>
      </c>
      <c r="X9" s="102">
        <f t="shared" si="2"/>
        <v>18485.879105211701</v>
      </c>
      <c r="Y9" s="102">
        <f t="shared" si="2"/>
        <v>18670.737896263818</v>
      </c>
      <c r="Z9" s="102">
        <f t="shared" si="2"/>
        <v>18857.445275226455</v>
      </c>
    </row>
    <row r="10" spans="1:26">
      <c r="B10" s="2" t="s">
        <v>556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B11" s="2" t="s">
        <v>557</v>
      </c>
      <c r="C11" s="102">
        <f>SUM(C8:C10)</f>
        <v>30000</v>
      </c>
      <c r="D11" s="102">
        <f t="shared" ref="D11:Z11" si="3">SUM(D8:D10)</f>
        <v>30300</v>
      </c>
      <c r="E11" s="102">
        <f t="shared" si="3"/>
        <v>30603</v>
      </c>
      <c r="F11" s="102">
        <f t="shared" si="3"/>
        <v>30909.03</v>
      </c>
      <c r="G11" s="102">
        <f t="shared" si="3"/>
        <v>31218.120299999999</v>
      </c>
      <c r="H11" s="102">
        <f t="shared" si="3"/>
        <v>31530.301502999999</v>
      </c>
      <c r="I11" s="102">
        <f t="shared" si="3"/>
        <v>31845.604518029999</v>
      </c>
      <c r="J11" s="102">
        <f t="shared" si="3"/>
        <v>32164.0605632103</v>
      </c>
      <c r="K11" s="102">
        <f t="shared" si="3"/>
        <v>32485.701168842403</v>
      </c>
      <c r="L11" s="102">
        <f t="shared" si="3"/>
        <v>32810.558180530825</v>
      </c>
      <c r="M11" s="102">
        <f t="shared" si="3"/>
        <v>33138.663762336131</v>
      </c>
      <c r="N11" s="102">
        <f t="shared" si="3"/>
        <v>33470.050399959495</v>
      </c>
      <c r="O11" s="102">
        <f t="shared" si="3"/>
        <v>33804.750903959088</v>
      </c>
      <c r="P11" s="102">
        <f t="shared" si="3"/>
        <v>34142.79841299868</v>
      </c>
      <c r="Q11" s="102">
        <f t="shared" si="3"/>
        <v>34484.226397128667</v>
      </c>
      <c r="R11" s="102">
        <f t="shared" si="3"/>
        <v>34829.068661099955</v>
      </c>
      <c r="S11" s="102">
        <f t="shared" si="3"/>
        <v>35177.359347710953</v>
      </c>
      <c r="T11" s="102">
        <f t="shared" si="3"/>
        <v>35529.132941188065</v>
      </c>
      <c r="U11" s="102">
        <f t="shared" si="3"/>
        <v>35884.42427059995</v>
      </c>
      <c r="V11" s="102">
        <f t="shared" si="3"/>
        <v>36243.268513305949</v>
      </c>
      <c r="W11" s="102">
        <f t="shared" si="3"/>
        <v>36605.701198439012</v>
      </c>
      <c r="X11" s="102">
        <f t="shared" si="3"/>
        <v>36971.758210423402</v>
      </c>
      <c r="Y11" s="102">
        <f t="shared" si="3"/>
        <v>37341.475792527635</v>
      </c>
      <c r="Z11" s="102">
        <f t="shared" si="3"/>
        <v>37714.89055045291</v>
      </c>
    </row>
    <row r="12" spans="1:26">
      <c r="B12" s="2" t="s">
        <v>555</v>
      </c>
      <c r="C12" s="103">
        <v>0</v>
      </c>
      <c r="D12" s="103">
        <v>0.25</v>
      </c>
      <c r="E12" s="103">
        <v>0.3</v>
      </c>
      <c r="F12" s="103">
        <v>0.35</v>
      </c>
      <c r="G12" s="103">
        <v>0.35</v>
      </c>
      <c r="H12" s="103">
        <v>0.35</v>
      </c>
      <c r="I12" s="103">
        <v>0.35</v>
      </c>
      <c r="J12" s="103">
        <v>0.35</v>
      </c>
      <c r="K12" s="103">
        <v>0.35</v>
      </c>
      <c r="L12" s="103">
        <v>0.35</v>
      </c>
      <c r="M12" s="103">
        <v>0.35</v>
      </c>
      <c r="N12" s="103">
        <v>0.35</v>
      </c>
      <c r="O12" s="103">
        <v>0.35</v>
      </c>
      <c r="P12" s="103">
        <v>0.35</v>
      </c>
      <c r="Q12" s="103">
        <v>0.35</v>
      </c>
      <c r="R12" s="103">
        <v>0.35</v>
      </c>
      <c r="S12" s="103">
        <v>0.35</v>
      </c>
      <c r="T12" s="103">
        <v>0.35</v>
      </c>
      <c r="U12" s="103">
        <v>0.35</v>
      </c>
      <c r="V12" s="103">
        <v>0.35</v>
      </c>
      <c r="W12" s="103">
        <v>0.35</v>
      </c>
      <c r="X12" s="103">
        <v>0.35</v>
      </c>
      <c r="Y12" s="103">
        <v>0.35</v>
      </c>
      <c r="Z12" s="103">
        <v>0.35</v>
      </c>
    </row>
    <row r="13" spans="1:26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104" customFormat="1">
      <c r="B14" s="104" t="s">
        <v>558</v>
      </c>
      <c r="C14" s="105">
        <f>C13*C12*C9</f>
        <v>0</v>
      </c>
      <c r="D14" s="105">
        <f t="shared" ref="D14:Z14" si="4">D13*D12*D9</f>
        <v>189375</v>
      </c>
      <c r="E14" s="105">
        <f t="shared" si="4"/>
        <v>229522.5</v>
      </c>
      <c r="F14" s="105">
        <f t="shared" si="4"/>
        <v>270454.01250000001</v>
      </c>
      <c r="G14" s="105">
        <f t="shared" si="4"/>
        <v>273158.55262500001</v>
      </c>
      <c r="H14" s="105">
        <f t="shared" si="4"/>
        <v>275890.13815124996</v>
      </c>
      <c r="I14" s="105">
        <f t="shared" si="4"/>
        <v>278649.03953276249</v>
      </c>
      <c r="J14" s="105">
        <f t="shared" si="4"/>
        <v>281435.52992809011</v>
      </c>
      <c r="K14" s="105">
        <f t="shared" si="4"/>
        <v>284249.88522737101</v>
      </c>
      <c r="L14" s="105">
        <f t="shared" si="4"/>
        <v>287092.38407964469</v>
      </c>
      <c r="M14" s="105">
        <f t="shared" si="4"/>
        <v>289963.30792044115</v>
      </c>
      <c r="N14" s="105">
        <f t="shared" si="4"/>
        <v>292862.94099964557</v>
      </c>
      <c r="O14" s="105">
        <f t="shared" si="4"/>
        <v>295791.57040964201</v>
      </c>
      <c r="P14" s="105">
        <f t="shared" si="4"/>
        <v>298749.48611373844</v>
      </c>
      <c r="Q14" s="105">
        <f t="shared" si="4"/>
        <v>301736.98097487586</v>
      </c>
      <c r="R14" s="105">
        <f t="shared" si="4"/>
        <v>304754.35078462458</v>
      </c>
      <c r="S14" s="105">
        <f t="shared" si="4"/>
        <v>307801.89429247082</v>
      </c>
      <c r="T14" s="105">
        <f t="shared" si="4"/>
        <v>310879.91323539556</v>
      </c>
      <c r="U14" s="105">
        <f t="shared" si="4"/>
        <v>313988.71236774954</v>
      </c>
      <c r="V14" s="105">
        <f t="shared" si="4"/>
        <v>317128.59949142707</v>
      </c>
      <c r="W14" s="105">
        <f t="shared" si="4"/>
        <v>320299.88548634137</v>
      </c>
      <c r="X14" s="105">
        <f t="shared" si="4"/>
        <v>323502.88434120477</v>
      </c>
      <c r="Y14" s="105">
        <f t="shared" si="4"/>
        <v>326737.91318461683</v>
      </c>
      <c r="Z14" s="105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24</v>
      </c>
    </row>
    <row r="3" spans="1:3">
      <c r="B3" s="5" t="s">
        <v>51</v>
      </c>
      <c r="C3" s="5" t="s">
        <v>260</v>
      </c>
    </row>
    <row r="4" spans="1:3">
      <c r="B4" s="5" t="s">
        <v>44</v>
      </c>
      <c r="C4" s="5" t="s">
        <v>261</v>
      </c>
    </row>
    <row r="5" spans="1:3">
      <c r="B5" s="5" t="s">
        <v>106</v>
      </c>
      <c r="C5" s="17" t="s">
        <v>287</v>
      </c>
    </row>
    <row r="6" spans="1:3">
      <c r="B6" s="5" t="s">
        <v>53</v>
      </c>
    </row>
    <row r="7" spans="1:3">
      <c r="C7" s="18" t="s">
        <v>237</v>
      </c>
    </row>
    <row r="8" spans="1:3">
      <c r="C8" s="5" t="s">
        <v>238</v>
      </c>
    </row>
    <row r="10" spans="1:3">
      <c r="C10" s="18" t="s">
        <v>264</v>
      </c>
    </row>
    <row r="12" spans="1:3">
      <c r="C12" s="18" t="s">
        <v>262</v>
      </c>
    </row>
    <row r="14" spans="1:3">
      <c r="C14" s="18" t="s">
        <v>263</v>
      </c>
    </row>
    <row r="16" spans="1:3">
      <c r="C16" s="18" t="s">
        <v>444</v>
      </c>
    </row>
    <row r="17" spans="2:4">
      <c r="C17" s="3" t="s">
        <v>445</v>
      </c>
    </row>
    <row r="18" spans="2:4">
      <c r="C18" s="17"/>
    </row>
    <row r="19" spans="2:4">
      <c r="C19" s="18" t="s">
        <v>438</v>
      </c>
    </row>
    <row r="21" spans="2:4">
      <c r="B21" s="3" t="s">
        <v>399</v>
      </c>
    </row>
    <row r="22" spans="2:4">
      <c r="C22" s="66">
        <v>39387</v>
      </c>
      <c r="D22" s="5">
        <v>109</v>
      </c>
    </row>
    <row r="23" spans="2:4">
      <c r="C23" s="66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34</v>
      </c>
    </row>
    <row r="3" spans="1:3">
      <c r="B3" s="5" t="s">
        <v>51</v>
      </c>
      <c r="C3" s="5" t="s">
        <v>245</v>
      </c>
    </row>
    <row r="4" spans="1:3">
      <c r="B4" s="5" t="s">
        <v>44</v>
      </c>
      <c r="C4" s="5" t="s">
        <v>246</v>
      </c>
    </row>
    <row r="5" spans="1:3">
      <c r="B5" s="5" t="s">
        <v>53</v>
      </c>
    </row>
    <row r="6" spans="1:3">
      <c r="C6" s="18" t="s">
        <v>247</v>
      </c>
    </row>
    <row r="7" spans="1:3">
      <c r="C7" s="5" t="s">
        <v>248</v>
      </c>
    </row>
    <row r="9" spans="1:3">
      <c r="C9" s="18" t="s">
        <v>249</v>
      </c>
    </row>
    <row r="10" spans="1:3">
      <c r="C10" s="5" t="s">
        <v>250</v>
      </c>
    </row>
    <row r="12" spans="1:3">
      <c r="C12" s="18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2" t="s">
        <v>49</v>
      </c>
      <c r="C2" s="2" t="s">
        <v>31</v>
      </c>
    </row>
    <row r="3" spans="1:3">
      <c r="B3" s="2" t="s">
        <v>51</v>
      </c>
      <c r="C3" s="2" t="s">
        <v>514</v>
      </c>
    </row>
    <row r="4" spans="1:3">
      <c r="B4" s="2" t="s">
        <v>74</v>
      </c>
      <c r="C4" s="2" t="s">
        <v>515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62</v>
      </c>
    </row>
    <row r="3" spans="1:3">
      <c r="B3" s="4" t="s">
        <v>51</v>
      </c>
      <c r="C3" s="4" t="s">
        <v>210</v>
      </c>
    </row>
    <row r="4" spans="1:3">
      <c r="B4" s="4" t="s">
        <v>66</v>
      </c>
      <c r="C4" s="4" t="s">
        <v>85</v>
      </c>
    </row>
    <row r="5" spans="1:3">
      <c r="B5" s="4" t="s">
        <v>75</v>
      </c>
      <c r="C5" s="4" t="s">
        <v>209</v>
      </c>
    </row>
    <row r="6" spans="1:3">
      <c r="B6" s="17" t="s">
        <v>191</v>
      </c>
      <c r="C6" s="17" t="s">
        <v>313</v>
      </c>
    </row>
    <row r="7" spans="1:3">
      <c r="B7" s="4" t="s">
        <v>53</v>
      </c>
    </row>
    <row r="8" spans="1:3">
      <c r="C8" s="18" t="s">
        <v>217</v>
      </c>
    </row>
    <row r="9" spans="1:3">
      <c r="C9" s="19" t="s">
        <v>213</v>
      </c>
    </row>
    <row r="10" spans="1:3">
      <c r="C10" s="4" t="s">
        <v>214</v>
      </c>
    </row>
    <row r="12" spans="1:3">
      <c r="C12" s="18" t="s">
        <v>212</v>
      </c>
    </row>
    <row r="13" spans="1:3">
      <c r="C13" s="4" t="s">
        <v>215</v>
      </c>
    </row>
    <row r="14" spans="1:3">
      <c r="C14" s="4" t="s">
        <v>216</v>
      </c>
    </row>
    <row r="16" spans="1:3">
      <c r="C16" s="18" t="s">
        <v>505</v>
      </c>
    </row>
    <row r="17" spans="3:3">
      <c r="C17" s="4" t="s">
        <v>242</v>
      </c>
    </row>
    <row r="18" spans="3:3">
      <c r="C18" s="3" t="s">
        <v>504</v>
      </c>
    </row>
    <row r="19" spans="3:3">
      <c r="C19" s="3" t="s">
        <v>506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/>
  <cols>
    <col min="1" max="1" width="5" style="68" bestFit="1" customWidth="1"/>
    <col min="2" max="2" width="11.28515625" style="68" bestFit="1" customWidth="1"/>
    <col min="3" max="16384" width="9.140625" style="68"/>
  </cols>
  <sheetData>
    <row r="1" spans="1:4">
      <c r="A1" s="67" t="s">
        <v>55</v>
      </c>
    </row>
    <row r="2" spans="1:4">
      <c r="B2" s="69" t="s">
        <v>49</v>
      </c>
      <c r="C2" s="69" t="s">
        <v>29</v>
      </c>
    </row>
    <row r="3" spans="1:4">
      <c r="B3" s="69" t="s">
        <v>399</v>
      </c>
    </row>
    <row r="4" spans="1:4">
      <c r="C4" s="70">
        <v>39387</v>
      </c>
      <c r="D4" s="68">
        <v>69</v>
      </c>
    </row>
    <row r="5" spans="1:4">
      <c r="C5" s="70">
        <v>39356</v>
      </c>
      <c r="D5" s="68">
        <v>74</v>
      </c>
    </row>
    <row r="6" spans="1:4">
      <c r="B6" s="69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/>
  <cols>
    <col min="1" max="1" width="5" bestFit="1" customWidth="1"/>
    <col min="2" max="2" width="11.28515625" bestFit="1" customWidth="1"/>
    <col min="3" max="3" width="7.28515625" bestFit="1" customWidth="1"/>
  </cols>
  <sheetData>
    <row r="1" spans="1:4">
      <c r="A1" s="47" t="s">
        <v>55</v>
      </c>
    </row>
    <row r="2" spans="1:4">
      <c r="B2" s="2" t="s">
        <v>49</v>
      </c>
      <c r="C2" s="2" t="s">
        <v>25</v>
      </c>
    </row>
    <row r="3" spans="1:4">
      <c r="B3" s="3" t="s">
        <v>399</v>
      </c>
      <c r="C3" s="5"/>
      <c r="D3" s="5"/>
    </row>
    <row r="4" spans="1:4">
      <c r="B4" s="5"/>
      <c r="C4" s="66">
        <v>39387</v>
      </c>
      <c r="D4" s="5">
        <v>37</v>
      </c>
    </row>
    <row r="5" spans="1:4">
      <c r="B5" s="5"/>
      <c r="C5" s="66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/>
  <cols>
    <col min="1" max="1" width="5" style="4" bestFit="1" customWidth="1"/>
    <col min="2" max="2" width="12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78</v>
      </c>
    </row>
    <row r="3" spans="1:3">
      <c r="B3" s="4" t="s">
        <v>66</v>
      </c>
      <c r="C3" s="4" t="s">
        <v>252</v>
      </c>
    </row>
    <row r="4" spans="1:3">
      <c r="B4" s="4" t="s">
        <v>44</v>
      </c>
      <c r="C4" s="4" t="s">
        <v>246</v>
      </c>
    </row>
    <row r="5" spans="1:3">
      <c r="B5" s="4" t="s">
        <v>75</v>
      </c>
      <c r="C5" s="4" t="s">
        <v>121</v>
      </c>
    </row>
    <row r="6" spans="1:3">
      <c r="B6" s="4" t="s">
        <v>53</v>
      </c>
    </row>
    <row r="7" spans="1:3">
      <c r="C7" s="18" t="s">
        <v>257</v>
      </c>
    </row>
    <row r="10" spans="1:3">
      <c r="C10" s="18" t="s">
        <v>256</v>
      </c>
    </row>
    <row r="11" spans="1:3">
      <c r="C11" s="4" t="s">
        <v>255</v>
      </c>
    </row>
    <row r="13" spans="1:3">
      <c r="C13" s="4" t="s">
        <v>286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51</v>
      </c>
      <c r="C2" s="5" t="s">
        <v>148</v>
      </c>
    </row>
    <row r="3" spans="1:3">
      <c r="B3" s="5" t="s">
        <v>44</v>
      </c>
      <c r="C3" s="5" t="s">
        <v>236</v>
      </c>
    </row>
    <row r="4" spans="1:3">
      <c r="B4" s="5" t="s">
        <v>66</v>
      </c>
      <c r="C4" s="5" t="s">
        <v>235</v>
      </c>
    </row>
    <row r="5" spans="1:3">
      <c r="B5" s="5" t="s">
        <v>53</v>
      </c>
    </row>
    <row r="6" spans="1:3">
      <c r="C6" s="18" t="s">
        <v>234</v>
      </c>
    </row>
    <row r="8" spans="1:3">
      <c r="C8" s="18" t="s">
        <v>698</v>
      </c>
    </row>
    <row r="9" spans="1:3">
      <c r="C9" s="3" t="s">
        <v>699</v>
      </c>
    </row>
    <row r="11" spans="1:3">
      <c r="C11" s="18" t="s">
        <v>232</v>
      </c>
    </row>
    <row r="12" spans="1:3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71" t="s">
        <v>55</v>
      </c>
    </row>
    <row r="2" spans="1:3">
      <c r="B2" s="5" t="s">
        <v>49</v>
      </c>
      <c r="C2" s="3" t="s">
        <v>533</v>
      </c>
    </row>
    <row r="3" spans="1:3">
      <c r="B3" s="5" t="s">
        <v>51</v>
      </c>
      <c r="C3" s="5" t="s">
        <v>532</v>
      </c>
    </row>
    <row r="4" spans="1:3">
      <c r="B4" s="5" t="s">
        <v>44</v>
      </c>
      <c r="C4" s="5" t="s">
        <v>70</v>
      </c>
    </row>
    <row r="5" spans="1:3">
      <c r="B5" s="5" t="s">
        <v>65</v>
      </c>
      <c r="C5" s="5" t="s">
        <v>77</v>
      </c>
    </row>
    <row r="6" spans="1:3">
      <c r="B6" s="5" t="s">
        <v>66</v>
      </c>
      <c r="C6" s="5" t="s">
        <v>98</v>
      </c>
    </row>
    <row r="7" spans="1:3">
      <c r="C7" s="5" t="s">
        <v>99</v>
      </c>
    </row>
    <row r="8" spans="1:3">
      <c r="C8" s="5" t="s">
        <v>100</v>
      </c>
    </row>
    <row r="9" spans="1:3">
      <c r="C9" s="5" t="s">
        <v>101</v>
      </c>
    </row>
    <row r="10" spans="1:3">
      <c r="C10" s="5" t="s">
        <v>102</v>
      </c>
    </row>
    <row r="11" spans="1:3">
      <c r="B11" s="5" t="s">
        <v>75</v>
      </c>
      <c r="C11" s="5" t="s">
        <v>76</v>
      </c>
    </row>
    <row r="12" spans="1:3">
      <c r="B12" s="5" t="s">
        <v>96</v>
      </c>
      <c r="C12" s="5" t="s">
        <v>97</v>
      </c>
    </row>
    <row r="13" spans="1:3">
      <c r="B13" s="3" t="s">
        <v>53</v>
      </c>
    </row>
    <row r="14" spans="1:3">
      <c r="C14" s="18" t="s">
        <v>525</v>
      </c>
    </row>
    <row r="15" spans="1:3">
      <c r="C15" s="3" t="s">
        <v>526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>
      <c r="A1" s="139" t="s">
        <v>55</v>
      </c>
    </row>
    <row r="2" spans="1:19">
      <c r="B2" s="48" t="s">
        <v>619</v>
      </c>
    </row>
    <row r="3" spans="1:19">
      <c r="E3" s="2" t="s">
        <v>643</v>
      </c>
      <c r="F3" s="2" t="s">
        <v>644</v>
      </c>
    </row>
    <row r="4" spans="1:19">
      <c r="B4" s="2" t="s">
        <v>43</v>
      </c>
      <c r="C4" s="2" t="s">
        <v>620</v>
      </c>
      <c r="D4" s="2" t="s">
        <v>621</v>
      </c>
      <c r="E4" s="2" t="s">
        <v>622</v>
      </c>
      <c r="F4" s="2" t="s">
        <v>622</v>
      </c>
      <c r="G4" s="2" t="s">
        <v>623</v>
      </c>
      <c r="H4" s="2" t="s">
        <v>624</v>
      </c>
      <c r="I4" s="2" t="s">
        <v>625</v>
      </c>
      <c r="J4" t="s">
        <v>106</v>
      </c>
      <c r="K4" t="s">
        <v>627</v>
      </c>
      <c r="L4" t="s">
        <v>628</v>
      </c>
      <c r="M4" t="s">
        <v>629</v>
      </c>
      <c r="N4" t="s">
        <v>630</v>
      </c>
      <c r="O4" t="s">
        <v>631</v>
      </c>
      <c r="P4" t="s">
        <v>632</v>
      </c>
      <c r="Q4" t="s">
        <v>633</v>
      </c>
      <c r="R4" t="s">
        <v>634</v>
      </c>
      <c r="S4" s="2" t="s">
        <v>639</v>
      </c>
    </row>
    <row r="5" spans="1:19">
      <c r="C5">
        <v>2010</v>
      </c>
    </row>
    <row r="6" spans="1:19">
      <c r="C6">
        <v>2011</v>
      </c>
    </row>
    <row r="7" spans="1:19">
      <c r="C7">
        <v>2012</v>
      </c>
    </row>
    <row r="8" spans="1:19">
      <c r="C8">
        <v>2013</v>
      </c>
    </row>
    <row r="9" spans="1:19">
      <c r="C9">
        <v>2014</v>
      </c>
    </row>
    <row r="10" spans="1:19">
      <c r="B10" s="2" t="s">
        <v>667</v>
      </c>
      <c r="C10" s="123">
        <v>42200</v>
      </c>
      <c r="D10" s="122">
        <v>38551</v>
      </c>
      <c r="E10" s="2" t="s">
        <v>657</v>
      </c>
      <c r="F10" s="2" t="s">
        <v>665</v>
      </c>
      <c r="G10" s="102">
        <v>993.32</v>
      </c>
      <c r="H10" s="121">
        <v>4.7500000000000001E-2</v>
      </c>
      <c r="I10" s="2" t="s">
        <v>626</v>
      </c>
      <c r="J10">
        <v>107.1</v>
      </c>
      <c r="K10" s="121">
        <v>3.2599999999999997E-2</v>
      </c>
      <c r="L10" s="2" t="s">
        <v>642</v>
      </c>
      <c r="M10" s="2" t="s">
        <v>635</v>
      </c>
      <c r="N10" s="121">
        <v>7.3590000000000003E-2</v>
      </c>
      <c r="O10" s="122">
        <v>39736</v>
      </c>
      <c r="P10" s="121">
        <v>2.8389999999999999E-2</v>
      </c>
      <c r="Q10" s="122">
        <v>40133</v>
      </c>
      <c r="R10" s="121">
        <v>2.4500000000000001E-2</v>
      </c>
      <c r="S10" s="121">
        <f t="shared" ref="S10:S19" si="0">K10-R10</f>
        <v>8.0999999999999961E-3</v>
      </c>
    </row>
    <row r="11" spans="1:19">
      <c r="B11" s="2" t="s">
        <v>666</v>
      </c>
      <c r="C11" s="122">
        <v>42200</v>
      </c>
      <c r="D11" s="122">
        <v>38546</v>
      </c>
      <c r="E11" s="2" t="s">
        <v>657</v>
      </c>
      <c r="F11" s="2" t="s">
        <v>665</v>
      </c>
      <c r="G11" s="102">
        <v>6.68</v>
      </c>
      <c r="H11" s="121">
        <v>4.7500000000000001E-2</v>
      </c>
      <c r="I11" s="2" t="s">
        <v>626</v>
      </c>
      <c r="J11">
        <v>108</v>
      </c>
      <c r="K11" s="121">
        <v>3.0700000000000002E-2</v>
      </c>
      <c r="L11" s="2" t="s">
        <v>642</v>
      </c>
      <c r="M11" s="2" t="s">
        <v>635</v>
      </c>
      <c r="N11" s="121">
        <v>7.5139999999999998E-2</v>
      </c>
      <c r="O11" s="122">
        <v>39745</v>
      </c>
      <c r="P11" s="121">
        <v>2.9579999999999999E-2</v>
      </c>
      <c r="Q11" s="122">
        <v>40144</v>
      </c>
      <c r="R11" s="121">
        <v>2.4500000000000001E-2</v>
      </c>
      <c r="S11" s="121">
        <f t="shared" si="0"/>
        <v>6.2000000000000006E-3</v>
      </c>
    </row>
    <row r="12" spans="1:19">
      <c r="B12" s="2" t="s">
        <v>664</v>
      </c>
      <c r="C12" s="122">
        <v>42067</v>
      </c>
      <c r="D12" s="122">
        <v>39869</v>
      </c>
      <c r="E12" s="2" t="s">
        <v>663</v>
      </c>
      <c r="F12" s="2" t="s">
        <v>665</v>
      </c>
      <c r="G12" s="102">
        <v>1250</v>
      </c>
      <c r="H12" s="121">
        <v>5.5E-2</v>
      </c>
      <c r="I12" s="2" t="s">
        <v>646</v>
      </c>
      <c r="J12">
        <v>107.8914</v>
      </c>
      <c r="K12" s="121">
        <v>3.6400000000000002E-2</v>
      </c>
      <c r="L12" s="2" t="s">
        <v>636</v>
      </c>
      <c r="M12" s="2" t="s">
        <v>635</v>
      </c>
      <c r="N12" s="121">
        <v>5.6730000000000003E-2</v>
      </c>
      <c r="O12" s="122">
        <v>39870</v>
      </c>
      <c r="P12" s="121">
        <v>3.6339999999999997E-2</v>
      </c>
      <c r="Q12" s="122">
        <v>40270</v>
      </c>
      <c r="R12" s="121">
        <v>2.4500000000000001E-2</v>
      </c>
      <c r="S12" s="121">
        <f t="shared" si="0"/>
        <v>1.1900000000000001E-2</v>
      </c>
    </row>
    <row r="13" spans="1:19">
      <c r="B13" s="2" t="s">
        <v>662</v>
      </c>
      <c r="C13" s="122">
        <v>42433</v>
      </c>
      <c r="D13" s="122">
        <v>39869</v>
      </c>
      <c r="E13" s="2" t="s">
        <v>661</v>
      </c>
      <c r="F13" s="2" t="s">
        <v>663</v>
      </c>
      <c r="G13" s="102">
        <v>2750</v>
      </c>
      <c r="H13" s="121">
        <v>5.6250000000000001E-2</v>
      </c>
      <c r="I13" s="2" t="s">
        <v>649</v>
      </c>
      <c r="J13">
        <v>113.5855</v>
      </c>
      <c r="K13" s="121">
        <v>3.0300000000000001E-2</v>
      </c>
      <c r="L13" s="2" t="s">
        <v>636</v>
      </c>
      <c r="M13" s="2" t="s">
        <v>635</v>
      </c>
      <c r="N13" s="121">
        <v>5.5359999999999999E-2</v>
      </c>
      <c r="O13" s="122">
        <v>39870</v>
      </c>
      <c r="P13" s="121">
        <v>3.024E-2</v>
      </c>
      <c r="Q13" s="123">
        <v>40284</v>
      </c>
      <c r="R13" s="121">
        <f>AVERAGE(2.48%,3.19%)</f>
        <v>2.835E-2</v>
      </c>
      <c r="S13" s="121">
        <f t="shared" si="0"/>
        <v>1.9500000000000003E-3</v>
      </c>
    </row>
    <row r="14" spans="1:19">
      <c r="B14" s="2" t="s">
        <v>658</v>
      </c>
      <c r="C14" s="122">
        <v>42817</v>
      </c>
      <c r="D14" s="122">
        <v>39876</v>
      </c>
      <c r="E14" s="2" t="s">
        <v>660</v>
      </c>
      <c r="F14" s="2" t="s">
        <v>661</v>
      </c>
      <c r="G14" s="102">
        <v>1500</v>
      </c>
      <c r="H14" s="121">
        <v>4.4999999999999998E-2</v>
      </c>
      <c r="I14" s="2" t="s">
        <v>659</v>
      </c>
      <c r="J14">
        <v>115.0825</v>
      </c>
      <c r="K14" s="121">
        <v>2.1499999999999998E-2</v>
      </c>
      <c r="L14" s="2" t="s">
        <v>636</v>
      </c>
      <c r="M14" s="2" t="s">
        <v>635</v>
      </c>
      <c r="N14" s="121">
        <v>4.4569999999999999E-2</v>
      </c>
      <c r="O14" s="122">
        <v>39876</v>
      </c>
      <c r="P14" s="121">
        <v>2.1149999999999999E-2</v>
      </c>
      <c r="Q14" s="122">
        <v>40274</v>
      </c>
      <c r="R14" s="121">
        <v>3.1899999999999998E-2</v>
      </c>
      <c r="S14" s="121">
        <f t="shared" si="0"/>
        <v>-1.04E-2</v>
      </c>
    </row>
    <row r="15" spans="1:19">
      <c r="B15" s="2" t="s">
        <v>655</v>
      </c>
      <c r="C15" s="122">
        <v>43525</v>
      </c>
      <c r="D15" s="122">
        <v>39862</v>
      </c>
      <c r="E15" s="2" t="s">
        <v>657</v>
      </c>
      <c r="F15" s="2" t="s">
        <v>656</v>
      </c>
      <c r="G15" s="102">
        <v>4500</v>
      </c>
      <c r="H15" s="121">
        <v>0.06</v>
      </c>
      <c r="I15" s="2" t="s">
        <v>626</v>
      </c>
      <c r="J15">
        <v>110.85899999999999</v>
      </c>
      <c r="K15" s="121">
        <v>4.4499999999999998E-2</v>
      </c>
      <c r="L15" s="2" t="s">
        <v>636</v>
      </c>
      <c r="M15" s="2" t="s">
        <v>635</v>
      </c>
      <c r="N15" s="121">
        <v>5.9859999999999997E-2</v>
      </c>
      <c r="O15" s="122">
        <v>39889</v>
      </c>
      <c r="P15" s="121">
        <v>4.2569999999999997E-2</v>
      </c>
      <c r="Q15" s="122">
        <v>40147</v>
      </c>
      <c r="R15" s="121">
        <v>3.7499999999999999E-2</v>
      </c>
      <c r="S15" s="121">
        <f t="shared" si="0"/>
        <v>6.9999999999999993E-3</v>
      </c>
    </row>
    <row r="16" spans="1:19">
      <c r="B16" s="2" t="s">
        <v>648</v>
      </c>
      <c r="C16" s="122">
        <v>44259</v>
      </c>
      <c r="D16" s="122">
        <v>39869</v>
      </c>
      <c r="E16" s="2" t="s">
        <v>650</v>
      </c>
      <c r="F16" s="2" t="s">
        <v>651</v>
      </c>
      <c r="G16" s="102">
        <v>1750</v>
      </c>
      <c r="H16" s="121">
        <v>6.5000000000000002E-2</v>
      </c>
      <c r="I16" s="2" t="s">
        <v>649</v>
      </c>
      <c r="J16">
        <v>122.0099</v>
      </c>
      <c r="K16" s="121">
        <v>3.95E-2</v>
      </c>
      <c r="L16" s="2" t="s">
        <v>636</v>
      </c>
      <c r="M16" s="2" t="s">
        <v>635</v>
      </c>
      <c r="N16" s="121">
        <v>6.4390000000000003E-2</v>
      </c>
      <c r="O16" s="122">
        <v>39870</v>
      </c>
      <c r="P16" s="121">
        <v>3.9410000000000001E-2</v>
      </c>
      <c r="Q16" s="122">
        <v>40260</v>
      </c>
      <c r="R16" s="121">
        <v>3.7499999999999999E-2</v>
      </c>
      <c r="S16" s="121">
        <f t="shared" si="0"/>
        <v>2.0000000000000018E-3</v>
      </c>
    </row>
    <row r="17" spans="2:19">
      <c r="B17" s="2" t="s">
        <v>645</v>
      </c>
      <c r="C17" s="122">
        <v>45167</v>
      </c>
      <c r="D17" s="122">
        <v>37854</v>
      </c>
      <c r="E17" s="2" t="s">
        <v>647</v>
      </c>
      <c r="F17" s="2" t="s">
        <v>652</v>
      </c>
      <c r="G17" s="102">
        <v>250</v>
      </c>
      <c r="H17" s="121">
        <v>5.3749999999999999E-2</v>
      </c>
      <c r="I17" s="2" t="s">
        <v>646</v>
      </c>
      <c r="J17">
        <v>102.3557</v>
      </c>
      <c r="K17" s="121">
        <v>3.6999999999999998E-2</v>
      </c>
      <c r="L17" s="2" t="s">
        <v>636</v>
      </c>
      <c r="M17" s="2" t="s">
        <v>635</v>
      </c>
      <c r="N17" s="121">
        <v>7.0470000000000005E-2</v>
      </c>
      <c r="O17" s="122">
        <v>39756</v>
      </c>
      <c r="P17" s="121">
        <v>4.546E-2</v>
      </c>
      <c r="Q17" s="122">
        <v>38735</v>
      </c>
      <c r="R17" s="121">
        <v>2.1000000000000001E-2</v>
      </c>
      <c r="S17" s="121">
        <f t="shared" si="0"/>
        <v>1.5999999999999997E-2</v>
      </c>
    </row>
    <row r="18" spans="2:19">
      <c r="B18" s="2" t="s">
        <v>640</v>
      </c>
      <c r="C18" s="122">
        <v>49505</v>
      </c>
      <c r="D18" s="122">
        <v>38551</v>
      </c>
      <c r="E18" s="2" t="s">
        <v>637</v>
      </c>
      <c r="F18" s="2" t="s">
        <v>653</v>
      </c>
      <c r="G18" s="102">
        <v>500</v>
      </c>
      <c r="H18" s="121">
        <v>5.2499999999999998E-2</v>
      </c>
      <c r="I18" s="2" t="s">
        <v>641</v>
      </c>
      <c r="J18">
        <v>98.950999999999993</v>
      </c>
      <c r="K18" s="121">
        <v>4.3900000000000002E-2</v>
      </c>
      <c r="L18" s="2" t="s">
        <v>642</v>
      </c>
      <c r="M18" s="2" t="s">
        <v>635</v>
      </c>
      <c r="N18" s="121">
        <v>7.2969999999999993E-2</v>
      </c>
      <c r="O18" s="122">
        <v>39735</v>
      </c>
      <c r="P18" s="121">
        <v>5.135E-2</v>
      </c>
      <c r="Q18" s="122">
        <v>40147</v>
      </c>
      <c r="R18" s="121">
        <v>0.03</v>
      </c>
      <c r="S18" s="121">
        <f t="shared" si="0"/>
        <v>1.3900000000000003E-2</v>
      </c>
    </row>
    <row r="19" spans="2:19">
      <c r="B19" s="2" t="s">
        <v>638</v>
      </c>
      <c r="C19" s="122">
        <v>50830</v>
      </c>
      <c r="D19" s="122">
        <v>39862</v>
      </c>
      <c r="E19" s="2" t="s">
        <v>637</v>
      </c>
      <c r="F19" s="2" t="s">
        <v>654</v>
      </c>
      <c r="G19" s="102">
        <v>2500</v>
      </c>
      <c r="H19" s="121">
        <v>7.0000000000000007E-2</v>
      </c>
      <c r="I19" s="2" t="s">
        <v>626</v>
      </c>
      <c r="J19">
        <v>125.7942</v>
      </c>
      <c r="K19" s="121">
        <v>4.5999999999999999E-2</v>
      </c>
      <c r="L19" s="2" t="s">
        <v>636</v>
      </c>
      <c r="M19" s="2" t="s">
        <v>635</v>
      </c>
      <c r="N19" s="121">
        <v>6.8470000000000003E-2</v>
      </c>
      <c r="O19" s="122">
        <v>39863</v>
      </c>
      <c r="P19" s="121">
        <v>4.5159999999999999E-2</v>
      </c>
      <c r="Q19" s="122">
        <v>40416</v>
      </c>
      <c r="R19" s="121">
        <v>3.4799999999999998E-2</v>
      </c>
      <c r="S19" s="121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5" t="s">
        <v>55</v>
      </c>
    </row>
    <row r="2" spans="1:3">
      <c r="B2" s="4" t="s">
        <v>49</v>
      </c>
      <c r="C2" s="4" t="s">
        <v>222</v>
      </c>
    </row>
    <row r="3" spans="1:3">
      <c r="B3" s="4" t="s">
        <v>51</v>
      </c>
      <c r="C3" s="4" t="s">
        <v>199</v>
      </c>
    </row>
    <row r="4" spans="1:3">
      <c r="B4" s="4" t="s">
        <v>66</v>
      </c>
      <c r="C4" s="4" t="s">
        <v>203</v>
      </c>
    </row>
    <row r="5" spans="1:3">
      <c r="B5" s="4" t="s">
        <v>65</v>
      </c>
      <c r="C5" s="4" t="s">
        <v>200</v>
      </c>
    </row>
    <row r="6" spans="1:3">
      <c r="B6" s="4" t="s">
        <v>9</v>
      </c>
      <c r="C6" s="4" t="s">
        <v>202</v>
      </c>
    </row>
    <row r="7" spans="1:3">
      <c r="B7" s="4" t="s">
        <v>81</v>
      </c>
      <c r="C7" s="4" t="s">
        <v>201</v>
      </c>
    </row>
    <row r="8" spans="1:3">
      <c r="B8" s="4" t="s">
        <v>53</v>
      </c>
    </row>
    <row r="9" spans="1:3">
      <c r="C9" s="18" t="s">
        <v>511</v>
      </c>
    </row>
    <row r="10" spans="1:3">
      <c r="C10" s="3" t="s">
        <v>512</v>
      </c>
    </row>
    <row r="11" spans="1:3">
      <c r="C11" s="3" t="s">
        <v>513</v>
      </c>
    </row>
    <row r="13" spans="1:3">
      <c r="C13" s="18" t="s">
        <v>204</v>
      </c>
    </row>
    <row r="14" spans="1:3">
      <c r="C14" s="4" t="s">
        <v>221</v>
      </c>
    </row>
    <row r="15" spans="1:3">
      <c r="C15" s="17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50</v>
      </c>
    </row>
    <row r="3" spans="1:3">
      <c r="B3" s="5" t="s">
        <v>51</v>
      </c>
      <c r="C3" s="5" t="s">
        <v>52</v>
      </c>
    </row>
    <row r="4" spans="1:3">
      <c r="B4" s="5" t="s">
        <v>104</v>
      </c>
      <c r="C4" s="5" t="s">
        <v>105</v>
      </c>
    </row>
    <row r="5" spans="1:3">
      <c r="B5" s="5" t="s">
        <v>74</v>
      </c>
      <c r="C5" s="5" t="s">
        <v>175</v>
      </c>
    </row>
    <row r="6" spans="1:3">
      <c r="B6" s="5" t="s">
        <v>53</v>
      </c>
    </row>
    <row r="7" spans="1:3">
      <c r="C7" s="5" t="s">
        <v>54</v>
      </c>
    </row>
    <row r="9" spans="1:3">
      <c r="C9" s="18" t="s">
        <v>89</v>
      </c>
    </row>
    <row r="10" spans="1:3">
      <c r="C10" s="5" t="s">
        <v>88</v>
      </c>
    </row>
    <row r="11" spans="1:3">
      <c r="C11" s="5" t="s">
        <v>90</v>
      </c>
    </row>
    <row r="12" spans="1:3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1" t="s">
        <v>49</v>
      </c>
      <c r="C2" s="1" t="s">
        <v>294</v>
      </c>
    </row>
    <row r="3" spans="1:3">
      <c r="B3" s="1" t="s">
        <v>51</v>
      </c>
      <c r="C3" s="1" t="s">
        <v>295</v>
      </c>
    </row>
    <row r="4" spans="1:3">
      <c r="B4" s="1" t="s">
        <v>44</v>
      </c>
      <c r="C4" s="1" t="s">
        <v>296</v>
      </c>
    </row>
    <row r="5" spans="1:3">
      <c r="B5" s="1" t="s">
        <v>66</v>
      </c>
      <c r="C5" s="1" t="s">
        <v>130</v>
      </c>
    </row>
    <row r="6" spans="1:3">
      <c r="B6" s="1" t="s">
        <v>53</v>
      </c>
    </row>
    <row r="7" spans="1:3">
      <c r="C7" s="48" t="s">
        <v>297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/>
  <cols>
    <col min="1" max="1" width="5" bestFit="1" customWidth="1"/>
  </cols>
  <sheetData>
    <row r="1" spans="1:6">
      <c r="A1" s="47" t="s">
        <v>55</v>
      </c>
    </row>
    <row r="3" spans="1:6">
      <c r="B3" s="2" t="s">
        <v>122</v>
      </c>
      <c r="C3" s="2" t="s">
        <v>123</v>
      </c>
    </row>
    <row r="4" spans="1:6">
      <c r="B4" s="2" t="s">
        <v>199</v>
      </c>
      <c r="C4" s="2" t="s">
        <v>67</v>
      </c>
      <c r="D4" s="2" t="s">
        <v>114</v>
      </c>
    </row>
    <row r="5" spans="1:6">
      <c r="B5" s="8" t="s">
        <v>127</v>
      </c>
      <c r="C5" s="11" t="s">
        <v>84</v>
      </c>
      <c r="D5" s="11" t="s">
        <v>110</v>
      </c>
      <c r="E5" s="16" t="s">
        <v>128</v>
      </c>
      <c r="F5" s="11" t="s">
        <v>129</v>
      </c>
    </row>
    <row r="6" spans="1:6">
      <c r="B6" s="8" t="s">
        <v>290</v>
      </c>
      <c r="C6" s="11" t="s">
        <v>291</v>
      </c>
      <c r="D6" s="11" t="s">
        <v>110</v>
      </c>
      <c r="E6" s="16">
        <v>1</v>
      </c>
      <c r="F6" s="11" t="s">
        <v>292</v>
      </c>
    </row>
    <row r="7" spans="1:6">
      <c r="B7" s="8" t="s">
        <v>274</v>
      </c>
      <c r="C7" s="11" t="s">
        <v>275</v>
      </c>
      <c r="D7" s="11" t="s">
        <v>110</v>
      </c>
      <c r="E7" s="16">
        <v>1</v>
      </c>
    </row>
    <row r="8" spans="1:6">
      <c r="B8" s="8" t="s">
        <v>280</v>
      </c>
      <c r="C8" s="11" t="s">
        <v>115</v>
      </c>
      <c r="D8" s="11" t="s">
        <v>110</v>
      </c>
      <c r="E8" s="16">
        <v>1</v>
      </c>
    </row>
    <row r="9" spans="1:6">
      <c r="B9" s="8" t="s">
        <v>278</v>
      </c>
      <c r="C9" s="11" t="s">
        <v>115</v>
      </c>
      <c r="D9" s="11" t="s">
        <v>110</v>
      </c>
      <c r="E9" s="16">
        <v>1</v>
      </c>
    </row>
    <row r="10" spans="1:6">
      <c r="B10" s="63" t="s">
        <v>364</v>
      </c>
      <c r="C10" s="10" t="s">
        <v>361</v>
      </c>
      <c r="D10" s="10" t="s">
        <v>110</v>
      </c>
      <c r="E10" s="49">
        <v>1</v>
      </c>
      <c r="F10" s="10" t="s">
        <v>365</v>
      </c>
    </row>
    <row r="11" spans="1:6">
      <c r="B11" s="8" t="s">
        <v>283</v>
      </c>
      <c r="C11" s="11" t="s">
        <v>284</v>
      </c>
      <c r="D11" s="11" t="s">
        <v>110</v>
      </c>
      <c r="E11" s="16">
        <v>1</v>
      </c>
    </row>
    <row r="12" spans="1:6">
      <c r="B12" s="8" t="s">
        <v>116</v>
      </c>
      <c r="C12" s="11" t="s">
        <v>84</v>
      </c>
      <c r="D12" s="11" t="s">
        <v>80</v>
      </c>
      <c r="E12" s="16">
        <v>1</v>
      </c>
      <c r="F12" s="11" t="s">
        <v>117</v>
      </c>
    </row>
    <row r="13" spans="1:6">
      <c r="B13" s="8" t="s">
        <v>118</v>
      </c>
      <c r="C13" s="11" t="s">
        <v>119</v>
      </c>
      <c r="D13" s="11" t="s">
        <v>80</v>
      </c>
      <c r="E13" s="16">
        <v>1</v>
      </c>
    </row>
    <row r="14" spans="1:6">
      <c r="B14" s="8" t="s">
        <v>69</v>
      </c>
      <c r="C14" s="11" t="s">
        <v>67</v>
      </c>
      <c r="D14" s="11" t="s">
        <v>80</v>
      </c>
      <c r="E14" s="16">
        <v>1</v>
      </c>
    </row>
    <row r="15" spans="1:6">
      <c r="B15" s="63" t="s">
        <v>125</v>
      </c>
      <c r="C15" s="10" t="s">
        <v>124</v>
      </c>
      <c r="D15" s="10" t="s">
        <v>80</v>
      </c>
      <c r="E15" s="2" t="s">
        <v>126</v>
      </c>
      <c r="F15" s="2" t="s">
        <v>605</v>
      </c>
    </row>
    <row r="16" spans="1:6">
      <c r="B16" s="63" t="s">
        <v>382</v>
      </c>
      <c r="C16" s="10" t="s">
        <v>291</v>
      </c>
      <c r="D16" s="10" t="s">
        <v>80</v>
      </c>
      <c r="E16" s="2" t="s">
        <v>578</v>
      </c>
      <c r="F16" s="2" t="s">
        <v>606</v>
      </c>
    </row>
    <row r="17" spans="2:4">
      <c r="B17" s="63" t="s">
        <v>616</v>
      </c>
      <c r="C17" s="10" t="s">
        <v>291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/>
  <cols>
    <col min="1" max="1" width="5" style="88" bestFit="1" customWidth="1"/>
    <col min="2" max="2" width="14" style="88" bestFit="1" customWidth="1"/>
    <col min="3" max="16384" width="9.140625" style="88"/>
  </cols>
  <sheetData>
    <row r="1" spans="1:3">
      <c r="A1" s="90" t="s">
        <v>55</v>
      </c>
    </row>
    <row r="2" spans="1:3">
      <c r="B2" s="88" t="s">
        <v>49</v>
      </c>
      <c r="C2" s="88" t="s">
        <v>502</v>
      </c>
    </row>
    <row r="3" spans="1:3">
      <c r="B3" s="88" t="s">
        <v>51</v>
      </c>
      <c r="C3" s="88" t="s">
        <v>501</v>
      </c>
    </row>
    <row r="4" spans="1:3">
      <c r="B4" s="88" t="s">
        <v>44</v>
      </c>
      <c r="C4" s="88" t="s">
        <v>354</v>
      </c>
    </row>
    <row r="5" spans="1:3">
      <c r="B5" s="88" t="s">
        <v>66</v>
      </c>
      <c r="C5" s="88" t="s">
        <v>500</v>
      </c>
    </row>
    <row r="6" spans="1:3">
      <c r="B6" s="88" t="s">
        <v>65</v>
      </c>
      <c r="C6" s="88" t="s">
        <v>499</v>
      </c>
    </row>
    <row r="7" spans="1:3">
      <c r="C7" s="88" t="s">
        <v>498</v>
      </c>
    </row>
    <row r="8" spans="1:3">
      <c r="C8" s="88" t="s">
        <v>497</v>
      </c>
    </row>
    <row r="9" spans="1:3">
      <c r="C9" s="88" t="s">
        <v>496</v>
      </c>
    </row>
    <row r="10" spans="1:3">
      <c r="B10" s="88" t="s">
        <v>495</v>
      </c>
    </row>
    <row r="11" spans="1:3">
      <c r="C11" s="89" t="s">
        <v>494</v>
      </c>
    </row>
    <row r="12" spans="1:3">
      <c r="C12" s="89"/>
    </row>
    <row r="13" spans="1:3">
      <c r="C13" s="89" t="s">
        <v>503</v>
      </c>
    </row>
    <row r="14" spans="1:3">
      <c r="C14" s="89"/>
    </row>
    <row r="15" spans="1:3">
      <c r="C15" s="89" t="s">
        <v>493</v>
      </c>
    </row>
    <row r="17" spans="3:3">
      <c r="C17" s="89" t="s">
        <v>492</v>
      </c>
    </row>
    <row r="18" spans="3:3">
      <c r="C18" s="88" t="s">
        <v>600</v>
      </c>
    </row>
    <row r="20" spans="3:3">
      <c r="C20" s="89" t="s">
        <v>491</v>
      </c>
    </row>
    <row r="21" spans="3:3">
      <c r="C21" s="119" t="s">
        <v>600</v>
      </c>
    </row>
    <row r="23" spans="3:3">
      <c r="C23" s="89" t="s">
        <v>490</v>
      </c>
    </row>
    <row r="25" spans="3:3">
      <c r="C25" s="89" t="s">
        <v>518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47" t="s">
        <v>55</v>
      </c>
    </row>
    <row r="2" spans="1:3">
      <c r="B2" s="2" t="s">
        <v>49</v>
      </c>
    </row>
    <row r="3" spans="1:3">
      <c r="B3" s="2" t="s">
        <v>51</v>
      </c>
      <c r="C3" s="2" t="s">
        <v>318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G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2.75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7">
      <c r="A1" s="47" t="s">
        <v>55</v>
      </c>
    </row>
    <row r="2" spans="1:7">
      <c r="B2" s="2" t="s">
        <v>825</v>
      </c>
      <c r="C2" s="2" t="s">
        <v>826</v>
      </c>
      <c r="D2" s="2" t="s">
        <v>44</v>
      </c>
      <c r="E2" s="2" t="s">
        <v>87</v>
      </c>
      <c r="F2" s="2" t="s">
        <v>65</v>
      </c>
      <c r="G2" s="2" t="s">
        <v>829</v>
      </c>
    </row>
    <row r="3" spans="1:7">
      <c r="B3" s="2" t="s">
        <v>33</v>
      </c>
      <c r="C3" s="2" t="s">
        <v>830</v>
      </c>
      <c r="D3" s="2" t="s">
        <v>86</v>
      </c>
      <c r="E3">
        <v>1999</v>
      </c>
      <c r="F3" s="2" t="s">
        <v>831</v>
      </c>
      <c r="G3" s="2" t="s">
        <v>401</v>
      </c>
    </row>
    <row r="4" spans="1:7">
      <c r="B4" s="2" t="s">
        <v>113</v>
      </c>
      <c r="C4" s="2" t="s">
        <v>833</v>
      </c>
      <c r="D4" s="2" t="s">
        <v>206</v>
      </c>
      <c r="E4" s="122">
        <v>36959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99"/>
  <sheetViews>
    <sheetView tabSelected="1" zoomScaleNormal="100" workbookViewId="0">
      <selection activeCell="I1" sqref="I1"/>
    </sheetView>
  </sheetViews>
  <sheetFormatPr defaultRowHeight="12.75"/>
  <cols>
    <col min="1" max="1" width="2.42578125" style="4" customWidth="1"/>
    <col min="2" max="2" width="28.140625" style="4" customWidth="1"/>
    <col min="3" max="3" width="32.28515625" style="12" customWidth="1"/>
    <col min="4" max="4" width="11.140625" style="12" customWidth="1"/>
    <col min="5" max="5" width="11" style="12" bestFit="1" customWidth="1"/>
    <col min="6" max="6" width="22.140625" style="12" customWidth="1"/>
    <col min="7" max="7" width="1.140625" style="12" customWidth="1"/>
    <col min="8" max="8" width="9.140625" style="4"/>
    <col min="9" max="9" width="3.28515625" style="4" customWidth="1"/>
    <col min="10" max="10" width="12.7109375" style="4" customWidth="1"/>
    <col min="11" max="11" width="8.42578125" style="4" customWidth="1"/>
    <col min="12" max="12" width="6.85546875" style="4" customWidth="1"/>
    <col min="13" max="13" width="8.140625" style="4" bestFit="1" customWidth="1"/>
    <col min="14" max="14" width="7.140625" style="4" customWidth="1"/>
    <col min="15" max="16384" width="9.140625" style="4"/>
  </cols>
  <sheetData>
    <row r="1" spans="1:14">
      <c r="A1" s="3"/>
    </row>
    <row r="2" spans="1:14" s="3" customFormat="1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9"/>
      <c r="H2" s="14" t="s">
        <v>74</v>
      </c>
      <c r="J2" s="3" t="s">
        <v>285</v>
      </c>
      <c r="K2" s="24">
        <v>323.35000000000002</v>
      </c>
      <c r="L2" s="24"/>
    </row>
    <row r="3" spans="1:14" s="3" customFormat="1">
      <c r="B3" s="7" t="s">
        <v>48</v>
      </c>
      <c r="C3" s="39" t="s">
        <v>329</v>
      </c>
      <c r="D3" s="10">
        <v>2004</v>
      </c>
      <c r="E3" s="49">
        <v>1</v>
      </c>
      <c r="F3" s="10" t="s">
        <v>71</v>
      </c>
      <c r="G3" s="10"/>
      <c r="H3" s="43" t="s">
        <v>161</v>
      </c>
      <c r="J3" s="3" t="s">
        <v>42</v>
      </c>
      <c r="K3" s="25">
        <v>800.40300000000002</v>
      </c>
      <c r="L3" s="65" t="s">
        <v>798</v>
      </c>
    </row>
    <row r="4" spans="1:14">
      <c r="B4" s="7" t="s">
        <v>94</v>
      </c>
      <c r="C4" s="11" t="s">
        <v>146</v>
      </c>
      <c r="D4" s="11">
        <v>1998</v>
      </c>
      <c r="E4" s="16">
        <v>1</v>
      </c>
      <c r="F4" s="11" t="s">
        <v>163</v>
      </c>
      <c r="G4" s="10"/>
      <c r="H4" s="44" t="s">
        <v>161</v>
      </c>
      <c r="J4" s="4" t="s">
        <v>107</v>
      </c>
      <c r="K4" s="26">
        <f>K3*K2+K12</f>
        <v>258810.31005000003</v>
      </c>
      <c r="L4" s="25"/>
    </row>
    <row r="5" spans="1:14">
      <c r="B5" s="7" t="s">
        <v>172</v>
      </c>
      <c r="C5" s="39" t="s">
        <v>330</v>
      </c>
      <c r="D5" s="11">
        <v>1997</v>
      </c>
      <c r="E5" s="39" t="s">
        <v>298</v>
      </c>
      <c r="F5" s="11" t="s">
        <v>82</v>
      </c>
      <c r="G5" s="10"/>
      <c r="H5" s="44" t="s">
        <v>161</v>
      </c>
      <c r="J5" s="3" t="s">
        <v>182</v>
      </c>
      <c r="K5" s="26">
        <f>31198-18167</f>
        <v>13031</v>
      </c>
      <c r="L5" s="65" t="s">
        <v>798</v>
      </c>
    </row>
    <row r="6" spans="1:14">
      <c r="B6" s="63" t="s">
        <v>804</v>
      </c>
      <c r="C6" s="10" t="s">
        <v>832</v>
      </c>
      <c r="D6" s="11"/>
      <c r="E6" s="11"/>
      <c r="F6" s="10"/>
      <c r="G6" s="10"/>
      <c r="H6" s="43"/>
      <c r="J6" s="3" t="s">
        <v>582</v>
      </c>
      <c r="K6" s="26">
        <v>31198</v>
      </c>
      <c r="L6" s="65" t="s">
        <v>798</v>
      </c>
      <c r="M6" s="3"/>
      <c r="N6" s="3"/>
    </row>
    <row r="7" spans="1:14">
      <c r="B7" s="46" t="s">
        <v>821</v>
      </c>
      <c r="C7" s="10" t="s">
        <v>822</v>
      </c>
      <c r="D7" s="145">
        <v>42508</v>
      </c>
      <c r="E7" s="16">
        <v>1</v>
      </c>
      <c r="F7" s="10" t="s">
        <v>823</v>
      </c>
      <c r="G7" s="10"/>
      <c r="H7" s="43" t="s">
        <v>161</v>
      </c>
      <c r="J7" s="4" t="s">
        <v>108</v>
      </c>
      <c r="K7" s="26">
        <f>K4-K5+K6</f>
        <v>276977.31005000003</v>
      </c>
      <c r="M7" s="3"/>
      <c r="N7" s="3"/>
    </row>
    <row r="8" spans="1:14">
      <c r="B8" s="46" t="s">
        <v>712</v>
      </c>
      <c r="C8" s="10" t="s">
        <v>407</v>
      </c>
      <c r="D8" s="11" t="s">
        <v>114</v>
      </c>
      <c r="E8" s="16">
        <v>1</v>
      </c>
      <c r="F8" s="10" t="s">
        <v>163</v>
      </c>
      <c r="G8" s="100"/>
      <c r="H8" s="44" t="s">
        <v>161</v>
      </c>
      <c r="K8" s="26"/>
      <c r="L8" s="131"/>
      <c r="M8" s="3"/>
      <c r="N8" s="3"/>
    </row>
    <row r="9" spans="1:14">
      <c r="B9" s="146" t="s">
        <v>834</v>
      </c>
      <c r="C9" s="10" t="s">
        <v>123</v>
      </c>
      <c r="D9" s="11"/>
      <c r="E9" s="49" t="s">
        <v>298</v>
      </c>
      <c r="F9" s="10" t="s">
        <v>82</v>
      </c>
      <c r="G9" s="100"/>
      <c r="H9" s="43" t="s">
        <v>161</v>
      </c>
      <c r="J9" s="3"/>
      <c r="K9" s="3"/>
      <c r="L9" s="26"/>
      <c r="M9" s="3"/>
      <c r="N9" s="3"/>
    </row>
    <row r="10" spans="1:14">
      <c r="B10" s="46" t="s">
        <v>265</v>
      </c>
      <c r="C10" s="11" t="s">
        <v>147</v>
      </c>
      <c r="D10" s="11">
        <v>2004</v>
      </c>
      <c r="E10" s="39" t="s">
        <v>299</v>
      </c>
      <c r="F10" s="11" t="s">
        <v>164</v>
      </c>
      <c r="G10" s="11"/>
      <c r="H10" s="98" t="s">
        <v>317</v>
      </c>
    </row>
    <row r="11" spans="1:14">
      <c r="B11" s="46" t="s">
        <v>314</v>
      </c>
      <c r="C11" s="39" t="s">
        <v>315</v>
      </c>
      <c r="D11" s="11"/>
      <c r="E11" s="45" t="s">
        <v>316</v>
      </c>
      <c r="F11" s="39" t="s">
        <v>71</v>
      </c>
      <c r="G11" s="11"/>
      <c r="H11" s="98" t="s">
        <v>161</v>
      </c>
      <c r="J11" s="3"/>
      <c r="K11" s="3"/>
      <c r="L11" s="26"/>
      <c r="M11" s="3"/>
      <c r="N11" s="3"/>
    </row>
    <row r="12" spans="1:14">
      <c r="B12" s="7" t="s">
        <v>244</v>
      </c>
      <c r="C12" s="11" t="s">
        <v>79</v>
      </c>
      <c r="D12" s="11">
        <v>2002</v>
      </c>
      <c r="E12" s="16">
        <v>1</v>
      </c>
      <c r="F12" s="11" t="s">
        <v>240</v>
      </c>
      <c r="G12" s="11"/>
      <c r="H12" s="97" t="s">
        <v>211</v>
      </c>
      <c r="K12" s="26"/>
      <c r="L12" s="26"/>
      <c r="M12" s="3"/>
      <c r="N12" s="3"/>
    </row>
    <row r="13" spans="1:14">
      <c r="B13" s="63" t="s">
        <v>741</v>
      </c>
      <c r="C13" s="39" t="s">
        <v>319</v>
      </c>
      <c r="D13" s="10" t="s">
        <v>114</v>
      </c>
      <c r="E13" s="42" t="s">
        <v>320</v>
      </c>
      <c r="F13" s="10" t="s">
        <v>163</v>
      </c>
      <c r="G13" s="100"/>
      <c r="H13" s="43" t="s">
        <v>534</v>
      </c>
      <c r="J13" s="71" t="s">
        <v>41</v>
      </c>
      <c r="K13" s="26"/>
      <c r="L13" s="26"/>
    </row>
    <row r="14" spans="1:14" s="3" customFormat="1">
      <c r="B14" s="46" t="s">
        <v>762</v>
      </c>
      <c r="C14" s="11" t="s">
        <v>84</v>
      </c>
      <c r="D14" s="10">
        <v>2009</v>
      </c>
      <c r="E14" s="16">
        <v>1</v>
      </c>
      <c r="F14" s="11" t="s">
        <v>83</v>
      </c>
      <c r="G14" s="99"/>
      <c r="H14" s="44" t="s">
        <v>161</v>
      </c>
      <c r="J14" s="71" t="s">
        <v>475</v>
      </c>
      <c r="L14" s="26"/>
      <c r="M14" s="4"/>
      <c r="N14" s="4"/>
    </row>
    <row r="15" spans="1:14">
      <c r="B15" s="8" t="s">
        <v>267</v>
      </c>
      <c r="C15" s="11" t="s">
        <v>207</v>
      </c>
      <c r="D15" s="11">
        <v>1995</v>
      </c>
      <c r="E15" s="16">
        <v>1</v>
      </c>
      <c r="F15" s="10" t="s">
        <v>347</v>
      </c>
      <c r="G15" s="11"/>
      <c r="H15" s="96" t="s">
        <v>466</v>
      </c>
    </row>
    <row r="16" spans="1:14">
      <c r="B16" s="63" t="s">
        <v>720</v>
      </c>
      <c r="C16" s="10" t="s">
        <v>379</v>
      </c>
      <c r="D16" s="10"/>
      <c r="E16" s="49" t="s">
        <v>380</v>
      </c>
      <c r="F16" s="10" t="s">
        <v>381</v>
      </c>
      <c r="G16" s="100"/>
      <c r="H16" s="43" t="s">
        <v>253</v>
      </c>
    </row>
    <row r="17" spans="1:12">
      <c r="B17" s="63" t="s">
        <v>763</v>
      </c>
      <c r="C17" s="10" t="s">
        <v>577</v>
      </c>
      <c r="D17" s="10">
        <v>2013</v>
      </c>
      <c r="E17" s="49">
        <v>1</v>
      </c>
      <c r="F17" s="10" t="s">
        <v>82</v>
      </c>
      <c r="G17" s="100"/>
      <c r="H17" s="43" t="s">
        <v>161</v>
      </c>
    </row>
    <row r="18" spans="1:12">
      <c r="B18" s="46" t="s">
        <v>266</v>
      </c>
      <c r="C18" s="11" t="s">
        <v>239</v>
      </c>
      <c r="D18" s="11">
        <v>1998</v>
      </c>
      <c r="E18" s="16">
        <v>1</v>
      </c>
      <c r="F18" s="10" t="s">
        <v>402</v>
      </c>
      <c r="G18" s="11"/>
      <c r="H18" s="96" t="s">
        <v>516</v>
      </c>
      <c r="L18" s="26"/>
    </row>
    <row r="19" spans="1:12">
      <c r="B19" s="63" t="s">
        <v>737</v>
      </c>
      <c r="C19" s="10" t="s">
        <v>326</v>
      </c>
      <c r="D19" s="10" t="s">
        <v>114</v>
      </c>
      <c r="E19" s="45" t="s">
        <v>323</v>
      </c>
      <c r="F19" s="39" t="s">
        <v>327</v>
      </c>
      <c r="G19" s="99"/>
      <c r="H19" s="43" t="s">
        <v>253</v>
      </c>
      <c r="J19" s="3" t="s">
        <v>687</v>
      </c>
    </row>
    <row r="20" spans="1:12">
      <c r="B20" s="7" t="s">
        <v>47</v>
      </c>
      <c r="C20" s="11" t="s">
        <v>45</v>
      </c>
      <c r="D20" s="11">
        <v>2007</v>
      </c>
      <c r="E20" s="11" t="s">
        <v>73</v>
      </c>
      <c r="F20" s="11" t="s">
        <v>72</v>
      </c>
      <c r="G20" s="11"/>
      <c r="H20" s="97" t="s">
        <v>211</v>
      </c>
    </row>
    <row r="21" spans="1:12">
      <c r="B21" s="6"/>
      <c r="C21" s="9"/>
      <c r="D21" s="9" t="s">
        <v>46</v>
      </c>
      <c r="E21" s="9"/>
      <c r="F21" s="9"/>
      <c r="G21" s="9"/>
      <c r="H21" s="14"/>
      <c r="J21" s="3" t="s">
        <v>713</v>
      </c>
    </row>
    <row r="22" spans="1:12">
      <c r="B22" s="46"/>
      <c r="C22" s="10"/>
      <c r="D22" s="11"/>
      <c r="E22" s="45"/>
      <c r="F22" s="11"/>
      <c r="G22" s="100"/>
      <c r="H22" s="44"/>
      <c r="J22" s="3" t="s">
        <v>742</v>
      </c>
    </row>
    <row r="23" spans="1:12" s="64" customFormat="1">
      <c r="A23" s="4"/>
      <c r="B23" s="63" t="s">
        <v>721</v>
      </c>
      <c r="C23" s="10" t="s">
        <v>115</v>
      </c>
      <c r="D23" s="10" t="s">
        <v>114</v>
      </c>
      <c r="E23" s="45">
        <v>1</v>
      </c>
      <c r="F23" s="10" t="s">
        <v>595</v>
      </c>
      <c r="G23" s="99"/>
      <c r="H23" s="43" t="s">
        <v>161</v>
      </c>
      <c r="J23" s="62" t="s">
        <v>761</v>
      </c>
    </row>
    <row r="24" spans="1:12">
      <c r="B24" s="63" t="s">
        <v>406</v>
      </c>
      <c r="C24" s="11" t="s">
        <v>67</v>
      </c>
      <c r="D24" s="11" t="s">
        <v>80</v>
      </c>
      <c r="E24" s="16">
        <v>1</v>
      </c>
      <c r="F24" s="11" t="s">
        <v>68</v>
      </c>
      <c r="G24" s="99"/>
      <c r="H24" s="50" t="s">
        <v>253</v>
      </c>
    </row>
    <row r="25" spans="1:12">
      <c r="B25" s="8" t="s">
        <v>271</v>
      </c>
      <c r="C25" s="11" t="s">
        <v>67</v>
      </c>
      <c r="D25" s="39" t="s">
        <v>80</v>
      </c>
      <c r="E25" s="45" t="s">
        <v>19</v>
      </c>
      <c r="F25" s="10" t="s">
        <v>358</v>
      </c>
      <c r="G25" s="100"/>
      <c r="H25" s="43" t="s">
        <v>253</v>
      </c>
    </row>
    <row r="26" spans="1:12">
      <c r="B26" s="63" t="s">
        <v>389</v>
      </c>
      <c r="C26" s="10" t="s">
        <v>115</v>
      </c>
      <c r="D26" s="10" t="s">
        <v>80</v>
      </c>
      <c r="E26" s="49">
        <v>1</v>
      </c>
      <c r="F26" s="10" t="s">
        <v>344</v>
      </c>
      <c r="G26" s="100"/>
      <c r="H26" s="43" t="s">
        <v>253</v>
      </c>
    </row>
    <row r="27" spans="1:12">
      <c r="B27" s="63" t="s">
        <v>348</v>
      </c>
      <c r="C27" s="10" t="s">
        <v>284</v>
      </c>
      <c r="D27" s="10" t="s">
        <v>80</v>
      </c>
      <c r="E27" s="45">
        <v>1</v>
      </c>
      <c r="F27" s="10" t="s">
        <v>349</v>
      </c>
      <c r="G27" s="99"/>
      <c r="H27" s="44" t="s">
        <v>161</v>
      </c>
      <c r="J27" s="3" t="s">
        <v>756</v>
      </c>
    </row>
    <row r="28" spans="1:12" s="64" customFormat="1">
      <c r="A28" s="4"/>
      <c r="B28" s="63" t="s">
        <v>383</v>
      </c>
      <c r="C28" s="10" t="s">
        <v>115</v>
      </c>
      <c r="D28" s="10" t="s">
        <v>80</v>
      </c>
      <c r="E28" s="49" t="s">
        <v>378</v>
      </c>
      <c r="F28" s="10" t="s">
        <v>384</v>
      </c>
      <c r="G28" s="99"/>
      <c r="H28" s="43" t="s">
        <v>211</v>
      </c>
      <c r="J28" s="62" t="s">
        <v>755</v>
      </c>
    </row>
    <row r="29" spans="1:12" s="64" customFormat="1">
      <c r="A29" s="4"/>
      <c r="B29" s="63" t="s">
        <v>350</v>
      </c>
      <c r="C29" s="10" t="s">
        <v>281</v>
      </c>
      <c r="D29" s="11" t="s">
        <v>80</v>
      </c>
      <c r="E29" s="16">
        <v>1</v>
      </c>
      <c r="F29" s="11" t="s">
        <v>282</v>
      </c>
      <c r="G29" s="99"/>
      <c r="H29" s="43" t="s">
        <v>253</v>
      </c>
    </row>
    <row r="30" spans="1:12">
      <c r="B30" s="63" t="s">
        <v>366</v>
      </c>
      <c r="C30" s="10" t="s">
        <v>591</v>
      </c>
      <c r="D30" s="10" t="s">
        <v>80</v>
      </c>
      <c r="E30" s="16">
        <v>1</v>
      </c>
      <c r="F30" s="10" t="s">
        <v>365</v>
      </c>
      <c r="G30" s="99"/>
      <c r="H30" s="43" t="s">
        <v>253</v>
      </c>
    </row>
    <row r="31" spans="1:12">
      <c r="B31" s="63" t="s">
        <v>394</v>
      </c>
      <c r="C31" s="10" t="s">
        <v>395</v>
      </c>
      <c r="D31" s="10" t="s">
        <v>80</v>
      </c>
      <c r="E31" s="16">
        <v>1</v>
      </c>
      <c r="F31" s="10" t="s">
        <v>396</v>
      </c>
      <c r="G31" s="99"/>
      <c r="H31" s="43" t="s">
        <v>397</v>
      </c>
    </row>
    <row r="32" spans="1:12">
      <c r="B32" s="8" t="s">
        <v>109</v>
      </c>
      <c r="C32" s="11" t="s">
        <v>79</v>
      </c>
      <c r="D32" s="10" t="s">
        <v>80</v>
      </c>
      <c r="E32" s="16" t="s">
        <v>270</v>
      </c>
      <c r="F32" s="11" t="s">
        <v>254</v>
      </c>
      <c r="G32" s="100" t="s">
        <v>618</v>
      </c>
      <c r="H32" s="43" t="s">
        <v>253</v>
      </c>
    </row>
    <row r="33" spans="2:8">
      <c r="B33" s="8" t="s">
        <v>111</v>
      </c>
      <c r="C33" s="11" t="s">
        <v>79</v>
      </c>
      <c r="D33" s="10" t="s">
        <v>110</v>
      </c>
      <c r="E33" s="16" t="s">
        <v>112</v>
      </c>
      <c r="F33" s="11" t="s">
        <v>269</v>
      </c>
      <c r="G33" s="100" t="s">
        <v>535</v>
      </c>
      <c r="H33" s="43" t="s">
        <v>253</v>
      </c>
    </row>
    <row r="34" spans="2:8">
      <c r="B34" s="8" t="s">
        <v>272</v>
      </c>
      <c r="C34" s="11" t="s">
        <v>67</v>
      </c>
      <c r="D34" s="11" t="s">
        <v>110</v>
      </c>
      <c r="E34" s="16">
        <v>1</v>
      </c>
      <c r="F34" s="10" t="s">
        <v>470</v>
      </c>
      <c r="G34" s="99"/>
      <c r="H34" s="43" t="s">
        <v>253</v>
      </c>
    </row>
    <row r="35" spans="2:8">
      <c r="B35" s="8" t="s">
        <v>273</v>
      </c>
      <c r="C35" s="11" t="s">
        <v>67</v>
      </c>
      <c r="D35" s="11" t="s">
        <v>110</v>
      </c>
      <c r="E35" s="16">
        <v>1</v>
      </c>
      <c r="F35" s="10" t="s">
        <v>470</v>
      </c>
      <c r="G35" s="99"/>
      <c r="H35" s="43" t="s">
        <v>253</v>
      </c>
    </row>
    <row r="36" spans="2:8">
      <c r="B36" s="63" t="s">
        <v>357</v>
      </c>
      <c r="C36" s="10" t="s">
        <v>67</v>
      </c>
      <c r="D36" s="10" t="s">
        <v>110</v>
      </c>
      <c r="E36" s="16">
        <v>1</v>
      </c>
      <c r="F36" s="10" t="s">
        <v>471</v>
      </c>
      <c r="G36" s="99"/>
      <c r="H36" s="43" t="s">
        <v>253</v>
      </c>
    </row>
    <row r="37" spans="2:8">
      <c r="B37" s="63" t="s">
        <v>359</v>
      </c>
      <c r="C37" s="10" t="s">
        <v>360</v>
      </c>
      <c r="D37" s="10" t="s">
        <v>110</v>
      </c>
      <c r="E37" s="16">
        <v>1</v>
      </c>
      <c r="F37" s="10"/>
      <c r="G37" s="99"/>
      <c r="H37" s="43" t="s">
        <v>253</v>
      </c>
    </row>
    <row r="38" spans="2:8">
      <c r="B38" s="63" t="s">
        <v>617</v>
      </c>
      <c r="C38" s="10" t="s">
        <v>67</v>
      </c>
      <c r="D38" s="10" t="s">
        <v>80</v>
      </c>
      <c r="E38" s="16">
        <v>1</v>
      </c>
      <c r="F38" s="10"/>
      <c r="G38" s="99"/>
      <c r="H38" s="43" t="s">
        <v>253</v>
      </c>
    </row>
    <row r="39" spans="2:8">
      <c r="B39" s="51" t="s">
        <v>324</v>
      </c>
      <c r="C39" s="39" t="s">
        <v>325</v>
      </c>
      <c r="D39" s="39" t="s">
        <v>80</v>
      </c>
      <c r="E39" s="16">
        <v>1</v>
      </c>
      <c r="F39" s="10" t="s">
        <v>590</v>
      </c>
      <c r="G39" s="99"/>
      <c r="H39" s="43" t="s">
        <v>300</v>
      </c>
    </row>
    <row r="40" spans="2:8">
      <c r="B40" s="51" t="s">
        <v>321</v>
      </c>
      <c r="C40" s="39" t="s">
        <v>322</v>
      </c>
      <c r="D40" s="39" t="s">
        <v>80</v>
      </c>
      <c r="E40" s="45" t="s">
        <v>323</v>
      </c>
      <c r="F40" s="10" t="s">
        <v>327</v>
      </c>
      <c r="G40" s="99"/>
      <c r="H40" s="43" t="s">
        <v>253</v>
      </c>
    </row>
    <row r="41" spans="2:8">
      <c r="B41" s="8" t="s">
        <v>276</v>
      </c>
      <c r="C41" s="11" t="s">
        <v>277</v>
      </c>
      <c r="D41" s="11" t="s">
        <v>110</v>
      </c>
      <c r="E41" s="49" t="s">
        <v>356</v>
      </c>
      <c r="F41" s="10" t="s">
        <v>469</v>
      </c>
      <c r="G41" s="99"/>
      <c r="H41" s="43" t="s">
        <v>161</v>
      </c>
    </row>
    <row r="42" spans="2:8">
      <c r="B42" s="63" t="s">
        <v>738</v>
      </c>
      <c r="C42" s="10" t="s">
        <v>707</v>
      </c>
      <c r="D42" s="10" t="s">
        <v>80</v>
      </c>
      <c r="E42" s="49" t="s">
        <v>578</v>
      </c>
      <c r="F42" s="10" t="s">
        <v>708</v>
      </c>
      <c r="G42" s="99"/>
      <c r="H42" s="43" t="s">
        <v>253</v>
      </c>
    </row>
    <row r="43" spans="2:8">
      <c r="B43" s="63" t="s">
        <v>472</v>
      </c>
      <c r="C43" s="10" t="s">
        <v>315</v>
      </c>
      <c r="D43" s="10" t="s">
        <v>110</v>
      </c>
      <c r="E43" s="49">
        <v>1</v>
      </c>
      <c r="F43" s="10" t="s">
        <v>473</v>
      </c>
      <c r="G43" s="10"/>
      <c r="H43" s="43" t="s">
        <v>253</v>
      </c>
    </row>
    <row r="44" spans="2:8">
      <c r="B44" s="63" t="s">
        <v>586</v>
      </c>
      <c r="C44" s="10" t="s">
        <v>70</v>
      </c>
      <c r="D44" s="10" t="s">
        <v>110</v>
      </c>
      <c r="E44" s="49">
        <v>1</v>
      </c>
      <c r="F44" s="10" t="s">
        <v>587</v>
      </c>
      <c r="G44" s="10"/>
      <c r="H44" s="43" t="s">
        <v>253</v>
      </c>
    </row>
    <row r="45" spans="2:8">
      <c r="B45" s="63" t="s">
        <v>739</v>
      </c>
      <c r="C45" s="10" t="s">
        <v>291</v>
      </c>
      <c r="D45" s="10" t="s">
        <v>80</v>
      </c>
      <c r="E45" s="49">
        <v>1</v>
      </c>
      <c r="F45" s="10" t="s">
        <v>740</v>
      </c>
      <c r="G45" s="99"/>
      <c r="H45" s="43"/>
    </row>
    <row r="46" spans="2:8">
      <c r="B46" s="116" t="s">
        <v>474</v>
      </c>
      <c r="C46" s="38" t="s">
        <v>361</v>
      </c>
      <c r="D46" s="38" t="s">
        <v>110</v>
      </c>
      <c r="E46" s="117" t="s">
        <v>362</v>
      </c>
      <c r="F46" s="38" t="s">
        <v>363</v>
      </c>
      <c r="G46" s="38"/>
      <c r="H46" s="118" t="s">
        <v>161</v>
      </c>
    </row>
    <row r="47" spans="2:8">
      <c r="B47" s="116" t="s">
        <v>744</v>
      </c>
      <c r="C47" s="38" t="s">
        <v>361</v>
      </c>
      <c r="D47" s="38" t="s">
        <v>110</v>
      </c>
      <c r="E47" s="117"/>
      <c r="F47" s="38" t="s">
        <v>363</v>
      </c>
      <c r="G47" s="38"/>
      <c r="H47" s="118" t="s">
        <v>161</v>
      </c>
    </row>
    <row r="48" spans="2:8">
      <c r="B48" s="116" t="s">
        <v>592</v>
      </c>
      <c r="C48" s="38" t="s">
        <v>593</v>
      </c>
      <c r="D48" s="38" t="s">
        <v>80</v>
      </c>
      <c r="E48" s="117">
        <v>1</v>
      </c>
      <c r="F48" s="38" t="s">
        <v>594</v>
      </c>
      <c r="G48" s="38"/>
      <c r="H48" s="118" t="s">
        <v>253</v>
      </c>
    </row>
    <row r="49" spans="2:8">
      <c r="B49" s="116" t="s">
        <v>748</v>
      </c>
      <c r="C49" s="38" t="s">
        <v>745</v>
      </c>
      <c r="D49" s="38" t="s">
        <v>110</v>
      </c>
      <c r="E49" s="117">
        <v>1</v>
      </c>
      <c r="F49" s="38" t="s">
        <v>746</v>
      </c>
      <c r="G49" s="38"/>
      <c r="H49" s="118" t="s">
        <v>253</v>
      </c>
    </row>
    <row r="50" spans="2:8">
      <c r="B50" s="116" t="s">
        <v>751</v>
      </c>
      <c r="C50" s="38" t="s">
        <v>361</v>
      </c>
      <c r="D50" s="38" t="s">
        <v>110</v>
      </c>
      <c r="E50" s="117">
        <v>1</v>
      </c>
      <c r="F50" s="38" t="s">
        <v>752</v>
      </c>
      <c r="G50" s="38"/>
      <c r="H50" s="118"/>
    </row>
    <row r="51" spans="2:8">
      <c r="B51" s="116" t="s">
        <v>747</v>
      </c>
      <c r="C51" s="38" t="s">
        <v>361</v>
      </c>
      <c r="D51" s="38" t="s">
        <v>110</v>
      </c>
      <c r="E51" s="117" t="s">
        <v>749</v>
      </c>
      <c r="F51" s="38" t="s">
        <v>750</v>
      </c>
      <c r="G51" s="38"/>
      <c r="H51" s="118" t="s">
        <v>253</v>
      </c>
    </row>
    <row r="52" spans="2:8">
      <c r="B52" s="116" t="s">
        <v>753</v>
      </c>
      <c r="C52" s="38" t="s">
        <v>268</v>
      </c>
      <c r="D52" s="38" t="s">
        <v>110</v>
      </c>
      <c r="E52" s="117">
        <v>1</v>
      </c>
      <c r="F52" s="38" t="s">
        <v>754</v>
      </c>
      <c r="G52" s="38"/>
      <c r="H52" s="118"/>
    </row>
    <row r="53" spans="2:8">
      <c r="B53" s="116" t="s">
        <v>717</v>
      </c>
      <c r="C53" s="38" t="s">
        <v>361</v>
      </c>
      <c r="D53" s="38" t="s">
        <v>110</v>
      </c>
      <c r="E53" s="117">
        <v>1</v>
      </c>
      <c r="F53" s="38" t="s">
        <v>718</v>
      </c>
      <c r="G53" s="38"/>
      <c r="H53" s="118" t="s">
        <v>253</v>
      </c>
    </row>
    <row r="54" spans="2:8" s="19" customFormat="1">
      <c r="B54" s="116" t="s">
        <v>714</v>
      </c>
      <c r="C54" s="38" t="s">
        <v>715</v>
      </c>
      <c r="D54" s="38" t="s">
        <v>110</v>
      </c>
      <c r="E54" s="117">
        <v>1</v>
      </c>
      <c r="F54" s="38" t="s">
        <v>716</v>
      </c>
      <c r="G54" s="38"/>
      <c r="H54" s="118" t="s">
        <v>253</v>
      </c>
    </row>
    <row r="55" spans="2:8" s="19" customFormat="1">
      <c r="B55" s="8" t="s">
        <v>279</v>
      </c>
      <c r="C55" s="11" t="s">
        <v>115</v>
      </c>
      <c r="D55" s="11" t="s">
        <v>110</v>
      </c>
      <c r="E55" s="16">
        <v>1</v>
      </c>
      <c r="F55" s="10" t="s">
        <v>385</v>
      </c>
      <c r="G55" s="11"/>
      <c r="H55" s="43" t="s">
        <v>253</v>
      </c>
    </row>
    <row r="56" spans="2:8">
      <c r="B56" s="63" t="s">
        <v>700</v>
      </c>
      <c r="C56" s="10" t="s">
        <v>115</v>
      </c>
      <c r="D56" s="10" t="s">
        <v>110</v>
      </c>
      <c r="E56" s="49">
        <v>1</v>
      </c>
      <c r="F56" s="10" t="s">
        <v>478</v>
      </c>
      <c r="G56" s="11"/>
      <c r="H56" s="43" t="s">
        <v>161</v>
      </c>
    </row>
    <row r="57" spans="2:8">
      <c r="B57" s="63" t="s">
        <v>280</v>
      </c>
      <c r="C57" s="10" t="s">
        <v>115</v>
      </c>
      <c r="D57" s="10" t="s">
        <v>110</v>
      </c>
      <c r="E57" s="49">
        <v>1</v>
      </c>
      <c r="F57" s="10" t="s">
        <v>613</v>
      </c>
      <c r="G57" s="11"/>
      <c r="H57" s="43"/>
    </row>
    <row r="58" spans="2:8">
      <c r="B58" s="63" t="s">
        <v>372</v>
      </c>
      <c r="C58" s="10" t="s">
        <v>115</v>
      </c>
      <c r="D58" s="10" t="s">
        <v>110</v>
      </c>
      <c r="E58" s="49">
        <v>1</v>
      </c>
      <c r="F58" s="10" t="s">
        <v>477</v>
      </c>
      <c r="G58" s="11"/>
      <c r="H58" s="43" t="s">
        <v>253</v>
      </c>
    </row>
    <row r="59" spans="2:8">
      <c r="B59" s="63" t="s">
        <v>386</v>
      </c>
      <c r="C59" s="10" t="s">
        <v>115</v>
      </c>
      <c r="D59" s="10" t="s">
        <v>110</v>
      </c>
      <c r="E59" s="49">
        <v>1</v>
      </c>
      <c r="F59" s="10" t="s">
        <v>387</v>
      </c>
      <c r="G59" s="11"/>
      <c r="H59" s="43" t="s">
        <v>161</v>
      </c>
    </row>
    <row r="60" spans="2:8">
      <c r="B60" s="63" t="s">
        <v>678</v>
      </c>
      <c r="C60" s="10" t="s">
        <v>115</v>
      </c>
      <c r="D60" s="10" t="s">
        <v>110</v>
      </c>
      <c r="E60" s="49">
        <v>1</v>
      </c>
      <c r="F60" s="10" t="s">
        <v>388</v>
      </c>
      <c r="G60" s="11"/>
      <c r="H60" s="43" t="s">
        <v>253</v>
      </c>
    </row>
    <row r="61" spans="2:8">
      <c r="B61" s="63" t="s">
        <v>373</v>
      </c>
      <c r="C61" s="10" t="s">
        <v>115</v>
      </c>
      <c r="D61" s="10" t="s">
        <v>110</v>
      </c>
      <c r="E61" s="49">
        <v>1</v>
      </c>
      <c r="F61" s="11"/>
      <c r="G61" s="11"/>
      <c r="H61" s="43" t="s">
        <v>253</v>
      </c>
    </row>
    <row r="62" spans="2:8">
      <c r="B62" s="63" t="s">
        <v>370</v>
      </c>
      <c r="C62" s="11" t="s">
        <v>115</v>
      </c>
      <c r="D62" s="11" t="s">
        <v>110</v>
      </c>
      <c r="E62" s="16">
        <v>1</v>
      </c>
      <c r="F62" s="10" t="s">
        <v>371</v>
      </c>
      <c r="G62" s="11"/>
      <c r="H62" s="43" t="s">
        <v>253</v>
      </c>
    </row>
    <row r="63" spans="2:8">
      <c r="B63" s="63" t="s">
        <v>615</v>
      </c>
      <c r="C63" s="10" t="s">
        <v>115</v>
      </c>
      <c r="D63" s="10" t="s">
        <v>110</v>
      </c>
      <c r="E63" s="16">
        <v>1</v>
      </c>
      <c r="F63" s="10"/>
      <c r="G63" s="11"/>
      <c r="H63" s="43" t="s">
        <v>253</v>
      </c>
    </row>
    <row r="64" spans="2:8">
      <c r="B64" s="63" t="s">
        <v>579</v>
      </c>
      <c r="C64" s="10" t="s">
        <v>115</v>
      </c>
      <c r="D64" s="10" t="s">
        <v>110</v>
      </c>
      <c r="E64" s="49" t="s">
        <v>580</v>
      </c>
      <c r="F64" s="10"/>
      <c r="G64" s="11"/>
      <c r="H64" s="43" t="s">
        <v>253</v>
      </c>
    </row>
    <row r="65" spans="2:8">
      <c r="B65" s="63" t="s">
        <v>679</v>
      </c>
      <c r="C65" s="10" t="s">
        <v>612</v>
      </c>
      <c r="D65" s="10" t="s">
        <v>110</v>
      </c>
      <c r="E65" s="49">
        <v>1</v>
      </c>
      <c r="F65" s="10" t="s">
        <v>388</v>
      </c>
      <c r="G65" s="10" t="s">
        <v>611</v>
      </c>
      <c r="H65" s="43" t="s">
        <v>253</v>
      </c>
    </row>
    <row r="66" spans="2:8">
      <c r="B66" s="63" t="s">
        <v>377</v>
      </c>
      <c r="C66" s="10" t="s">
        <v>115</v>
      </c>
      <c r="D66" s="10" t="s">
        <v>110</v>
      </c>
      <c r="E66" s="49">
        <v>1</v>
      </c>
      <c r="F66" s="10" t="s">
        <v>476</v>
      </c>
      <c r="G66" s="11"/>
      <c r="H66" s="43" t="s">
        <v>253</v>
      </c>
    </row>
    <row r="67" spans="2:8">
      <c r="B67" s="63" t="s">
        <v>367</v>
      </c>
      <c r="C67" s="10" t="s">
        <v>368</v>
      </c>
      <c r="D67" s="10" t="s">
        <v>110</v>
      </c>
      <c r="E67" s="16">
        <v>1</v>
      </c>
      <c r="F67" s="10" t="s">
        <v>369</v>
      </c>
      <c r="G67" s="11"/>
      <c r="H67" s="43" t="s">
        <v>211</v>
      </c>
    </row>
    <row r="68" spans="2:8">
      <c r="B68" s="63" t="s">
        <v>596</v>
      </c>
      <c r="C68" s="10" t="s">
        <v>115</v>
      </c>
      <c r="D68" s="10" t="s">
        <v>110</v>
      </c>
      <c r="E68" s="16">
        <v>1</v>
      </c>
      <c r="F68" s="10" t="s">
        <v>597</v>
      </c>
      <c r="G68" s="11"/>
      <c r="H68" s="43" t="s">
        <v>253</v>
      </c>
    </row>
    <row r="69" spans="2:8">
      <c r="B69" s="116" t="s">
        <v>743</v>
      </c>
      <c r="C69" s="38" t="s">
        <v>351</v>
      </c>
      <c r="D69" s="38" t="s">
        <v>110</v>
      </c>
      <c r="E69" s="117">
        <v>1</v>
      </c>
      <c r="F69" s="38" t="s">
        <v>352</v>
      </c>
      <c r="G69" s="38"/>
      <c r="H69" s="118" t="s">
        <v>161</v>
      </c>
    </row>
    <row r="70" spans="2:8" s="19" customFormat="1">
      <c r="B70" s="63" t="s">
        <v>581</v>
      </c>
      <c r="C70" s="10" t="s">
        <v>467</v>
      </c>
      <c r="D70" s="10" t="s">
        <v>80</v>
      </c>
      <c r="E70" s="16">
        <v>1</v>
      </c>
      <c r="F70" s="10" t="s">
        <v>468</v>
      </c>
      <c r="G70" s="106"/>
      <c r="H70" s="43" t="s">
        <v>161</v>
      </c>
    </row>
    <row r="71" spans="2:8">
      <c r="B71" s="63" t="s">
        <v>353</v>
      </c>
      <c r="C71" s="10" t="s">
        <v>354</v>
      </c>
      <c r="D71" s="10" t="s">
        <v>110</v>
      </c>
      <c r="E71" s="16">
        <v>1</v>
      </c>
      <c r="F71" s="10" t="s">
        <v>355</v>
      </c>
      <c r="G71" s="11"/>
      <c r="H71" s="43" t="s">
        <v>161</v>
      </c>
    </row>
    <row r="72" spans="2:8">
      <c r="B72" s="63" t="s">
        <v>374</v>
      </c>
      <c r="C72" s="10" t="s">
        <v>115</v>
      </c>
      <c r="D72" s="10" t="s">
        <v>110</v>
      </c>
      <c r="E72" s="49" t="s">
        <v>375</v>
      </c>
      <c r="F72" s="10" t="s">
        <v>376</v>
      </c>
      <c r="G72" s="11"/>
      <c r="H72" s="43" t="s">
        <v>161</v>
      </c>
    </row>
    <row r="73" spans="2:8">
      <c r="B73" s="63" t="s">
        <v>589</v>
      </c>
      <c r="C73" s="10" t="s">
        <v>415</v>
      </c>
      <c r="D73" s="10" t="s">
        <v>110</v>
      </c>
      <c r="E73" s="49" t="s">
        <v>416</v>
      </c>
      <c r="F73" s="10" t="s">
        <v>588</v>
      </c>
      <c r="G73" s="11"/>
      <c r="H73" s="43" t="s">
        <v>253</v>
      </c>
    </row>
    <row r="74" spans="2:8">
      <c r="B74" s="63"/>
      <c r="C74" s="10" t="s">
        <v>390</v>
      </c>
      <c r="D74" s="10" t="s">
        <v>110</v>
      </c>
      <c r="E74" s="49">
        <v>1</v>
      </c>
      <c r="F74" s="10" t="s">
        <v>392</v>
      </c>
      <c r="G74" s="11"/>
      <c r="H74" s="43" t="s">
        <v>253</v>
      </c>
    </row>
    <row r="75" spans="2:8">
      <c r="B75" s="63"/>
      <c r="C75" s="10" t="s">
        <v>391</v>
      </c>
      <c r="D75" s="10" t="s">
        <v>110</v>
      </c>
      <c r="E75" s="49">
        <v>1</v>
      </c>
      <c r="F75" s="10" t="s">
        <v>393</v>
      </c>
      <c r="G75" s="11"/>
      <c r="H75" s="43" t="s">
        <v>161</v>
      </c>
    </row>
    <row r="76" spans="2:8">
      <c r="B76" s="72" t="s">
        <v>345</v>
      </c>
      <c r="C76" s="73" t="s">
        <v>284</v>
      </c>
      <c r="D76" s="73" t="s">
        <v>80</v>
      </c>
      <c r="E76" s="27">
        <v>1</v>
      </c>
      <c r="F76" s="73" t="s">
        <v>346</v>
      </c>
      <c r="G76" s="13"/>
      <c r="H76" s="74" t="s">
        <v>161</v>
      </c>
    </row>
    <row r="78" spans="2:8">
      <c r="B78" s="3"/>
      <c r="F78" s="23" t="s">
        <v>103</v>
      </c>
    </row>
    <row r="79" spans="2:8">
      <c r="B79" s="3"/>
      <c r="F79" s="23" t="s">
        <v>120</v>
      </c>
    </row>
    <row r="80" spans="2:8">
      <c r="B80" s="3"/>
      <c r="F80" s="23" t="s">
        <v>243</v>
      </c>
    </row>
    <row r="81" spans="6:6">
      <c r="F81" s="23" t="s">
        <v>241</v>
      </c>
    </row>
    <row r="82" spans="6:6">
      <c r="F82" s="23" t="s">
        <v>335</v>
      </c>
    </row>
    <row r="83" spans="6:6">
      <c r="F83" s="23" t="s">
        <v>333</v>
      </c>
    </row>
    <row r="84" spans="6:6">
      <c r="F84" s="23" t="s">
        <v>332</v>
      </c>
    </row>
    <row r="85" spans="6:6">
      <c r="F85" s="23" t="s">
        <v>308</v>
      </c>
    </row>
    <row r="86" spans="6:6">
      <c r="F86" s="23" t="s">
        <v>331</v>
      </c>
    </row>
    <row r="87" spans="6:6">
      <c r="F87" s="23" t="s">
        <v>328</v>
      </c>
    </row>
    <row r="88" spans="6:6">
      <c r="F88" s="23" t="s">
        <v>460</v>
      </c>
    </row>
    <row r="89" spans="6:6">
      <c r="F89" s="23" t="s">
        <v>400</v>
      </c>
    </row>
    <row r="90" spans="6:6">
      <c r="F90" s="95" t="s">
        <v>509</v>
      </c>
    </row>
    <row r="91" spans="6:6">
      <c r="F91" s="95" t="s">
        <v>519</v>
      </c>
    </row>
    <row r="92" spans="6:6">
      <c r="F92" s="95" t="s">
        <v>507</v>
      </c>
    </row>
    <row r="93" spans="6:6">
      <c r="F93" s="95" t="s">
        <v>433</v>
      </c>
    </row>
    <row r="94" spans="6:6">
      <c r="F94" s="95" t="s">
        <v>601</v>
      </c>
    </row>
    <row r="95" spans="6:6">
      <c r="F95" s="95" t="s">
        <v>701</v>
      </c>
    </row>
    <row r="96" spans="6:6">
      <c r="F96" s="95" t="s">
        <v>479</v>
      </c>
    </row>
    <row r="97" spans="6:6">
      <c r="F97" s="95" t="s">
        <v>719</v>
      </c>
    </row>
    <row r="99" spans="6:6">
      <c r="F99" s="144" t="s">
        <v>824</v>
      </c>
    </row>
  </sheetData>
  <phoneticPr fontId="17" type="noConversion"/>
  <hyperlinks>
    <hyperlink ref="B20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J13" location="Diagnostics!A1" display="Diagnostics" xr:uid="{00000000-0004-0000-0200-000009000000}"/>
    <hyperlink ref="J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18" location="Xeloda!A1" display="Xeloda (capecitabine)" xr:uid="{8F2B063A-3A15-4B1A-884E-2E99BF7876ED}"/>
    <hyperlink ref="B8" location="pertuzumab!A1" display="pertuzumab" xr:uid="{2102BCC2-8611-491C-B597-7B5693B26690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B152"/>
  <sheetViews>
    <sheetView zoomScaleNormal="100" zoomScaleSheetLayoutView="100" workbookViewId="0">
      <pane xSplit="2" ySplit="2" topLeftCell="C3" activePane="bottomRight" state="frozen"/>
      <selection activeCell="AT9" sqref="AT9"/>
      <selection pane="topRight" activeCell="AT9" sqref="AT9"/>
      <selection pane="bottomLeft" activeCell="AT9" sqref="AT9"/>
      <selection pane="bottomRight" activeCell="C3" sqref="C3"/>
    </sheetView>
  </sheetViews>
  <sheetFormatPr defaultRowHeight="12.75"/>
  <cols>
    <col min="1" max="1" width="5" style="17" bestFit="1" customWidth="1"/>
    <col min="2" max="2" width="28.85546875" style="17" customWidth="1"/>
    <col min="3" max="6" width="7.85546875" style="84" customWidth="1"/>
    <col min="7" max="24" width="7.85546875" style="78" customWidth="1"/>
    <col min="25" max="25" width="7.85546875" style="30" customWidth="1"/>
    <col min="26" max="30" width="7.85546875" style="78" customWidth="1"/>
    <col min="31" max="31" width="9.140625" style="107" customWidth="1"/>
    <col min="32" max="32" width="7.140625" style="107" customWidth="1"/>
    <col min="33" max="112" width="7.140625" style="108" customWidth="1"/>
    <col min="113" max="113" width="1.7109375" style="5" customWidth="1"/>
    <col min="114" max="114" width="9.140625" style="28" customWidth="1"/>
    <col min="115" max="119" width="8.28515625" style="28" bestFit="1" customWidth="1"/>
    <col min="120" max="133" width="8" style="28" customWidth="1"/>
    <col min="134" max="134" width="7.85546875" style="57" customWidth="1" collapsed="1"/>
    <col min="135" max="135" width="7.85546875" style="136" customWidth="1" collapsed="1"/>
    <col min="136" max="137" width="7.85546875" style="57" customWidth="1" collapsed="1"/>
    <col min="138" max="140" width="9.140625" style="17" collapsed="1"/>
    <col min="141" max="16384" width="9.140625" style="17"/>
  </cols>
  <sheetData>
    <row r="1" spans="1:144" s="20" customFormat="1">
      <c r="A1" s="40" t="s">
        <v>55</v>
      </c>
      <c r="B1" s="22"/>
      <c r="C1" s="28"/>
      <c r="D1" s="28"/>
      <c r="E1" s="28"/>
      <c r="F1" s="2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107"/>
      <c r="AF1" s="107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5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52"/>
      <c r="EE1" s="21"/>
      <c r="EF1" s="52"/>
      <c r="EG1" s="52"/>
    </row>
    <row r="2" spans="1:144" s="31" customFormat="1">
      <c r="B2" s="22" t="s">
        <v>342</v>
      </c>
      <c r="C2" s="28" t="s">
        <v>181</v>
      </c>
      <c r="D2" s="28" t="s">
        <v>180</v>
      </c>
      <c r="E2" s="28" t="s">
        <v>179</v>
      </c>
      <c r="F2" s="28" t="s">
        <v>178</v>
      </c>
      <c r="G2" s="28" t="s">
        <v>179</v>
      </c>
      <c r="H2" s="28" t="s">
        <v>178</v>
      </c>
      <c r="I2" s="30" t="s">
        <v>177</v>
      </c>
      <c r="J2" s="30" t="s">
        <v>176</v>
      </c>
      <c r="K2" s="30" t="s">
        <v>143</v>
      </c>
      <c r="L2" s="30" t="s">
        <v>144</v>
      </c>
      <c r="M2" s="30" t="s">
        <v>145</v>
      </c>
      <c r="N2" s="30" t="s">
        <v>159</v>
      </c>
      <c r="O2" s="30" t="s">
        <v>173</v>
      </c>
      <c r="P2" s="30" t="s">
        <v>174</v>
      </c>
      <c r="Q2" s="30" t="s">
        <v>336</v>
      </c>
      <c r="R2" s="30" t="s">
        <v>337</v>
      </c>
      <c r="S2" s="30" t="s">
        <v>598</v>
      </c>
      <c r="T2" s="30" t="s">
        <v>599</v>
      </c>
      <c r="U2" s="79" t="s">
        <v>703</v>
      </c>
      <c r="V2" s="79" t="s">
        <v>704</v>
      </c>
      <c r="W2" s="79" t="s">
        <v>722</v>
      </c>
      <c r="X2" s="79" t="s">
        <v>723</v>
      </c>
      <c r="Y2" s="79" t="s">
        <v>764</v>
      </c>
      <c r="Z2" s="79" t="s">
        <v>765</v>
      </c>
      <c r="AA2" s="79" t="s">
        <v>766</v>
      </c>
      <c r="AB2" s="79" t="s">
        <v>767</v>
      </c>
      <c r="AC2" s="79"/>
      <c r="AD2" s="79"/>
      <c r="AE2" s="107"/>
      <c r="AF2" s="107" t="s">
        <v>157</v>
      </c>
      <c r="AG2" s="107" t="s">
        <v>156</v>
      </c>
      <c r="AH2" s="107" t="s">
        <v>155</v>
      </c>
      <c r="AI2" s="107" t="s">
        <v>154</v>
      </c>
      <c r="AJ2" s="107" t="s">
        <v>153</v>
      </c>
      <c r="AK2" s="107" t="s">
        <v>152</v>
      </c>
      <c r="AL2" s="107" t="s">
        <v>151</v>
      </c>
      <c r="AM2" s="107" t="s">
        <v>150</v>
      </c>
      <c r="AN2" s="107" t="s">
        <v>131</v>
      </c>
      <c r="AO2" s="107" t="s">
        <v>160</v>
      </c>
      <c r="AP2" s="107" t="s">
        <v>132</v>
      </c>
      <c r="AQ2" s="107" t="s">
        <v>133</v>
      </c>
      <c r="AR2" s="107" t="s">
        <v>134</v>
      </c>
      <c r="AS2" s="107" t="s">
        <v>135</v>
      </c>
      <c r="AT2" s="107" t="s">
        <v>136</v>
      </c>
      <c r="AU2" s="107" t="s">
        <v>137</v>
      </c>
      <c r="AV2" s="107" t="s">
        <v>195</v>
      </c>
      <c r="AW2" s="107" t="s">
        <v>196</v>
      </c>
      <c r="AX2" s="107" t="s">
        <v>197</v>
      </c>
      <c r="AY2" s="107" t="s">
        <v>198</v>
      </c>
      <c r="AZ2" s="52" t="s">
        <v>303</v>
      </c>
      <c r="BA2" s="52" t="s">
        <v>304</v>
      </c>
      <c r="BB2" s="52" t="s">
        <v>305</v>
      </c>
      <c r="BC2" s="52" t="s">
        <v>306</v>
      </c>
      <c r="BD2" s="61" t="s">
        <v>583</v>
      </c>
      <c r="BE2" s="61" t="s">
        <v>686</v>
      </c>
      <c r="BF2" s="61" t="s">
        <v>692</v>
      </c>
      <c r="BG2" s="61" t="s">
        <v>693</v>
      </c>
      <c r="BH2" s="61" t="s">
        <v>694</v>
      </c>
      <c r="BI2" s="61" t="s">
        <v>695</v>
      </c>
      <c r="BJ2" s="61" t="s">
        <v>696</v>
      </c>
      <c r="BK2" s="61" t="s">
        <v>697</v>
      </c>
      <c r="BL2" s="61" t="s">
        <v>724</v>
      </c>
      <c r="BM2" s="61" t="s">
        <v>725</v>
      </c>
      <c r="BN2" s="61" t="s">
        <v>726</v>
      </c>
      <c r="BO2" s="61" t="s">
        <v>727</v>
      </c>
      <c r="BP2" s="61" t="s">
        <v>733</v>
      </c>
      <c r="BQ2" s="61" t="s">
        <v>734</v>
      </c>
      <c r="BR2" s="61" t="s">
        <v>735</v>
      </c>
      <c r="BS2" s="61" t="s">
        <v>736</v>
      </c>
      <c r="BT2" s="61" t="s">
        <v>757</v>
      </c>
      <c r="BU2" s="61" t="s">
        <v>758</v>
      </c>
      <c r="BV2" s="61" t="s">
        <v>759</v>
      </c>
      <c r="BW2" s="61" t="s">
        <v>760</v>
      </c>
      <c r="BX2" s="61" t="s">
        <v>771</v>
      </c>
      <c r="BY2" s="61" t="s">
        <v>772</v>
      </c>
      <c r="BZ2" s="61" t="s">
        <v>773</v>
      </c>
      <c r="CA2" s="61" t="s">
        <v>774</v>
      </c>
      <c r="CB2" s="61" t="s">
        <v>775</v>
      </c>
      <c r="CC2" s="61" t="s">
        <v>776</v>
      </c>
      <c r="CD2" s="61" t="s">
        <v>777</v>
      </c>
      <c r="CE2" s="61" t="s">
        <v>778</v>
      </c>
      <c r="CF2" s="61" t="s">
        <v>779</v>
      </c>
      <c r="CG2" s="61" t="s">
        <v>780</v>
      </c>
      <c r="CH2" s="61" t="s">
        <v>781</v>
      </c>
      <c r="CI2" s="61" t="s">
        <v>782</v>
      </c>
      <c r="CJ2" s="61" t="s">
        <v>783</v>
      </c>
      <c r="CK2" s="61" t="s">
        <v>784</v>
      </c>
      <c r="CL2" s="61" t="s">
        <v>785</v>
      </c>
      <c r="CM2" s="61" t="s">
        <v>786</v>
      </c>
      <c r="CN2" s="61" t="s">
        <v>787</v>
      </c>
      <c r="CO2" s="61" t="s">
        <v>788</v>
      </c>
      <c r="CP2" s="61" t="s">
        <v>789</v>
      </c>
      <c r="CQ2" s="61" t="s">
        <v>790</v>
      </c>
      <c r="CR2" s="61" t="s">
        <v>791</v>
      </c>
      <c r="CS2" s="61" t="s">
        <v>792</v>
      </c>
      <c r="CT2" s="61" t="s">
        <v>793</v>
      </c>
      <c r="CU2" s="61" t="s">
        <v>794</v>
      </c>
      <c r="CV2" s="61" t="s">
        <v>795</v>
      </c>
      <c r="CW2" s="61" t="s">
        <v>796</v>
      </c>
      <c r="CX2" s="61" t="s">
        <v>797</v>
      </c>
      <c r="CY2" s="61" t="s">
        <v>798</v>
      </c>
      <c r="CZ2" s="61" t="s">
        <v>799</v>
      </c>
      <c r="DA2" s="61" t="s">
        <v>800</v>
      </c>
      <c r="DB2" s="61" t="s">
        <v>801</v>
      </c>
      <c r="DC2" s="61" t="s">
        <v>802</v>
      </c>
      <c r="DD2" s="61"/>
      <c r="DE2" s="61"/>
      <c r="DF2" s="61"/>
      <c r="DG2" s="61"/>
      <c r="DH2" s="61"/>
      <c r="DI2" s="5"/>
      <c r="DJ2" s="53">
        <v>2001</v>
      </c>
      <c r="DK2" s="53">
        <v>2002</v>
      </c>
      <c r="DL2" s="53">
        <v>2003</v>
      </c>
      <c r="DM2" s="53">
        <v>2004</v>
      </c>
      <c r="DN2" s="53">
        <v>2005</v>
      </c>
      <c r="DO2" s="53">
        <v>2006</v>
      </c>
      <c r="DP2" s="53">
        <v>2007</v>
      </c>
      <c r="DQ2" s="53">
        <f>DP2+1</f>
        <v>2008</v>
      </c>
      <c r="DR2" s="53">
        <f t="shared" ref="DR2:EC2" si="0">DQ2+1</f>
        <v>2009</v>
      </c>
      <c r="DS2" s="53">
        <f t="shared" si="0"/>
        <v>2010</v>
      </c>
      <c r="DT2" s="53">
        <f t="shared" si="0"/>
        <v>2011</v>
      </c>
      <c r="DU2" s="53">
        <f t="shared" si="0"/>
        <v>2012</v>
      </c>
      <c r="DV2" s="53">
        <f t="shared" si="0"/>
        <v>2013</v>
      </c>
      <c r="DW2" s="53">
        <f t="shared" si="0"/>
        <v>2014</v>
      </c>
      <c r="DX2" s="53">
        <f t="shared" si="0"/>
        <v>2015</v>
      </c>
      <c r="DY2" s="53">
        <f t="shared" si="0"/>
        <v>2016</v>
      </c>
      <c r="DZ2" s="53">
        <f t="shared" si="0"/>
        <v>2017</v>
      </c>
      <c r="EA2" s="53">
        <f t="shared" si="0"/>
        <v>2018</v>
      </c>
      <c r="EB2" s="53">
        <f t="shared" si="0"/>
        <v>2019</v>
      </c>
      <c r="EC2" s="53">
        <f t="shared" si="0"/>
        <v>2020</v>
      </c>
      <c r="ED2" s="53">
        <f t="shared" ref="ED2" si="1">EC2+1</f>
        <v>2021</v>
      </c>
      <c r="EE2" s="53">
        <f t="shared" ref="EE2" si="2">ED2+1</f>
        <v>2022</v>
      </c>
      <c r="EF2" s="53">
        <f t="shared" ref="EF2" si="3">EE2+1</f>
        <v>2023</v>
      </c>
      <c r="EG2" s="53">
        <f t="shared" ref="EG2" si="4">EF2+1</f>
        <v>2024</v>
      </c>
      <c r="EH2" s="53">
        <f t="shared" ref="EH2" si="5">EG2+1</f>
        <v>2025</v>
      </c>
      <c r="EI2" s="53">
        <f t="shared" ref="EI2" si="6">EH2+1</f>
        <v>2026</v>
      </c>
      <c r="EJ2" s="53">
        <f t="shared" ref="EJ2" si="7">EI2+1</f>
        <v>2027</v>
      </c>
      <c r="EK2" s="53">
        <f t="shared" ref="EK2" si="8">EJ2+1</f>
        <v>2028</v>
      </c>
      <c r="EL2" s="53">
        <f t="shared" ref="EL2" si="9">EK2+1</f>
        <v>2029</v>
      </c>
      <c r="EM2" s="53">
        <f t="shared" ref="EM2" si="10">EL2+1</f>
        <v>2030</v>
      </c>
      <c r="EN2" s="53">
        <f t="shared" ref="EN2" si="11">EM2+1</f>
        <v>2031</v>
      </c>
    </row>
    <row r="3" spans="1:144" s="31" customFormat="1">
      <c r="B3" s="22" t="s">
        <v>488</v>
      </c>
      <c r="C3" s="28"/>
      <c r="D3" s="28"/>
      <c r="E3" s="28"/>
      <c r="F3" s="28"/>
      <c r="G3" s="28"/>
      <c r="H3" s="28"/>
      <c r="I3" s="30"/>
      <c r="J3" s="30"/>
      <c r="K3" s="30"/>
      <c r="L3" s="30"/>
      <c r="M3" s="30"/>
      <c r="N3" s="30"/>
      <c r="O3" s="30"/>
      <c r="P3" s="30"/>
      <c r="Q3" s="77">
        <f>SUM(Q14:Q60)</f>
        <v>19477</v>
      </c>
      <c r="R3" s="30">
        <f>BB3+BC3</f>
        <v>20063</v>
      </c>
      <c r="S3" s="30">
        <f>BC3+BD3</f>
        <v>18474</v>
      </c>
      <c r="T3" s="30">
        <f>37058-S3</f>
        <v>18584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107"/>
      <c r="AF3" s="77">
        <f t="shared" ref="AF3:AS3" si="12">SUM(AF14:AF60)</f>
        <v>5217.9046424090338</v>
      </c>
      <c r="AG3" s="77">
        <f t="shared" si="12"/>
        <v>5426.6097867001254</v>
      </c>
      <c r="AH3" s="77">
        <f t="shared" si="12"/>
        <v>5487.2823086574654</v>
      </c>
      <c r="AI3" s="77">
        <f t="shared" si="12"/>
        <v>5562.7076596246898</v>
      </c>
      <c r="AJ3" s="77">
        <f t="shared" si="12"/>
        <v>6156</v>
      </c>
      <c r="AK3" s="77">
        <f t="shared" si="12"/>
        <v>6507.7282626022334</v>
      </c>
      <c r="AL3" s="77">
        <f t="shared" si="12"/>
        <v>6761.2717373977657</v>
      </c>
      <c r="AM3" s="77">
        <f t="shared" si="12"/>
        <v>7867</v>
      </c>
      <c r="AN3" s="77">
        <f t="shared" si="12"/>
        <v>7733</v>
      </c>
      <c r="AO3" s="77">
        <f t="shared" si="12"/>
        <v>7837</v>
      </c>
      <c r="AP3" s="77">
        <f t="shared" si="12"/>
        <v>8359.2578675886834</v>
      </c>
      <c r="AQ3" s="77">
        <f t="shared" si="12"/>
        <v>9025.1465217449659</v>
      </c>
      <c r="AR3" s="77">
        <f t="shared" si="12"/>
        <v>7729</v>
      </c>
      <c r="AS3" s="77">
        <f t="shared" si="12"/>
        <v>7696</v>
      </c>
      <c r="AT3" s="77">
        <f t="shared" ref="AT3:BC3" si="13">SUM(AT14:AT61)</f>
        <v>9212</v>
      </c>
      <c r="AU3" s="77">
        <f t="shared" si="13"/>
        <v>10011</v>
      </c>
      <c r="AV3" s="77">
        <f t="shared" si="13"/>
        <v>8795</v>
      </c>
      <c r="AW3" s="77">
        <f t="shared" si="13"/>
        <v>8902</v>
      </c>
      <c r="AX3" s="77">
        <f t="shared" si="13"/>
        <v>9138</v>
      </c>
      <c r="AY3" s="77">
        <f t="shared" si="13"/>
        <v>9972</v>
      </c>
      <c r="AZ3" s="77">
        <f t="shared" si="13"/>
        <v>9396</v>
      </c>
      <c r="BA3" s="77">
        <f t="shared" si="13"/>
        <v>10081</v>
      </c>
      <c r="BB3" s="77">
        <f t="shared" si="13"/>
        <v>10101</v>
      </c>
      <c r="BC3" s="77">
        <f t="shared" si="13"/>
        <v>9962</v>
      </c>
      <c r="BD3" s="77">
        <f>SUM(BD14:BD60)</f>
        <v>8512</v>
      </c>
      <c r="BE3" s="77">
        <f t="shared" ref="BE3:BK3" si="14">SUM(BE14:BE61)</f>
        <v>9659</v>
      </c>
      <c r="BF3" s="77">
        <f t="shared" si="14"/>
        <v>9009</v>
      </c>
      <c r="BG3" s="77">
        <f t="shared" si="14"/>
        <v>8663</v>
      </c>
      <c r="BH3" s="77">
        <f t="shared" si="14"/>
        <v>8712</v>
      </c>
      <c r="BI3" s="77">
        <f t="shared" si="14"/>
        <v>8103</v>
      </c>
      <c r="BJ3" s="77">
        <f t="shared" si="14"/>
        <v>7582</v>
      </c>
      <c r="BK3" s="77">
        <f t="shared" si="14"/>
        <v>8397</v>
      </c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>
        <f>SUM(CZ9:CZ60)</f>
        <v>11159</v>
      </c>
      <c r="DA3" s="77"/>
      <c r="DB3" s="77"/>
      <c r="DC3" s="77"/>
      <c r="DD3" s="77"/>
      <c r="DE3" s="77"/>
      <c r="DF3" s="77"/>
      <c r="DG3" s="77"/>
      <c r="DH3" s="77"/>
      <c r="DI3" s="5"/>
      <c r="DJ3" s="77">
        <f t="shared" ref="DJ3:DQ3" si="15">SUM(DJ14:DJ60)</f>
        <v>17200</v>
      </c>
      <c r="DK3" s="77">
        <f t="shared" si="15"/>
        <v>17703</v>
      </c>
      <c r="DL3" s="77">
        <f t="shared" si="15"/>
        <v>19781</v>
      </c>
      <c r="DM3" s="77">
        <f t="shared" si="15"/>
        <v>21694.504397391313</v>
      </c>
      <c r="DN3" s="77">
        <f t="shared" si="15"/>
        <v>27292</v>
      </c>
      <c r="DO3" s="77">
        <f t="shared" si="15"/>
        <v>32088.404389333649</v>
      </c>
      <c r="DP3" s="77">
        <f t="shared" si="15"/>
        <v>31009</v>
      </c>
      <c r="DQ3" s="77">
        <f t="shared" si="15"/>
        <v>30761</v>
      </c>
      <c r="DR3" s="77">
        <f>SUM(DR14:DR61)</f>
        <v>39540</v>
      </c>
      <c r="DS3" s="77">
        <f>SUM(DS14:DS61)</f>
        <v>36911</v>
      </c>
      <c r="DT3" s="79">
        <f t="shared" ref="DT3:DT8" si="16">SUM(BH3:BK3)</f>
        <v>32794</v>
      </c>
      <c r="DU3" s="77">
        <f t="shared" ref="DU3:EB3" si="17">SUM(DU14:DU61)</f>
        <v>30432</v>
      </c>
      <c r="DV3" s="77">
        <f t="shared" si="17"/>
        <v>31404</v>
      </c>
      <c r="DW3" s="77">
        <f t="shared" si="17"/>
        <v>30229.620000000003</v>
      </c>
      <c r="DX3" s="77">
        <f t="shared" si="17"/>
        <v>29747.181199999999</v>
      </c>
      <c r="DY3" s="77">
        <f t="shared" si="17"/>
        <v>29677.626001999997</v>
      </c>
      <c r="DZ3" s="77">
        <f t="shared" si="17"/>
        <v>28642.10138276</v>
      </c>
      <c r="EA3" s="77">
        <f t="shared" si="17"/>
        <v>27880.457600417809</v>
      </c>
      <c r="EB3" s="77">
        <f t="shared" si="17"/>
        <v>23580.29338870334</v>
      </c>
      <c r="EC3" s="77">
        <f>SUM(EC9:EC61)</f>
        <v>44532</v>
      </c>
      <c r="ED3" s="77">
        <f>SUM(ED9:ED61)</f>
        <v>45041</v>
      </c>
      <c r="EE3" s="132"/>
      <c r="EF3" s="54"/>
      <c r="EG3" s="54"/>
    </row>
    <row r="4" spans="1:144" s="31" customFormat="1">
      <c r="B4" s="22" t="s">
        <v>584</v>
      </c>
      <c r="C4" s="54"/>
      <c r="D4" s="54"/>
      <c r="E4" s="29">
        <v>2051</v>
      </c>
      <c r="F4" s="29">
        <v>2470</v>
      </c>
      <c r="G4" s="29"/>
      <c r="H4" s="29"/>
      <c r="I4" s="32">
        <v>2867</v>
      </c>
      <c r="J4" s="32">
        <f>6614-I4</f>
        <v>3747</v>
      </c>
      <c r="K4" s="32">
        <v>4223</v>
      </c>
      <c r="L4" s="32">
        <f>9125-K4</f>
        <v>4902</v>
      </c>
      <c r="M4" s="32">
        <v>5227</v>
      </c>
      <c r="N4" s="32">
        <f>10414-M4</f>
        <v>5187</v>
      </c>
      <c r="O4" s="32">
        <v>4867</v>
      </c>
      <c r="P4" s="32">
        <f>10461-O4</f>
        <v>5594</v>
      </c>
      <c r="Q4" s="32">
        <v>7516</v>
      </c>
      <c r="R4" s="32">
        <f>BB4+BC4</f>
        <v>7289</v>
      </c>
      <c r="S4" s="32">
        <v>7372</v>
      </c>
      <c r="T4" s="32">
        <f>14071-S4</f>
        <v>6699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56"/>
      <c r="AF4" s="54"/>
      <c r="AG4" s="54"/>
      <c r="AH4" s="54"/>
      <c r="AI4" s="54"/>
      <c r="AJ4" s="29"/>
      <c r="AK4" s="29"/>
      <c r="AL4" s="29"/>
      <c r="AM4" s="29">
        <v>1982</v>
      </c>
      <c r="AN4" s="29">
        <v>2056</v>
      </c>
      <c r="AO4" s="29">
        <v>2167</v>
      </c>
      <c r="AP4" s="29">
        <v>2299</v>
      </c>
      <c r="AQ4" s="29">
        <v>2603</v>
      </c>
      <c r="AR4" s="29">
        <v>2547</v>
      </c>
      <c r="AS4" s="29">
        <v>2680</v>
      </c>
      <c r="AT4" s="29">
        <v>2623</v>
      </c>
      <c r="AU4" s="29">
        <v>2564</v>
      </c>
      <c r="AV4" s="29">
        <v>3326</v>
      </c>
      <c r="AW4" s="29">
        <v>2468</v>
      </c>
      <c r="AX4" s="29">
        <v>2669</v>
      </c>
      <c r="AY4" s="29">
        <v>2925</v>
      </c>
      <c r="AZ4" s="29">
        <v>3586</v>
      </c>
      <c r="BA4" s="29">
        <f>7516-AZ4</f>
        <v>3930</v>
      </c>
      <c r="BB4" s="29">
        <f>11157-BA4-AZ4</f>
        <v>3641</v>
      </c>
      <c r="BC4" s="29">
        <v>3648</v>
      </c>
      <c r="BD4" s="29">
        <v>3647</v>
      </c>
      <c r="BE4" s="29">
        <v>3725</v>
      </c>
      <c r="BF4" s="29">
        <v>3506</v>
      </c>
      <c r="BG4" s="29">
        <v>3193</v>
      </c>
      <c r="BH4" s="29">
        <v>3322</v>
      </c>
      <c r="BI4" s="29">
        <v>2963</v>
      </c>
      <c r="BJ4" s="29">
        <v>2819</v>
      </c>
      <c r="BK4" s="29">
        <v>3119</v>
      </c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19"/>
      <c r="DJ4" s="32">
        <v>2866</v>
      </c>
      <c r="DK4" s="32">
        <v>3250</v>
      </c>
      <c r="DL4" s="32">
        <v>3382</v>
      </c>
      <c r="DM4" s="32">
        <v>4521</v>
      </c>
      <c r="DN4" s="32">
        <v>6614</v>
      </c>
      <c r="DO4" s="32">
        <f>SUM(K4:L4)</f>
        <v>9125</v>
      </c>
      <c r="DP4" s="32">
        <f>SUM(M4:N4)</f>
        <v>10414</v>
      </c>
      <c r="DQ4" s="32">
        <f>SUM(O4:P4)</f>
        <v>10461</v>
      </c>
      <c r="DR4" s="32">
        <f t="shared" ref="DR4:DR14" si="18">SUM(AZ4:BC4)</f>
        <v>14805</v>
      </c>
      <c r="DS4" s="32">
        <f t="shared" ref="DS4:DS46" si="19">SUM(BD4:BG4)</f>
        <v>14071</v>
      </c>
      <c r="DT4" s="32">
        <f t="shared" si="16"/>
        <v>12223</v>
      </c>
      <c r="DU4" s="32"/>
      <c r="DV4" s="32"/>
      <c r="DW4" s="32"/>
      <c r="DX4" s="32"/>
      <c r="DY4" s="32"/>
      <c r="DZ4" s="32"/>
      <c r="EA4" s="32"/>
      <c r="EB4" s="32"/>
      <c r="EC4" s="32"/>
      <c r="ED4" s="54"/>
      <c r="EE4" s="132"/>
      <c r="EF4" s="54"/>
      <c r="EG4" s="54"/>
    </row>
    <row r="5" spans="1:144" s="31" customFormat="1">
      <c r="B5" s="22" t="s">
        <v>19</v>
      </c>
      <c r="C5" s="29"/>
      <c r="D5" s="29"/>
      <c r="E5" s="29"/>
      <c r="F5" s="29"/>
      <c r="G5" s="29"/>
      <c r="H5" s="29"/>
      <c r="I5" s="32">
        <v>1807</v>
      </c>
      <c r="J5" s="32">
        <f>3699-I5</f>
        <v>1892</v>
      </c>
      <c r="K5" s="32">
        <v>1684</v>
      </c>
      <c r="L5" s="32">
        <f>3503-K5</f>
        <v>1819</v>
      </c>
      <c r="M5" s="32">
        <v>1674</v>
      </c>
      <c r="N5" s="32">
        <f>3399-M5</f>
        <v>1725</v>
      </c>
      <c r="O5" s="32">
        <v>1452</v>
      </c>
      <c r="P5" s="32">
        <f>3336-O5</f>
        <v>1884</v>
      </c>
      <c r="Q5" s="32">
        <v>2184</v>
      </c>
      <c r="R5" s="32">
        <f t="shared" ref="R5:R6" si="20">BB5+BC5</f>
        <v>2581</v>
      </c>
      <c r="S5" s="32">
        <v>2061</v>
      </c>
      <c r="T5" s="32">
        <f>4319-S5</f>
        <v>2258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56"/>
      <c r="AF5" s="29">
        <v>748</v>
      </c>
      <c r="AG5" s="29">
        <v>807</v>
      </c>
      <c r="AH5" s="29">
        <v>767</v>
      </c>
      <c r="AI5" s="29">
        <v>881</v>
      </c>
      <c r="AJ5" s="29">
        <v>955</v>
      </c>
      <c r="AK5" s="29">
        <v>852</v>
      </c>
      <c r="AL5" s="29">
        <v>826</v>
      </c>
      <c r="AM5" s="29">
        <v>1066</v>
      </c>
      <c r="AN5" s="29">
        <v>862</v>
      </c>
      <c r="AO5" s="29">
        <v>822</v>
      </c>
      <c r="AP5" s="29">
        <v>841.78159705624148</v>
      </c>
      <c r="AQ5" s="29">
        <v>1017.5078900940982</v>
      </c>
      <c r="AR5" s="29">
        <v>893</v>
      </c>
      <c r="AS5" s="29">
        <v>781</v>
      </c>
      <c r="AT5" s="29">
        <v>808</v>
      </c>
      <c r="AU5" s="29">
        <v>917</v>
      </c>
      <c r="AV5" s="29">
        <v>671</v>
      </c>
      <c r="AW5" s="29">
        <v>781</v>
      </c>
      <c r="AX5" s="29">
        <v>782</v>
      </c>
      <c r="AY5" s="29">
        <v>1102</v>
      </c>
      <c r="AZ5" s="29">
        <v>1139</v>
      </c>
      <c r="BA5" s="29">
        <f>2184-AZ5</f>
        <v>1045</v>
      </c>
      <c r="BB5" s="29">
        <f>3490-BA5-AZ5</f>
        <v>1306</v>
      </c>
      <c r="BC5" s="29">
        <v>1275</v>
      </c>
      <c r="BD5" s="29">
        <v>988</v>
      </c>
      <c r="BE5" s="29">
        <v>1073</v>
      </c>
      <c r="BF5" s="29">
        <v>1076</v>
      </c>
      <c r="BG5" s="29">
        <v>1182</v>
      </c>
      <c r="BH5" s="29">
        <v>903</v>
      </c>
      <c r="BI5" s="29">
        <v>928</v>
      </c>
      <c r="BJ5" s="29">
        <v>881</v>
      </c>
      <c r="BK5" s="29">
        <v>1105</v>
      </c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19"/>
      <c r="DJ5" s="32">
        <v>1000</v>
      </c>
      <c r="DK5" s="32">
        <v>1585</v>
      </c>
      <c r="DL5" s="32">
        <v>3156</v>
      </c>
      <c r="DM5" s="32">
        <f>SUM(AF5:AI5)</f>
        <v>3203</v>
      </c>
      <c r="DN5" s="32">
        <f>SUM(AJ5:AM5)</f>
        <v>3699</v>
      </c>
      <c r="DO5" s="32">
        <f>SUM(K5:L5)</f>
        <v>3503</v>
      </c>
      <c r="DP5" s="32">
        <f t="shared" ref="DP5:DP45" si="21">SUM(M5:N5)</f>
        <v>3399</v>
      </c>
      <c r="DQ5" s="32">
        <f>SUM(O5:P5)</f>
        <v>3336</v>
      </c>
      <c r="DR5" s="32">
        <f t="shared" si="18"/>
        <v>4765</v>
      </c>
      <c r="DS5" s="32">
        <f t="shared" si="19"/>
        <v>4319</v>
      </c>
      <c r="DT5" s="32">
        <f t="shared" si="16"/>
        <v>3817</v>
      </c>
      <c r="DU5" s="32"/>
      <c r="DV5" s="32"/>
      <c r="DW5" s="32"/>
      <c r="DX5" s="32"/>
      <c r="DY5" s="32"/>
      <c r="DZ5" s="32"/>
      <c r="EA5" s="32"/>
      <c r="EB5" s="32"/>
      <c r="EC5" s="32"/>
      <c r="ED5" s="54"/>
      <c r="EE5" s="132"/>
      <c r="EF5" s="54"/>
      <c r="EG5" s="54"/>
    </row>
    <row r="6" spans="1:144" s="31" customFormat="1">
      <c r="B6" s="22" t="s">
        <v>41</v>
      </c>
      <c r="C6" s="29"/>
      <c r="D6" s="29"/>
      <c r="E6" s="29"/>
      <c r="F6" s="29"/>
      <c r="G6" s="29"/>
      <c r="H6" s="29"/>
      <c r="I6" s="32">
        <v>3970</v>
      </c>
      <c r="J6" s="32">
        <f>8243-I6</f>
        <v>4273</v>
      </c>
      <c r="K6" s="32">
        <v>4272</v>
      </c>
      <c r="L6" s="32">
        <f>8747-K6</f>
        <v>4475</v>
      </c>
      <c r="M6" s="32">
        <v>4559</v>
      </c>
      <c r="N6" s="32">
        <f>9350-M6</f>
        <v>4791</v>
      </c>
      <c r="O6" s="32">
        <v>4747</v>
      </c>
      <c r="P6" s="32">
        <f>9656-O6</f>
        <v>4909</v>
      </c>
      <c r="Q6" s="32">
        <v>4902</v>
      </c>
      <c r="R6" s="32">
        <f t="shared" si="20"/>
        <v>5153</v>
      </c>
      <c r="S6" s="32">
        <v>5250</v>
      </c>
      <c r="T6" s="32">
        <f>10415-S6</f>
        <v>5165</v>
      </c>
      <c r="U6" s="32">
        <v>4856</v>
      </c>
      <c r="V6" s="32">
        <f>9737-U6</f>
        <v>4881</v>
      </c>
      <c r="W6" s="32"/>
      <c r="X6" s="32"/>
      <c r="Y6" s="32"/>
      <c r="Z6" s="32"/>
      <c r="AA6" s="32"/>
      <c r="AB6" s="32"/>
      <c r="AC6" s="32"/>
      <c r="AD6" s="32"/>
      <c r="AE6" s="56"/>
      <c r="AF6" s="56"/>
      <c r="AG6" s="109"/>
      <c r="AH6" s="109"/>
      <c r="AI6" s="109"/>
      <c r="AJ6" s="109"/>
      <c r="AK6" s="109"/>
      <c r="AL6" s="109"/>
      <c r="AM6" s="109">
        <v>2235</v>
      </c>
      <c r="AN6" s="109">
        <v>2091</v>
      </c>
      <c r="AO6" s="109">
        <v>2181</v>
      </c>
      <c r="AP6" s="109">
        <v>2143</v>
      </c>
      <c r="AQ6" s="109">
        <v>2332</v>
      </c>
      <c r="AR6" s="109">
        <v>2216</v>
      </c>
      <c r="AS6" s="109">
        <v>2343</v>
      </c>
      <c r="AT6" s="109">
        <v>2264</v>
      </c>
      <c r="AU6" s="109">
        <v>2527</v>
      </c>
      <c r="AV6" s="109">
        <v>2287</v>
      </c>
      <c r="AW6" s="29">
        <v>2460</v>
      </c>
      <c r="AX6" s="29">
        <v>2365</v>
      </c>
      <c r="AY6" s="29">
        <v>2544</v>
      </c>
      <c r="AZ6" s="29">
        <v>2361</v>
      </c>
      <c r="BA6" s="29">
        <f>4902-AZ6</f>
        <v>2541</v>
      </c>
      <c r="BB6" s="29">
        <f>7365-BA6-AZ6</f>
        <v>2463</v>
      </c>
      <c r="BC6" s="29">
        <v>2690</v>
      </c>
      <c r="BD6" s="29">
        <v>2518</v>
      </c>
      <c r="BE6" s="29">
        <v>2732</v>
      </c>
      <c r="BF6" s="29">
        <v>2482</v>
      </c>
      <c r="BG6" s="29">
        <v>2683</v>
      </c>
      <c r="BH6" s="29">
        <v>2408</v>
      </c>
      <c r="BI6" s="29">
        <v>2448</v>
      </c>
      <c r="BJ6" s="29">
        <v>2239</v>
      </c>
      <c r="BK6" s="29">
        <v>2642</v>
      </c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>
        <v>4330</v>
      </c>
      <c r="CW6" s="29"/>
      <c r="CX6" s="29"/>
      <c r="CY6" s="29"/>
      <c r="CZ6" s="29">
        <v>5826</v>
      </c>
      <c r="DA6" s="29"/>
      <c r="DB6" s="29"/>
      <c r="DC6" s="29"/>
      <c r="DD6" s="29"/>
      <c r="DE6" s="29"/>
      <c r="DF6" s="29"/>
      <c r="DG6" s="29"/>
      <c r="DH6" s="29"/>
      <c r="DI6" s="19"/>
      <c r="DJ6" s="32">
        <f>17200-DJ8-DJ5</f>
        <v>2866</v>
      </c>
      <c r="DK6" s="32">
        <f>17703-DK8-DK5</f>
        <v>3250</v>
      </c>
      <c r="DL6" s="32">
        <f>19781-DL5-DL8</f>
        <v>3382</v>
      </c>
      <c r="DM6" s="32">
        <f>21695-DM8-DM5</f>
        <v>4522</v>
      </c>
      <c r="DN6" s="32">
        <f>27268-DN8-DN5</f>
        <v>6614</v>
      </c>
      <c r="DO6" s="32">
        <f>SUM(K6:L6)</f>
        <v>8747</v>
      </c>
      <c r="DP6" s="32">
        <f>SUM(M6:N6)</f>
        <v>9350</v>
      </c>
      <c r="DQ6" s="32">
        <f>SUM(O6:P6)</f>
        <v>9656</v>
      </c>
      <c r="DR6" s="32">
        <f t="shared" si="18"/>
        <v>10055</v>
      </c>
      <c r="DS6" s="32">
        <f t="shared" si="19"/>
        <v>10415</v>
      </c>
      <c r="DT6" s="32">
        <f t="shared" si="16"/>
        <v>9737</v>
      </c>
      <c r="DU6" s="32"/>
      <c r="DV6" s="32"/>
      <c r="DW6" s="32"/>
      <c r="DX6" s="32"/>
      <c r="DY6" s="32"/>
      <c r="DZ6" s="32">
        <v>12079</v>
      </c>
      <c r="EA6" s="32">
        <v>12879</v>
      </c>
      <c r="EB6" s="32">
        <v>12950</v>
      </c>
      <c r="EC6" s="32">
        <v>13791</v>
      </c>
      <c r="ED6" s="32">
        <v>17760</v>
      </c>
      <c r="EE6" s="132"/>
      <c r="EF6" s="54"/>
      <c r="EG6" s="54"/>
    </row>
    <row r="7" spans="1:144" s="31" customFormat="1">
      <c r="B7" s="22" t="s">
        <v>702</v>
      </c>
      <c r="C7" s="29"/>
      <c r="D7" s="29"/>
      <c r="E7" s="29"/>
      <c r="F7" s="29"/>
      <c r="G7" s="29"/>
      <c r="H7" s="29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f>BD7+BE7</f>
        <v>4909</v>
      </c>
      <c r="T7" s="32">
        <f>9201-S7</f>
        <v>4292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56"/>
      <c r="AF7" s="56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29"/>
      <c r="AX7" s="29"/>
      <c r="AY7" s="29"/>
      <c r="AZ7" s="29"/>
      <c r="BA7" s="29"/>
      <c r="BB7" s="29"/>
      <c r="BC7" s="29">
        <v>2238</v>
      </c>
      <c r="BD7" s="29">
        <v>2495</v>
      </c>
      <c r="BE7" s="29">
        <v>2414</v>
      </c>
      <c r="BF7" s="29">
        <v>2176</v>
      </c>
      <c r="BG7" s="29">
        <v>2116</v>
      </c>
      <c r="BH7" s="29">
        <v>2278</v>
      </c>
      <c r="BI7" s="29">
        <v>2122</v>
      </c>
      <c r="BJ7" s="29">
        <v>1971</v>
      </c>
      <c r="BK7" s="29">
        <v>2162</v>
      </c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19"/>
      <c r="DJ7" s="32"/>
      <c r="DK7" s="32"/>
      <c r="DL7" s="32"/>
      <c r="DM7" s="32"/>
      <c r="DN7" s="32"/>
      <c r="DO7" s="32"/>
      <c r="DP7" s="32"/>
      <c r="DQ7" s="32"/>
      <c r="DR7" s="32">
        <f t="shared" si="18"/>
        <v>2238</v>
      </c>
      <c r="DS7" s="32">
        <f t="shared" si="19"/>
        <v>9201</v>
      </c>
      <c r="DT7" s="32">
        <f t="shared" si="16"/>
        <v>8533</v>
      </c>
      <c r="DU7" s="32"/>
      <c r="DV7" s="32"/>
      <c r="DW7" s="32"/>
      <c r="DX7" s="32"/>
      <c r="DY7" s="32"/>
      <c r="DZ7" s="32"/>
      <c r="EA7" s="32"/>
      <c r="EB7" s="32"/>
      <c r="EC7" s="32"/>
      <c r="ED7" s="54"/>
      <c r="EE7" s="132"/>
      <c r="EF7" s="54"/>
      <c r="EG7" s="54"/>
    </row>
    <row r="8" spans="1:144" s="31" customFormat="1">
      <c r="B8" s="22" t="s">
        <v>705</v>
      </c>
      <c r="C8" s="29"/>
      <c r="D8" s="29"/>
      <c r="E8" s="29"/>
      <c r="F8" s="29"/>
      <c r="G8" s="29"/>
      <c r="H8" s="29"/>
      <c r="I8" s="32">
        <v>7978</v>
      </c>
      <c r="J8" s="32">
        <f>16955-I8</f>
        <v>8977</v>
      </c>
      <c r="K8" s="32">
        <v>9670</v>
      </c>
      <c r="L8" s="32">
        <f>20666-K8</f>
        <v>10996</v>
      </c>
      <c r="M8" s="32">
        <f>SUM(AR8:AS8)</f>
        <v>11367</v>
      </c>
      <c r="N8" s="32">
        <f>22970-M8</f>
        <v>11603</v>
      </c>
      <c r="O8" s="32">
        <v>10938</v>
      </c>
      <c r="P8" s="32">
        <f>22164-O8</f>
        <v>11226</v>
      </c>
      <c r="Q8" s="32">
        <f>5182+1647+1099+950+526</f>
        <v>9404</v>
      </c>
      <c r="R8" s="32">
        <f>BB8+BC8</f>
        <v>7784</v>
      </c>
      <c r="S8" s="32">
        <f>BD8+BE8</f>
        <v>5044</v>
      </c>
      <c r="T8" s="32">
        <f>9467-S8</f>
        <v>4423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56"/>
      <c r="AF8" s="29">
        <v>3546</v>
      </c>
      <c r="AG8" s="29">
        <v>3494</v>
      </c>
      <c r="AH8" s="29">
        <v>3483</v>
      </c>
      <c r="AI8" s="29">
        <v>3447</v>
      </c>
      <c r="AJ8" s="29">
        <v>3859</v>
      </c>
      <c r="AK8" s="29">
        <v>4119</v>
      </c>
      <c r="AL8" s="29">
        <v>4191</v>
      </c>
      <c r="AM8" s="29">
        <v>4786</v>
      </c>
      <c r="AN8" s="29">
        <v>4821</v>
      </c>
      <c r="AO8" s="29">
        <v>4849</v>
      </c>
      <c r="AP8" s="29">
        <v>5017.1291249999995</v>
      </c>
      <c r="AQ8" s="29">
        <v>5572.7543856047305</v>
      </c>
      <c r="AR8" s="29">
        <v>5702</v>
      </c>
      <c r="AS8" s="29">
        <v>5665</v>
      </c>
      <c r="AT8" s="29">
        <v>5425</v>
      </c>
      <c r="AU8" s="29">
        <v>6178</v>
      </c>
      <c r="AV8" s="29">
        <v>4571</v>
      </c>
      <c r="AW8" s="29">
        <v>5440</v>
      </c>
      <c r="AX8" s="29">
        <v>5485</v>
      </c>
      <c r="AY8" s="29">
        <v>5741</v>
      </c>
      <c r="AZ8" s="29">
        <v>4491</v>
      </c>
      <c r="BA8" s="29">
        <f>9404-AZ8</f>
        <v>4913</v>
      </c>
      <c r="BB8" s="29">
        <f>14387-BA8-AZ8</f>
        <v>4983</v>
      </c>
      <c r="BC8" s="29">
        <f>5039-BC7</f>
        <v>2801</v>
      </c>
      <c r="BD8" s="29">
        <v>2597</v>
      </c>
      <c r="BE8" s="29">
        <v>2447</v>
      </c>
      <c r="BF8" s="29">
        <v>2251</v>
      </c>
      <c r="BG8" s="29">
        <v>2172</v>
      </c>
      <c r="BH8" s="29">
        <v>2209</v>
      </c>
      <c r="BI8" s="29">
        <v>2090</v>
      </c>
      <c r="BJ8" s="29">
        <v>1911</v>
      </c>
      <c r="BK8" s="29">
        <v>2011</v>
      </c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19"/>
      <c r="DJ8" s="32">
        <v>13334</v>
      </c>
      <c r="DK8" s="32">
        <v>12868</v>
      </c>
      <c r="DL8" s="32">
        <v>13243</v>
      </c>
      <c r="DM8" s="32">
        <f>SUM(AF8:AI8)</f>
        <v>13970</v>
      </c>
      <c r="DN8" s="32">
        <f>SUM(AJ8:AM8)</f>
        <v>16955</v>
      </c>
      <c r="DO8" s="32">
        <f t="shared" ref="DO8:DO41" si="22">SUM(K8:L8)</f>
        <v>20666</v>
      </c>
      <c r="DP8" s="32">
        <f t="shared" si="21"/>
        <v>22970</v>
      </c>
      <c r="DQ8" s="32">
        <f>SUM(O8:P8)</f>
        <v>22164</v>
      </c>
      <c r="DR8" s="32">
        <f t="shared" si="18"/>
        <v>17188</v>
      </c>
      <c r="DS8" s="32">
        <f t="shared" si="19"/>
        <v>9467</v>
      </c>
      <c r="DT8" s="32">
        <f t="shared" si="16"/>
        <v>8221</v>
      </c>
      <c r="DU8" s="32"/>
      <c r="DV8" s="32"/>
      <c r="DW8" s="32"/>
      <c r="DX8" s="32"/>
      <c r="DY8" s="32"/>
      <c r="DZ8" s="32"/>
      <c r="EA8" s="32"/>
      <c r="EB8" s="32"/>
      <c r="EC8" s="32"/>
      <c r="ED8" s="54"/>
      <c r="EE8" s="132"/>
      <c r="EF8" s="54"/>
      <c r="EG8" s="54"/>
    </row>
    <row r="9" spans="1:144" s="140" customFormat="1">
      <c r="B9" s="62" t="s">
        <v>803</v>
      </c>
      <c r="C9" s="141"/>
      <c r="D9" s="141"/>
      <c r="E9" s="141"/>
      <c r="F9" s="141"/>
      <c r="G9" s="141"/>
      <c r="H9" s="141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6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>
        <v>1226</v>
      </c>
      <c r="CW9" s="141">
        <v>1212</v>
      </c>
      <c r="CX9" s="141">
        <v>1283</v>
      </c>
      <c r="CY9" s="141">
        <v>1334</v>
      </c>
      <c r="CZ9" s="141">
        <v>1449</v>
      </c>
      <c r="DA9" s="141"/>
      <c r="DB9" s="141"/>
      <c r="DC9" s="141"/>
      <c r="DD9" s="141"/>
      <c r="DE9" s="141"/>
      <c r="DF9" s="141"/>
      <c r="DG9" s="141"/>
      <c r="DH9" s="141"/>
      <c r="DI9" s="3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>
        <v>4326</v>
      </c>
      <c r="ED9" s="141">
        <v>5055</v>
      </c>
      <c r="EE9" s="143"/>
      <c r="EF9" s="142"/>
      <c r="EG9" s="142"/>
    </row>
    <row r="10" spans="1:144" s="31" customFormat="1">
      <c r="B10" s="62" t="s">
        <v>732</v>
      </c>
      <c r="C10" s="28"/>
      <c r="D10" s="28"/>
      <c r="E10" s="28"/>
      <c r="F10" s="28"/>
      <c r="G10" s="28"/>
      <c r="H10" s="2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>
        <v>388</v>
      </c>
      <c r="AB10" s="30"/>
      <c r="AC10" s="30"/>
      <c r="AD10" s="30"/>
      <c r="AE10" s="10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>
        <v>30</v>
      </c>
      <c r="BP10" s="77">
        <v>50</v>
      </c>
      <c r="BQ10" s="77">
        <v>58</v>
      </c>
      <c r="BR10" s="77">
        <v>78</v>
      </c>
      <c r="BS10" s="77">
        <v>140</v>
      </c>
      <c r="BT10" s="77">
        <v>178</v>
      </c>
      <c r="BU10" s="77">
        <v>210</v>
      </c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>
        <v>988</v>
      </c>
      <c r="CW10" s="77">
        <v>980</v>
      </c>
      <c r="CX10" s="77">
        <v>1006</v>
      </c>
      <c r="CY10" s="77">
        <v>981</v>
      </c>
      <c r="CZ10" s="77">
        <v>993</v>
      </c>
      <c r="DA10" s="77"/>
      <c r="DB10" s="77"/>
      <c r="DC10" s="77"/>
      <c r="DD10" s="77"/>
      <c r="DE10" s="77"/>
      <c r="DF10" s="77"/>
      <c r="DG10" s="77"/>
      <c r="DH10" s="77"/>
      <c r="DI10" s="5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>
        <f>SUM(BL10:BO10)</f>
        <v>30</v>
      </c>
      <c r="DV10" s="30">
        <f>SUM(BP10:BS10)</f>
        <v>326</v>
      </c>
      <c r="DW10" s="30">
        <f>+DV10*1.5</f>
        <v>489</v>
      </c>
      <c r="DX10" s="30">
        <f>+DW10*1.2</f>
        <v>586.79999999999995</v>
      </c>
      <c r="DY10" s="30">
        <f>+DX10*1.1</f>
        <v>645.48</v>
      </c>
      <c r="DZ10" s="30">
        <f t="shared" ref="DZ10:EA10" si="23">+DY10*1.1</f>
        <v>710.02800000000013</v>
      </c>
      <c r="EA10" s="30">
        <f t="shared" si="23"/>
        <v>781.03080000000023</v>
      </c>
      <c r="EB10" s="30"/>
      <c r="EC10" s="30">
        <v>3883</v>
      </c>
      <c r="ED10" s="141">
        <v>3955</v>
      </c>
      <c r="EE10" s="132"/>
      <c r="EF10" s="54"/>
      <c r="EG10" s="54"/>
    </row>
    <row r="11" spans="1:144" s="31" customFormat="1">
      <c r="B11" s="62" t="s">
        <v>804</v>
      </c>
      <c r="C11" s="28"/>
      <c r="D11" s="28"/>
      <c r="E11" s="28"/>
      <c r="F11" s="28"/>
      <c r="G11" s="28"/>
      <c r="H11" s="2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10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>
        <v>661</v>
      </c>
      <c r="CW11" s="77">
        <v>732</v>
      </c>
      <c r="CX11" s="77">
        <v>779</v>
      </c>
      <c r="CY11" s="77">
        <v>850</v>
      </c>
      <c r="CZ11" s="77">
        <v>853</v>
      </c>
      <c r="DA11" s="77"/>
      <c r="DB11" s="77"/>
      <c r="DC11" s="77"/>
      <c r="DD11" s="77"/>
      <c r="DE11" s="77"/>
      <c r="DF11" s="77"/>
      <c r="DG11" s="77"/>
      <c r="DH11" s="77"/>
      <c r="DI11" s="5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>
        <v>2190</v>
      </c>
      <c r="ED11" s="141">
        <v>3022</v>
      </c>
      <c r="EE11" s="132"/>
      <c r="EF11" s="54"/>
      <c r="EG11" s="54"/>
    </row>
    <row r="12" spans="1:144" s="31" customFormat="1">
      <c r="B12" s="62" t="s">
        <v>805</v>
      </c>
      <c r="C12" s="28"/>
      <c r="D12" s="28"/>
      <c r="E12" s="28"/>
      <c r="F12" s="28"/>
      <c r="G12" s="28"/>
      <c r="H12" s="28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10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>
        <v>775</v>
      </c>
      <c r="CW12" s="77">
        <v>824</v>
      </c>
      <c r="CX12" s="77">
        <v>878</v>
      </c>
      <c r="CY12" s="77">
        <v>838</v>
      </c>
      <c r="CZ12" s="77">
        <v>825</v>
      </c>
      <c r="DA12" s="77"/>
      <c r="DB12" s="77"/>
      <c r="DC12" s="77"/>
      <c r="DD12" s="77"/>
      <c r="DE12" s="77"/>
      <c r="DF12" s="77"/>
      <c r="DG12" s="77"/>
      <c r="DH12" s="77"/>
      <c r="DI12" s="5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>
        <v>2738</v>
      </c>
      <c r="ED12" s="141">
        <v>3315</v>
      </c>
      <c r="EE12" s="132"/>
      <c r="EF12" s="54"/>
      <c r="EG12" s="54"/>
    </row>
    <row r="13" spans="1:144" s="31" customFormat="1">
      <c r="B13" s="20" t="s">
        <v>302</v>
      </c>
      <c r="C13" s="28"/>
      <c r="D13" s="28"/>
      <c r="E13" s="28"/>
      <c r="F13" s="28"/>
      <c r="G13" s="28"/>
      <c r="H13" s="2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>
        <v>155</v>
      </c>
      <c r="T13" s="30">
        <f t="shared" ref="T13" si="24">+BG13+BF13</f>
        <v>242</v>
      </c>
      <c r="U13" s="30">
        <f>SUM(BH13:BI13)</f>
        <v>277</v>
      </c>
      <c r="V13" s="30">
        <f>BK13+BJ13</f>
        <v>341</v>
      </c>
      <c r="W13" s="30"/>
      <c r="X13" s="30"/>
      <c r="Y13" s="30"/>
      <c r="Z13" s="30"/>
      <c r="AA13" s="30">
        <v>568</v>
      </c>
      <c r="AB13" s="30"/>
      <c r="AC13" s="30"/>
      <c r="AD13" s="30"/>
      <c r="AE13" s="107"/>
      <c r="AF13" s="10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>
        <v>66</v>
      </c>
      <c r="BE13" s="77">
        <f t="shared" ref="BE13" si="25">+S13-BD13</f>
        <v>89</v>
      </c>
      <c r="BF13" s="77">
        <v>107</v>
      </c>
      <c r="BG13" s="77">
        <v>135</v>
      </c>
      <c r="BH13" s="77">
        <v>129</v>
      </c>
      <c r="BI13" s="77">
        <f>277-BH13</f>
        <v>148</v>
      </c>
      <c r="BJ13" s="77">
        <v>156</v>
      </c>
      <c r="BK13" s="77">
        <v>185</v>
      </c>
      <c r="BL13" s="77">
        <v>184</v>
      </c>
      <c r="BM13" s="77">
        <v>201</v>
      </c>
      <c r="BN13" s="77">
        <v>216</v>
      </c>
      <c r="BO13" s="77">
        <v>241</v>
      </c>
      <c r="BP13" s="77">
        <v>238</v>
      </c>
      <c r="BQ13" s="77">
        <v>258</v>
      </c>
      <c r="BR13" s="77">
        <v>267</v>
      </c>
      <c r="BS13" s="77">
        <v>274</v>
      </c>
      <c r="BT13" s="77">
        <v>273</v>
      </c>
      <c r="BU13" s="77">
        <v>295</v>
      </c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>
        <v>779</v>
      </c>
      <c r="CW13" s="77">
        <v>863</v>
      </c>
      <c r="CX13" s="77">
        <v>1048</v>
      </c>
      <c r="CY13" s="77">
        <v>872</v>
      </c>
      <c r="CZ13" s="77">
        <v>792</v>
      </c>
      <c r="DA13" s="77"/>
      <c r="DB13" s="77"/>
      <c r="DC13" s="77"/>
      <c r="DD13" s="77"/>
      <c r="DE13" s="77"/>
      <c r="DF13" s="77"/>
      <c r="DG13" s="77"/>
      <c r="DH13" s="77"/>
      <c r="DI13" s="5"/>
      <c r="DJ13" s="30"/>
      <c r="DK13" s="30"/>
      <c r="DL13" s="30"/>
      <c r="DM13" s="30"/>
      <c r="DN13" s="30"/>
      <c r="DO13" s="30"/>
      <c r="DP13" s="30"/>
      <c r="DQ13" s="30"/>
      <c r="DR13" s="30"/>
      <c r="DS13" s="30">
        <f>SUM(BD13:BG13)</f>
        <v>397</v>
      </c>
      <c r="DT13" s="30">
        <f>SUM(BH13:BK13)</f>
        <v>618</v>
      </c>
      <c r="DU13" s="30">
        <f>SUM(BL13:BO13)</f>
        <v>842</v>
      </c>
      <c r="DV13" s="30">
        <f>SUM(BP13:BS13)</f>
        <v>1037</v>
      </c>
      <c r="DW13" s="30">
        <f t="shared" ref="DW13:EB13" si="26">DV13*1.1</f>
        <v>1140.7</v>
      </c>
      <c r="DX13" s="30">
        <f t="shared" si="26"/>
        <v>1254.7700000000002</v>
      </c>
      <c r="DY13" s="30">
        <f t="shared" si="26"/>
        <v>1380.2470000000003</v>
      </c>
      <c r="DZ13" s="30">
        <f t="shared" si="26"/>
        <v>1518.2717000000005</v>
      </c>
      <c r="EA13" s="30">
        <f t="shared" si="26"/>
        <v>1670.0988700000007</v>
      </c>
      <c r="EB13" s="30">
        <f t="shared" si="26"/>
        <v>1837.1087570000009</v>
      </c>
      <c r="EC13" s="79">
        <v>2858</v>
      </c>
      <c r="ED13" s="141">
        <v>3562</v>
      </c>
      <c r="EE13" s="132"/>
      <c r="EF13" s="54"/>
      <c r="EG13" s="54"/>
    </row>
    <row r="14" spans="1:144" s="31" customFormat="1">
      <c r="B14" s="20" t="s">
        <v>23</v>
      </c>
      <c r="C14" s="28"/>
      <c r="D14" s="28"/>
      <c r="E14" s="28"/>
      <c r="F14" s="28"/>
      <c r="G14" s="28"/>
      <c r="H14" s="28"/>
      <c r="I14" s="30">
        <v>607</v>
      </c>
      <c r="J14" s="30">
        <f>1665-I14</f>
        <v>1058</v>
      </c>
      <c r="K14" s="30">
        <v>1389</v>
      </c>
      <c r="L14" s="30">
        <f>2962-K14</f>
        <v>1573</v>
      </c>
      <c r="M14" s="30">
        <v>1909</v>
      </c>
      <c r="N14" s="30">
        <f>4106-M14</f>
        <v>2197</v>
      </c>
      <c r="O14" s="30">
        <v>2351</v>
      </c>
      <c r="P14" s="30">
        <f>SUM(AX14:AY14)</f>
        <v>2856</v>
      </c>
      <c r="Q14" s="30">
        <f>SUM(AZ14:BA14)</f>
        <v>3090</v>
      </c>
      <c r="R14" s="30">
        <f>BB14+BC14</f>
        <v>3132</v>
      </c>
      <c r="S14" s="30">
        <v>3393</v>
      </c>
      <c r="T14" s="30">
        <f>+BG14+BF14</f>
        <v>3068</v>
      </c>
      <c r="U14" s="30">
        <f>SUM(BH14:BI14)</f>
        <v>2726</v>
      </c>
      <c r="V14" s="30">
        <f>BK14+BJ14</f>
        <v>2566</v>
      </c>
      <c r="W14" s="30">
        <f>U14*1</f>
        <v>2726</v>
      </c>
      <c r="X14" s="30">
        <f>V14*1.05</f>
        <v>2694.3</v>
      </c>
      <c r="Y14" s="30"/>
      <c r="Z14" s="30"/>
      <c r="AA14" s="30">
        <v>3097</v>
      </c>
      <c r="AB14" s="30"/>
      <c r="AC14" s="30"/>
      <c r="AD14" s="30"/>
      <c r="AE14" s="107"/>
      <c r="AF14" s="77">
        <v>48</v>
      </c>
      <c r="AG14" s="77">
        <v>169</v>
      </c>
      <c r="AH14" s="77">
        <v>235</v>
      </c>
      <c r="AI14" s="77">
        <v>238</v>
      </c>
      <c r="AJ14" s="77">
        <v>260</v>
      </c>
      <c r="AK14" s="77">
        <v>347</v>
      </c>
      <c r="AL14" s="77">
        <v>486</v>
      </c>
      <c r="AM14" s="77">
        <v>572</v>
      </c>
      <c r="AN14" s="77">
        <v>676</v>
      </c>
      <c r="AO14" s="77">
        <v>713</v>
      </c>
      <c r="AP14" s="77">
        <v>741</v>
      </c>
      <c r="AQ14" s="77">
        <v>832</v>
      </c>
      <c r="AR14" s="77">
        <v>923</v>
      </c>
      <c r="AS14" s="77">
        <v>986</v>
      </c>
      <c r="AT14" s="77">
        <v>1062</v>
      </c>
      <c r="AU14" s="77">
        <v>1135</v>
      </c>
      <c r="AV14" s="77">
        <v>1131</v>
      </c>
      <c r="AW14" s="77">
        <v>1220</v>
      </c>
      <c r="AX14" s="77">
        <v>1351</v>
      </c>
      <c r="AY14" s="77">
        <v>1505</v>
      </c>
      <c r="AZ14" s="77">
        <v>1485</v>
      </c>
      <c r="BA14" s="77">
        <v>1605</v>
      </c>
      <c r="BB14" s="77">
        <v>1594</v>
      </c>
      <c r="BC14" s="77">
        <v>1538</v>
      </c>
      <c r="BD14" s="77">
        <v>1666</v>
      </c>
      <c r="BE14" s="77">
        <f>+S14-BD14</f>
        <v>1727</v>
      </c>
      <c r="BF14" s="77">
        <f>5001-BE14-BD14</f>
        <v>1608</v>
      </c>
      <c r="BG14" s="77">
        <v>1460</v>
      </c>
      <c r="BH14" s="77">
        <v>1417</v>
      </c>
      <c r="BI14" s="77">
        <f>2726-BH14</f>
        <v>1309</v>
      </c>
      <c r="BJ14" s="77">
        <v>1216</v>
      </c>
      <c r="BK14" s="77">
        <v>1350</v>
      </c>
      <c r="BL14" s="77">
        <v>1385</v>
      </c>
      <c r="BM14" s="77">
        <v>1420</v>
      </c>
      <c r="BN14" s="77">
        <v>1504</v>
      </c>
      <c r="BO14" s="77">
        <v>1455</v>
      </c>
      <c r="BP14" s="77">
        <v>1527</v>
      </c>
      <c r="BQ14" s="77">
        <v>1566</v>
      </c>
      <c r="BR14" s="77">
        <v>1617</v>
      </c>
      <c r="BS14" s="77">
        <v>1544</v>
      </c>
      <c r="BT14" s="77">
        <v>1565</v>
      </c>
      <c r="BU14" s="77">
        <v>1532</v>
      </c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>
        <v>863</v>
      </c>
      <c r="CW14" s="77">
        <v>782</v>
      </c>
      <c r="CX14" s="77">
        <v>745</v>
      </c>
      <c r="CY14" s="77">
        <v>666</v>
      </c>
      <c r="CZ14" s="77">
        <v>581</v>
      </c>
      <c r="DA14" s="77"/>
      <c r="DB14" s="77"/>
      <c r="DC14" s="77"/>
      <c r="DD14" s="77"/>
      <c r="DE14" s="77"/>
      <c r="DF14" s="77"/>
      <c r="DG14" s="77"/>
      <c r="DH14" s="77"/>
      <c r="DI14" s="5"/>
      <c r="DJ14" s="30">
        <v>0</v>
      </c>
      <c r="DK14" s="30">
        <v>0</v>
      </c>
      <c r="DL14" s="30">
        <v>0</v>
      </c>
      <c r="DM14" s="30">
        <f>SUM(AF14:AI14)</f>
        <v>690</v>
      </c>
      <c r="DN14" s="30">
        <f>SUM(AJ14:AM14)</f>
        <v>1665</v>
      </c>
      <c r="DO14" s="30">
        <f t="shared" si="22"/>
        <v>2962</v>
      </c>
      <c r="DP14" s="30">
        <f>SUM(M14:N14)</f>
        <v>4106</v>
      </c>
      <c r="DQ14" s="30">
        <f t="shared" ref="DQ14:DQ41" si="27">SUM(AV14:AY14)</f>
        <v>5207</v>
      </c>
      <c r="DR14" s="30">
        <f t="shared" si="18"/>
        <v>6222</v>
      </c>
      <c r="DS14" s="30">
        <f>SUM(BD14:BG14)</f>
        <v>6461</v>
      </c>
      <c r="DT14" s="30">
        <f>SUM(BH14:BK14)</f>
        <v>5292</v>
      </c>
      <c r="DU14" s="30">
        <f>SUM(BL14:BO14)</f>
        <v>5764</v>
      </c>
      <c r="DV14" s="30">
        <f>SUM(BP14:BS14)</f>
        <v>6254</v>
      </c>
      <c r="DW14" s="30">
        <f t="shared" ref="DW14:EA14" si="28">DV14*1.01</f>
        <v>6316.54</v>
      </c>
      <c r="DX14" s="30">
        <f t="shared" si="28"/>
        <v>6379.7053999999998</v>
      </c>
      <c r="DY14" s="30">
        <f t="shared" si="28"/>
        <v>6443.5024539999995</v>
      </c>
      <c r="DZ14" s="30">
        <f t="shared" si="28"/>
        <v>6507.9374785399996</v>
      </c>
      <c r="EA14" s="30">
        <f t="shared" si="28"/>
        <v>6573.0168533254</v>
      </c>
      <c r="EB14" s="30">
        <f>+EA14*0.99</f>
        <v>6507.2866847921459</v>
      </c>
      <c r="EC14" s="30">
        <v>4992</v>
      </c>
      <c r="ED14" s="30">
        <v>3056</v>
      </c>
      <c r="EE14" s="106"/>
      <c r="EF14" s="54"/>
      <c r="EG14" s="54"/>
    </row>
    <row r="15" spans="1:144" s="31" customFormat="1">
      <c r="B15" s="62" t="s">
        <v>343</v>
      </c>
      <c r="C15" s="28"/>
      <c r="D15" s="28"/>
      <c r="E15" s="28"/>
      <c r="F15" s="28"/>
      <c r="G15" s="28"/>
      <c r="H15" s="28"/>
      <c r="I15" s="30">
        <v>1944</v>
      </c>
      <c r="J15" s="30">
        <f>4154-I15</f>
        <v>2210</v>
      </c>
      <c r="K15" s="30">
        <v>2348</v>
      </c>
      <c r="L15" s="30">
        <f>4839-K15</f>
        <v>2491</v>
      </c>
      <c r="M15" s="30">
        <v>2704</v>
      </c>
      <c r="N15" s="30">
        <f>5516-M15</f>
        <v>2812</v>
      </c>
      <c r="O15" s="30">
        <v>2867</v>
      </c>
      <c r="P15" s="30">
        <f t="shared" ref="P15:P45" si="29">SUM(AX15:AY15)</f>
        <v>3056</v>
      </c>
      <c r="Q15" s="30">
        <f t="shared" ref="Q15:Q47" si="30">SUM(AZ15:BA15)</f>
        <v>3098</v>
      </c>
      <c r="R15" s="30">
        <f t="shared" ref="R15:R47" si="31">BB15+BC15</f>
        <v>2989</v>
      </c>
      <c r="S15" s="30">
        <v>3301</v>
      </c>
      <c r="T15" s="30">
        <f t="shared" ref="T15:T47" si="32">+BG15+BF15</f>
        <v>3055</v>
      </c>
      <c r="U15" s="30">
        <f t="shared" ref="U15:U48" si="33">SUM(BH15:BI15)</f>
        <v>3056</v>
      </c>
      <c r="V15" s="30">
        <f t="shared" ref="V15:V47" si="34">BK15+BJ15</f>
        <v>2949</v>
      </c>
      <c r="W15" s="30">
        <f>U15*1.04</f>
        <v>3178.2400000000002</v>
      </c>
      <c r="X15" s="30">
        <f>V15*1.04</f>
        <v>3066.96</v>
      </c>
      <c r="Y15" s="30"/>
      <c r="Z15" s="30"/>
      <c r="AA15" s="30">
        <v>3360</v>
      </c>
      <c r="AB15" s="30"/>
      <c r="AC15" s="30"/>
      <c r="AD15" s="30"/>
      <c r="AE15" s="107"/>
      <c r="AF15" s="107">
        <v>782</v>
      </c>
      <c r="AG15" s="77">
        <v>842</v>
      </c>
      <c r="AH15" s="77">
        <v>880</v>
      </c>
      <c r="AI15" s="77">
        <v>874</v>
      </c>
      <c r="AJ15" s="77">
        <v>929</v>
      </c>
      <c r="AK15" s="77">
        <v>1015</v>
      </c>
      <c r="AL15" s="77">
        <v>1057</v>
      </c>
      <c r="AM15" s="77">
        <v>1153</v>
      </c>
      <c r="AN15" s="77">
        <v>1146</v>
      </c>
      <c r="AO15" s="77">
        <v>1202</v>
      </c>
      <c r="AP15" s="77">
        <v>1177</v>
      </c>
      <c r="AQ15" s="77">
        <v>1314</v>
      </c>
      <c r="AR15" s="77">
        <v>1309</v>
      </c>
      <c r="AS15" s="77">
        <v>1395</v>
      </c>
      <c r="AT15" s="77">
        <v>1380</v>
      </c>
      <c r="AU15" s="77">
        <v>1432</v>
      </c>
      <c r="AV15" s="77">
        <v>1407</v>
      </c>
      <c r="AW15" s="77">
        <v>1460</v>
      </c>
      <c r="AX15" s="77">
        <v>1472</v>
      </c>
      <c r="AY15" s="77">
        <v>1584</v>
      </c>
      <c r="AZ15" s="77">
        <v>1481</v>
      </c>
      <c r="BA15" s="77">
        <v>1617</v>
      </c>
      <c r="BB15" s="77">
        <v>1508</v>
      </c>
      <c r="BC15" s="77">
        <v>1481</v>
      </c>
      <c r="BD15" s="77">
        <v>1606</v>
      </c>
      <c r="BE15" s="77">
        <f t="shared" ref="BE15:BE46" si="35">+S15-BD15</f>
        <v>1695</v>
      </c>
      <c r="BF15" s="77">
        <f>4821-BE15-BD15</f>
        <v>1520</v>
      </c>
      <c r="BG15" s="77">
        <v>1535</v>
      </c>
      <c r="BH15" s="77">
        <v>1556</v>
      </c>
      <c r="BI15" s="77">
        <f>3056-BH15</f>
        <v>1500</v>
      </c>
      <c r="BJ15" s="77">
        <v>1361</v>
      </c>
      <c r="BK15" s="77">
        <v>1588</v>
      </c>
      <c r="BL15" s="77">
        <v>1605</v>
      </c>
      <c r="BM15" s="77">
        <v>1710</v>
      </c>
      <c r="BN15" s="77">
        <v>1683</v>
      </c>
      <c r="BO15" s="77">
        <v>1709</v>
      </c>
      <c r="BP15" s="77">
        <v>1696</v>
      </c>
      <c r="BQ15" s="77">
        <v>1705</v>
      </c>
      <c r="BR15" s="77">
        <v>1805</v>
      </c>
      <c r="BS15" s="77">
        <v>1745</v>
      </c>
      <c r="BT15" s="77">
        <v>1667</v>
      </c>
      <c r="BU15" s="77">
        <v>1693</v>
      </c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>
        <v>705</v>
      </c>
      <c r="CW15" s="77">
        <v>674</v>
      </c>
      <c r="CX15" s="77">
        <v>589</v>
      </c>
      <c r="CY15" s="77">
        <v>597</v>
      </c>
      <c r="CZ15" s="77">
        <v>564</v>
      </c>
      <c r="DA15" s="77"/>
      <c r="DB15" s="77"/>
      <c r="DC15" s="77"/>
      <c r="DD15" s="77"/>
      <c r="DE15" s="77"/>
      <c r="DF15" s="77"/>
      <c r="DG15" s="77"/>
      <c r="DH15" s="77"/>
      <c r="DI15" s="5"/>
      <c r="DJ15" s="30">
        <v>1721</v>
      </c>
      <c r="DK15" s="30">
        <v>2402</v>
      </c>
      <c r="DL15" s="30">
        <v>2775</v>
      </c>
      <c r="DM15" s="30">
        <v>3378</v>
      </c>
      <c r="DN15" s="30">
        <v>4154</v>
      </c>
      <c r="DO15" s="30">
        <f t="shared" si="22"/>
        <v>4839</v>
      </c>
      <c r="DP15" s="30">
        <f t="shared" si="21"/>
        <v>5516</v>
      </c>
      <c r="DQ15" s="30">
        <f>SUM(AV15:AY15)</f>
        <v>5923</v>
      </c>
      <c r="DR15" s="30">
        <f>SUM(AZ15:BC15)</f>
        <v>6087</v>
      </c>
      <c r="DS15" s="30">
        <f>SUM(BD15:BG15)</f>
        <v>6356</v>
      </c>
      <c r="DT15" s="30">
        <f>SUM(BH15:BK15)</f>
        <v>6005</v>
      </c>
      <c r="DU15" s="30">
        <f>SUM(BL15:BO15)</f>
        <v>6707</v>
      </c>
      <c r="DV15" s="30">
        <f>SUM(BP15:BS15)</f>
        <v>6951</v>
      </c>
      <c r="DW15" s="30">
        <f t="shared" ref="DW15:DY16" si="36">DV15*1.01</f>
        <v>7020.51</v>
      </c>
      <c r="DX15" s="30">
        <f t="shared" si="36"/>
        <v>7090.7151000000003</v>
      </c>
      <c r="DY15" s="30">
        <f t="shared" si="36"/>
        <v>7161.6222510000007</v>
      </c>
      <c r="DZ15" s="30">
        <f>DY15*0.99</f>
        <v>7090.006028490001</v>
      </c>
      <c r="EA15" s="30">
        <f>DZ15*0.99</f>
        <v>7019.1059682051009</v>
      </c>
      <c r="EB15" s="30">
        <f>+EA15*0.99</f>
        <v>6948.9149085230501</v>
      </c>
      <c r="EC15" s="30">
        <f>3206+1017</f>
        <v>4223</v>
      </c>
      <c r="ED15" s="30">
        <f>1999+566</f>
        <v>2565</v>
      </c>
      <c r="EE15" s="106"/>
      <c r="EF15" s="54"/>
      <c r="EG15" s="54"/>
    </row>
    <row r="16" spans="1:144" s="31" customFormat="1">
      <c r="B16" s="20" t="s">
        <v>24</v>
      </c>
      <c r="C16" s="28"/>
      <c r="D16" s="28"/>
      <c r="E16" s="28"/>
      <c r="F16" s="28"/>
      <c r="G16" s="28"/>
      <c r="H16" s="28"/>
      <c r="I16" s="30">
        <v>851</v>
      </c>
      <c r="J16" s="30">
        <f>2146-I16</f>
        <v>1295</v>
      </c>
      <c r="K16" s="30">
        <v>1813</v>
      </c>
      <c r="L16" s="30">
        <f>3927-K16</f>
        <v>2114</v>
      </c>
      <c r="M16" s="30">
        <v>2382</v>
      </c>
      <c r="N16" s="30">
        <f>4852-M16</f>
        <v>2470</v>
      </c>
      <c r="O16" s="30">
        <v>2474</v>
      </c>
      <c r="P16" s="30">
        <f t="shared" si="29"/>
        <v>2618</v>
      </c>
      <c r="Q16" s="30">
        <f t="shared" si="30"/>
        <v>2645</v>
      </c>
      <c r="R16" s="30">
        <f t="shared" si="31"/>
        <v>2621</v>
      </c>
      <c r="S16" s="30">
        <v>2806</v>
      </c>
      <c r="T16" s="30">
        <f t="shared" si="32"/>
        <v>2623</v>
      </c>
      <c r="U16" s="30">
        <f t="shared" si="33"/>
        <v>2716</v>
      </c>
      <c r="V16" s="30">
        <f t="shared" si="34"/>
        <v>2537</v>
      </c>
      <c r="W16" s="30">
        <f>U16*1.04</f>
        <v>2824.64</v>
      </c>
      <c r="X16" s="30">
        <f>V16*1.04</f>
        <v>2638.48</v>
      </c>
      <c r="Y16" s="30"/>
      <c r="Z16" s="30"/>
      <c r="AA16" s="30">
        <v>3082</v>
      </c>
      <c r="AB16" s="30"/>
      <c r="AC16" s="30"/>
      <c r="AD16" s="30"/>
      <c r="AE16" s="107"/>
      <c r="AF16" s="77">
        <v>328</v>
      </c>
      <c r="AG16" s="77">
        <v>356</v>
      </c>
      <c r="AH16" s="77">
        <v>373</v>
      </c>
      <c r="AI16" s="77">
        <v>377.70765962469017</v>
      </c>
      <c r="AJ16" s="77">
        <v>391</v>
      </c>
      <c r="AK16" s="77">
        <v>460</v>
      </c>
      <c r="AL16" s="77">
        <v>591</v>
      </c>
      <c r="AM16" s="77">
        <v>704</v>
      </c>
      <c r="AN16" s="77">
        <v>861</v>
      </c>
      <c r="AO16" s="77">
        <v>952</v>
      </c>
      <c r="AP16" s="77">
        <v>1009</v>
      </c>
      <c r="AQ16" s="77">
        <v>1105</v>
      </c>
      <c r="AR16" s="77">
        <v>1168</v>
      </c>
      <c r="AS16" s="77">
        <v>1214</v>
      </c>
      <c r="AT16" s="77">
        <v>1209</v>
      </c>
      <c r="AU16" s="77">
        <v>1261</v>
      </c>
      <c r="AV16" s="77">
        <v>1225</v>
      </c>
      <c r="AW16" s="77">
        <v>1249</v>
      </c>
      <c r="AX16" s="77">
        <v>1295</v>
      </c>
      <c r="AY16" s="77">
        <v>1323</v>
      </c>
      <c r="AZ16" s="77">
        <v>1307</v>
      </c>
      <c r="BA16" s="77">
        <v>1338</v>
      </c>
      <c r="BB16" s="77">
        <v>1327</v>
      </c>
      <c r="BC16" s="77">
        <v>1294</v>
      </c>
      <c r="BD16" s="77">
        <v>1417</v>
      </c>
      <c r="BE16" s="77">
        <f t="shared" si="35"/>
        <v>1389</v>
      </c>
      <c r="BF16" s="77">
        <f>4163-BE16-BD16</f>
        <v>1357</v>
      </c>
      <c r="BG16" s="77">
        <v>1266</v>
      </c>
      <c r="BH16" s="77">
        <v>1386</v>
      </c>
      <c r="BI16" s="77">
        <f>2716-BH16</f>
        <v>1330</v>
      </c>
      <c r="BJ16" s="77">
        <v>1189</v>
      </c>
      <c r="BK16" s="77">
        <v>1348</v>
      </c>
      <c r="BL16" s="77">
        <v>1428</v>
      </c>
      <c r="BM16" s="77">
        <v>1523</v>
      </c>
      <c r="BN16" s="77">
        <v>1481</v>
      </c>
      <c r="BO16" s="77">
        <v>1457</v>
      </c>
      <c r="BP16" s="77">
        <v>1572</v>
      </c>
      <c r="BQ16" s="77">
        <v>1510</v>
      </c>
      <c r="BR16" s="77">
        <v>1512</v>
      </c>
      <c r="BS16" s="77">
        <v>1485</v>
      </c>
      <c r="BT16" s="77">
        <v>1526</v>
      </c>
      <c r="BU16" s="77">
        <v>1556</v>
      </c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>
        <v>755</v>
      </c>
      <c r="CW16" s="77">
        <v>641</v>
      </c>
      <c r="CX16" s="77">
        <v>665</v>
      </c>
      <c r="CY16" s="77">
        <v>633</v>
      </c>
      <c r="CZ16" s="77">
        <v>607</v>
      </c>
      <c r="DA16" s="77"/>
      <c r="DB16" s="77"/>
      <c r="DC16" s="77"/>
      <c r="DD16" s="77"/>
      <c r="DE16" s="77"/>
      <c r="DF16" s="77"/>
      <c r="DG16" s="77"/>
      <c r="DH16" s="77"/>
      <c r="DI16" s="5"/>
      <c r="DJ16" s="30">
        <v>806</v>
      </c>
      <c r="DK16" s="30">
        <v>1007</v>
      </c>
      <c r="DL16" s="30">
        <v>1177</v>
      </c>
      <c r="DM16" s="30">
        <f t="shared" ref="DM16:DM46" si="37">SUM(AF16:AI16)</f>
        <v>1434.7076596246902</v>
      </c>
      <c r="DN16" s="30">
        <f t="shared" ref="DN16:DN46" si="38">SUM(AJ16:AM16)</f>
        <v>2146</v>
      </c>
      <c r="DO16" s="30">
        <f t="shared" si="22"/>
        <v>3927</v>
      </c>
      <c r="DP16" s="30">
        <f t="shared" si="21"/>
        <v>4852</v>
      </c>
      <c r="DQ16" s="30">
        <f t="shared" si="27"/>
        <v>5092</v>
      </c>
      <c r="DR16" s="30">
        <f t="shared" ref="DR16:DR47" si="39">SUM(AZ16:BC16)</f>
        <v>5266</v>
      </c>
      <c r="DS16" s="30">
        <f t="shared" si="19"/>
        <v>5429</v>
      </c>
      <c r="DT16" s="30">
        <f t="shared" ref="DT16:DT48" si="40">SUM(BH16:BK16)</f>
        <v>5253</v>
      </c>
      <c r="DU16" s="30">
        <f t="shared" ref="DU16:DU58" si="41">SUM(BL16:BO16)</f>
        <v>5889</v>
      </c>
      <c r="DV16" s="30">
        <f t="shared" ref="DV16:DV58" si="42">SUM(BP16:BS16)</f>
        <v>6079</v>
      </c>
      <c r="DW16" s="30">
        <f t="shared" si="36"/>
        <v>6139.79</v>
      </c>
      <c r="DX16" s="30">
        <f t="shared" si="36"/>
        <v>6201.1878999999999</v>
      </c>
      <c r="DY16" s="30">
        <f t="shared" si="36"/>
        <v>6263.1997789999996</v>
      </c>
      <c r="DZ16" s="30">
        <f>DY16*0.9</f>
        <v>5636.8798010999999</v>
      </c>
      <c r="EA16" s="30">
        <f>DZ16*0.9</f>
        <v>5073.1918209900005</v>
      </c>
      <c r="EB16" s="30">
        <f>+EA16*0.9</f>
        <v>4565.8726388910009</v>
      </c>
      <c r="EC16" s="30">
        <v>3732</v>
      </c>
      <c r="ED16" s="30">
        <v>2694</v>
      </c>
      <c r="EE16" s="106"/>
      <c r="EF16" s="54"/>
      <c r="EG16" s="54"/>
    </row>
    <row r="17" spans="2:137" s="31" customFormat="1">
      <c r="B17" s="62" t="s">
        <v>768</v>
      </c>
      <c r="C17" s="28"/>
      <c r="D17" s="28"/>
      <c r="E17" s="28"/>
      <c r="F17" s="28"/>
      <c r="G17" s="28"/>
      <c r="H17" s="28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>
        <v>227</v>
      </c>
      <c r="AB17" s="30"/>
      <c r="AC17" s="30"/>
      <c r="AD17" s="30"/>
      <c r="AE17" s="10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>
        <v>65</v>
      </c>
      <c r="BR17" s="77">
        <v>73</v>
      </c>
      <c r="BS17" s="77">
        <v>78</v>
      </c>
      <c r="BT17" s="77">
        <v>102</v>
      </c>
      <c r="BU17" s="77">
        <v>125</v>
      </c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>
        <v>478</v>
      </c>
      <c r="CW17" s="77">
        <v>481</v>
      </c>
      <c r="CX17" s="77">
        <v>501</v>
      </c>
      <c r="CY17" s="77">
        <v>522</v>
      </c>
      <c r="CZ17" s="77">
        <v>511</v>
      </c>
      <c r="DA17" s="77"/>
      <c r="DB17" s="77"/>
      <c r="DC17" s="77"/>
      <c r="DD17" s="77"/>
      <c r="DE17" s="77"/>
      <c r="DF17" s="77"/>
      <c r="DG17" s="77"/>
      <c r="DH17" s="77"/>
      <c r="DI17" s="5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>
        <v>1745</v>
      </c>
      <c r="ED17" s="30">
        <v>1982</v>
      </c>
      <c r="EE17" s="132"/>
      <c r="EF17" s="54"/>
      <c r="EG17" s="54"/>
    </row>
    <row r="18" spans="2:137" s="31" customFormat="1">
      <c r="B18" s="62" t="s">
        <v>806</v>
      </c>
      <c r="C18" s="28"/>
      <c r="D18" s="28"/>
      <c r="E18" s="28"/>
      <c r="F18" s="28"/>
      <c r="G18" s="28"/>
      <c r="H18" s="28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10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>
        <v>166</v>
      </c>
      <c r="CW18" s="77">
        <v>429</v>
      </c>
      <c r="CX18" s="77">
        <v>489</v>
      </c>
      <c r="CY18" s="77">
        <v>546</v>
      </c>
      <c r="CZ18" s="77">
        <v>587</v>
      </c>
      <c r="DA18" s="77"/>
      <c r="DB18" s="77"/>
      <c r="DC18" s="77"/>
      <c r="DD18" s="77"/>
      <c r="DE18" s="77"/>
      <c r="DF18" s="77"/>
      <c r="DG18" s="77"/>
      <c r="DH18" s="77"/>
      <c r="DI18" s="5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>
        <v>0</v>
      </c>
      <c r="ED18" s="30">
        <v>1630</v>
      </c>
      <c r="EE18" s="132"/>
      <c r="EF18" s="54"/>
      <c r="EG18" s="54"/>
    </row>
    <row r="19" spans="2:137" s="31" customFormat="1">
      <c r="B19" s="20" t="s">
        <v>28</v>
      </c>
      <c r="C19" s="28"/>
      <c r="D19" s="28"/>
      <c r="E19" s="28"/>
      <c r="F19" s="28"/>
      <c r="G19" s="28"/>
      <c r="H19" s="28"/>
      <c r="I19" s="30">
        <v>181</v>
      </c>
      <c r="J19" s="30">
        <f>408-I19</f>
        <v>227</v>
      </c>
      <c r="K19" s="30">
        <v>257</v>
      </c>
      <c r="L19" s="30">
        <f>537-K19</f>
        <v>280</v>
      </c>
      <c r="M19" s="30">
        <v>284</v>
      </c>
      <c r="N19" s="30">
        <f>567-M19</f>
        <v>283</v>
      </c>
      <c r="O19" s="30">
        <v>259</v>
      </c>
      <c r="P19" s="30">
        <f>SUM(AX19:AY19)</f>
        <v>301</v>
      </c>
      <c r="Q19" s="30">
        <f>SUM(AZ19:BA19)</f>
        <v>313</v>
      </c>
      <c r="R19" s="30">
        <f>BB19+BC19</f>
        <v>307</v>
      </c>
      <c r="S19" s="30">
        <v>324</v>
      </c>
      <c r="T19" s="30">
        <f>+BG19+BF19</f>
        <v>317</v>
      </c>
      <c r="U19" s="30">
        <f>SUM(BH19:BI19)</f>
        <v>300</v>
      </c>
      <c r="V19" s="30">
        <f>BK19+BJ19</f>
        <v>303</v>
      </c>
      <c r="W19" s="30"/>
      <c r="X19" s="30"/>
      <c r="Y19" s="30"/>
      <c r="Z19" s="30"/>
      <c r="AA19" s="30">
        <v>437</v>
      </c>
      <c r="AB19" s="30"/>
      <c r="AC19" s="30"/>
      <c r="AD19" s="30"/>
      <c r="AE19" s="107"/>
      <c r="AF19" s="77">
        <v>38</v>
      </c>
      <c r="AG19" s="77">
        <v>55</v>
      </c>
      <c r="AH19" s="77">
        <v>68</v>
      </c>
      <c r="AI19" s="77">
        <v>73</v>
      </c>
      <c r="AJ19" s="77">
        <v>81</v>
      </c>
      <c r="AK19" s="77">
        <v>100</v>
      </c>
      <c r="AL19" s="77">
        <v>104</v>
      </c>
      <c r="AM19" s="77">
        <v>123</v>
      </c>
      <c r="AN19" s="77">
        <v>124</v>
      </c>
      <c r="AO19" s="77">
        <v>133</v>
      </c>
      <c r="AP19" s="77">
        <v>135</v>
      </c>
      <c r="AQ19" s="77">
        <v>145</v>
      </c>
      <c r="AR19" s="77">
        <v>136</v>
      </c>
      <c r="AS19" s="77">
        <v>148</v>
      </c>
      <c r="AT19" s="77">
        <v>145</v>
      </c>
      <c r="AU19" s="77">
        <v>138</v>
      </c>
      <c r="AV19" s="77">
        <v>125</v>
      </c>
      <c r="AW19" s="77">
        <v>134</v>
      </c>
      <c r="AX19" s="77">
        <v>145</v>
      </c>
      <c r="AY19" s="77">
        <v>156</v>
      </c>
      <c r="AZ19" s="77">
        <v>152</v>
      </c>
      <c r="BA19" s="77">
        <v>161</v>
      </c>
      <c r="BB19" s="77">
        <v>157</v>
      </c>
      <c r="BC19" s="77">
        <v>150</v>
      </c>
      <c r="BD19" s="77">
        <v>148</v>
      </c>
      <c r="BE19" s="77">
        <f>+S19-BD19</f>
        <v>176</v>
      </c>
      <c r="BF19" s="77">
        <f>491-BE19-BD19</f>
        <v>167</v>
      </c>
      <c r="BG19" s="77">
        <v>150</v>
      </c>
      <c r="BH19" s="77">
        <v>149</v>
      </c>
      <c r="BI19" s="77">
        <f>300-BH19</f>
        <v>151</v>
      </c>
      <c r="BJ19" s="77">
        <v>146</v>
      </c>
      <c r="BK19" s="77">
        <v>157</v>
      </c>
      <c r="BL19" s="77">
        <v>164</v>
      </c>
      <c r="BM19" s="77">
        <v>181</v>
      </c>
      <c r="BN19" s="77">
        <v>185</v>
      </c>
      <c r="BO19" s="77">
        <v>175</v>
      </c>
      <c r="BP19" s="77">
        <v>185</v>
      </c>
      <c r="BQ19" s="77">
        <v>201</v>
      </c>
      <c r="BR19" s="77">
        <v>204</v>
      </c>
      <c r="BS19" s="77">
        <v>200</v>
      </c>
      <c r="BT19" s="77">
        <v>205</v>
      </c>
      <c r="BU19" s="77">
        <v>232</v>
      </c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>
        <v>409</v>
      </c>
      <c r="CW19" s="77">
        <v>478</v>
      </c>
      <c r="CX19" s="77">
        <v>529</v>
      </c>
      <c r="CY19" s="77">
        <v>526</v>
      </c>
      <c r="CZ19" s="77">
        <v>456</v>
      </c>
      <c r="DA19" s="77"/>
      <c r="DB19" s="77"/>
      <c r="DC19" s="77"/>
      <c r="DD19" s="77"/>
      <c r="DE19" s="77"/>
      <c r="DF19" s="77"/>
      <c r="DG19" s="77"/>
      <c r="DH19" s="77"/>
      <c r="DI19" s="5"/>
      <c r="DJ19" s="30">
        <v>0</v>
      </c>
      <c r="DK19" s="30">
        <v>0</v>
      </c>
      <c r="DL19" s="30">
        <v>33</v>
      </c>
      <c r="DM19" s="30">
        <f>SUM(AF19:AI19)</f>
        <v>234</v>
      </c>
      <c r="DN19" s="30">
        <f>SUM(AJ19:AM19)</f>
        <v>408</v>
      </c>
      <c r="DO19" s="30">
        <f>SUM(K19:L19)</f>
        <v>537</v>
      </c>
      <c r="DP19" s="30">
        <f>SUM(M19:N19)</f>
        <v>567</v>
      </c>
      <c r="DQ19" s="30">
        <f>SUM(AV19:AY19)</f>
        <v>560</v>
      </c>
      <c r="DR19" s="30">
        <f>SUM(AZ19:BC19)</f>
        <v>620</v>
      </c>
      <c r="DS19" s="30">
        <f>SUM(BD19:BG19)</f>
        <v>641</v>
      </c>
      <c r="DT19" s="30">
        <f>SUM(BH19:BK19)</f>
        <v>603</v>
      </c>
      <c r="DU19" s="30">
        <f>SUM(BL19:BO19)</f>
        <v>705</v>
      </c>
      <c r="DV19" s="30">
        <f>SUM(BP19:BS19)</f>
        <v>790</v>
      </c>
      <c r="DW19" s="30">
        <f t="shared" ref="DW19:EB19" si="43">DV19*1.01</f>
        <v>797.9</v>
      </c>
      <c r="DX19" s="30">
        <f t="shared" si="43"/>
        <v>805.87900000000002</v>
      </c>
      <c r="DY19" s="30">
        <f t="shared" si="43"/>
        <v>813.93779000000006</v>
      </c>
      <c r="DZ19" s="30">
        <f t="shared" si="43"/>
        <v>822.07716790000006</v>
      </c>
      <c r="EA19" s="30">
        <f t="shared" si="43"/>
        <v>830.29793957900006</v>
      </c>
      <c r="EB19" s="30">
        <f t="shared" si="43"/>
        <v>838.60091897479003</v>
      </c>
      <c r="EC19" s="30">
        <v>1904</v>
      </c>
      <c r="ED19" s="30">
        <v>1942</v>
      </c>
      <c r="EE19" s="132"/>
      <c r="EF19" s="54"/>
      <c r="EG19" s="54"/>
    </row>
    <row r="20" spans="2:137" s="31" customFormat="1">
      <c r="B20" s="62" t="s">
        <v>807</v>
      </c>
      <c r="C20" s="28"/>
      <c r="D20" s="28"/>
      <c r="E20" s="28"/>
      <c r="F20" s="28"/>
      <c r="G20" s="28"/>
      <c r="H20" s="28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10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>
        <v>298</v>
      </c>
      <c r="CW20" s="77">
        <v>333</v>
      </c>
      <c r="CX20" s="77">
        <v>357</v>
      </c>
      <c r="CY20" s="77">
        <v>368</v>
      </c>
      <c r="CZ20" s="77">
        <v>361</v>
      </c>
      <c r="DA20" s="77"/>
      <c r="DB20" s="77"/>
      <c r="DC20" s="77"/>
      <c r="DD20" s="77"/>
      <c r="DE20" s="77"/>
      <c r="DF20" s="77"/>
      <c r="DG20" s="77"/>
      <c r="DH20" s="77"/>
      <c r="DI20" s="5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>
        <v>1160</v>
      </c>
      <c r="ED20" s="30">
        <v>1356</v>
      </c>
      <c r="EE20" s="132"/>
      <c r="EF20" s="54"/>
      <c r="EG20" s="54"/>
    </row>
    <row r="21" spans="2:137" s="31" customFormat="1">
      <c r="B21" s="20" t="s">
        <v>29</v>
      </c>
      <c r="C21" s="28"/>
      <c r="D21" s="28"/>
      <c r="E21" s="28"/>
      <c r="F21" s="28"/>
      <c r="G21" s="28"/>
      <c r="H21" s="28"/>
      <c r="I21" s="30"/>
      <c r="J21" s="30"/>
      <c r="K21" s="30">
        <v>13</v>
      </c>
      <c r="L21" s="30">
        <f>478-K21</f>
        <v>465</v>
      </c>
      <c r="M21" s="30">
        <v>524</v>
      </c>
      <c r="N21" s="30">
        <f>991-M21</f>
        <v>467</v>
      </c>
      <c r="O21" s="30">
        <v>440</v>
      </c>
      <c r="P21" s="30">
        <f>SUM(AX21:AY21)</f>
        <v>520</v>
      </c>
      <c r="Q21" s="30">
        <f>SUM(AZ21:BA21)</f>
        <v>573</v>
      </c>
      <c r="R21" s="30">
        <f>BB21+BC21</f>
        <v>625</v>
      </c>
      <c r="S21" s="30">
        <v>697</v>
      </c>
      <c r="T21" s="30">
        <f t="shared" si="32"/>
        <v>761</v>
      </c>
      <c r="U21" s="30">
        <f t="shared" si="33"/>
        <v>769</v>
      </c>
      <c r="V21" s="30">
        <f t="shared" si="34"/>
        <v>754</v>
      </c>
      <c r="W21" s="30"/>
      <c r="X21" s="30"/>
      <c r="Y21" s="30"/>
      <c r="Z21" s="30"/>
      <c r="AA21" s="30">
        <v>828</v>
      </c>
      <c r="AB21" s="30"/>
      <c r="AC21" s="30"/>
      <c r="AD21" s="30"/>
      <c r="AE21" s="107"/>
      <c r="AF21" s="10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13</v>
      </c>
      <c r="AP21" s="77">
        <v>192</v>
      </c>
      <c r="AQ21" s="77">
        <v>273</v>
      </c>
      <c r="AR21" s="77">
        <v>263</v>
      </c>
      <c r="AS21" s="77">
        <v>261</v>
      </c>
      <c r="AT21" s="77">
        <v>239</v>
      </c>
      <c r="AU21" s="77">
        <v>228</v>
      </c>
      <c r="AV21" s="77">
        <v>215</v>
      </c>
      <c r="AW21" s="77">
        <v>225</v>
      </c>
      <c r="AX21" s="77">
        <v>246</v>
      </c>
      <c r="AY21" s="77">
        <v>274</v>
      </c>
      <c r="AZ21" s="77">
        <v>279</v>
      </c>
      <c r="BA21" s="77">
        <v>294</v>
      </c>
      <c r="BB21" s="77">
        <v>296</v>
      </c>
      <c r="BC21" s="77">
        <v>329</v>
      </c>
      <c r="BD21" s="77">
        <v>327</v>
      </c>
      <c r="BE21" s="77">
        <f>+S21-BD21</f>
        <v>370</v>
      </c>
      <c r="BF21" s="77">
        <f>1081-BE21-BD21</f>
        <v>384</v>
      </c>
      <c r="BG21" s="77">
        <v>377</v>
      </c>
      <c r="BH21" s="77">
        <v>392</v>
      </c>
      <c r="BI21" s="77">
        <f>769-BH21</f>
        <v>377</v>
      </c>
      <c r="BJ21" s="77">
        <v>359</v>
      </c>
      <c r="BK21" s="77">
        <v>395</v>
      </c>
      <c r="BL21" s="77">
        <v>385</v>
      </c>
      <c r="BM21" s="77">
        <v>360</v>
      </c>
      <c r="BN21" s="77">
        <v>368</v>
      </c>
      <c r="BO21" s="77">
        <v>368</v>
      </c>
      <c r="BP21" s="77">
        <v>393</v>
      </c>
      <c r="BQ21" s="77">
        <v>427</v>
      </c>
      <c r="BR21" s="77">
        <v>431</v>
      </c>
      <c r="BS21" s="77">
        <v>438</v>
      </c>
      <c r="BT21" s="77">
        <v>407</v>
      </c>
      <c r="BU21" s="77">
        <v>421</v>
      </c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>
        <v>337</v>
      </c>
      <c r="CW21" s="77">
        <v>328</v>
      </c>
      <c r="CX21" s="77">
        <v>352</v>
      </c>
      <c r="CY21" s="77">
        <v>336</v>
      </c>
      <c r="CZ21" s="77">
        <v>256</v>
      </c>
      <c r="DA21" s="77"/>
      <c r="DB21" s="77"/>
      <c r="DC21" s="77"/>
      <c r="DD21" s="77"/>
      <c r="DE21" s="77"/>
      <c r="DF21" s="77"/>
      <c r="DG21" s="77"/>
      <c r="DH21" s="77"/>
      <c r="DI21" s="5"/>
      <c r="DJ21" s="30">
        <v>0</v>
      </c>
      <c r="DK21" s="30">
        <v>0</v>
      </c>
      <c r="DL21" s="30">
        <v>0</v>
      </c>
      <c r="DM21" s="30">
        <f>SUM(AF21:AI21)</f>
        <v>0</v>
      </c>
      <c r="DN21" s="30">
        <f>SUM(AJ21:AM21)</f>
        <v>0</v>
      </c>
      <c r="DO21" s="30">
        <f t="shared" si="22"/>
        <v>478</v>
      </c>
      <c r="DP21" s="30">
        <f>SUM(M21:N21)</f>
        <v>991</v>
      </c>
      <c r="DQ21" s="30">
        <f t="shared" si="27"/>
        <v>960</v>
      </c>
      <c r="DR21" s="30">
        <f>SUM(AZ21:BC21)</f>
        <v>1198</v>
      </c>
      <c r="DS21" s="30">
        <f t="shared" si="19"/>
        <v>1458</v>
      </c>
      <c r="DT21" s="30">
        <f t="shared" si="40"/>
        <v>1523</v>
      </c>
      <c r="DU21" s="30">
        <f t="shared" si="41"/>
        <v>1481</v>
      </c>
      <c r="DV21" s="30">
        <f t="shared" si="42"/>
        <v>1689</v>
      </c>
      <c r="DW21" s="30">
        <f t="shared" ref="DW21:EB21" si="44">DV21*1.01</f>
        <v>1705.89</v>
      </c>
      <c r="DX21" s="30">
        <f t="shared" si="44"/>
        <v>1722.9489000000001</v>
      </c>
      <c r="DY21" s="30">
        <f t="shared" si="44"/>
        <v>1740.1783890000002</v>
      </c>
      <c r="DZ21" s="30">
        <f t="shared" si="44"/>
        <v>1757.5801728900001</v>
      </c>
      <c r="EA21" s="30">
        <f t="shared" si="44"/>
        <v>1775.1559746189</v>
      </c>
      <c r="EB21" s="30">
        <f t="shared" si="44"/>
        <v>1792.9075343650891</v>
      </c>
      <c r="EC21" s="30">
        <v>1444</v>
      </c>
      <c r="ED21" s="30">
        <v>1353</v>
      </c>
      <c r="EE21" s="132"/>
      <c r="EF21" s="54"/>
      <c r="EG21" s="54"/>
    </row>
    <row r="22" spans="2:137" s="31" customFormat="1">
      <c r="B22" s="20" t="s">
        <v>26</v>
      </c>
      <c r="C22" s="28"/>
      <c r="D22" s="28"/>
      <c r="E22" s="28"/>
      <c r="F22" s="28"/>
      <c r="G22" s="28"/>
      <c r="H22" s="28"/>
      <c r="I22" s="30"/>
      <c r="J22" s="30">
        <f>310-I22</f>
        <v>310</v>
      </c>
      <c r="K22" s="30">
        <v>178</v>
      </c>
      <c r="L22" s="30">
        <f>362-K22</f>
        <v>184</v>
      </c>
      <c r="M22" s="30">
        <v>202</v>
      </c>
      <c r="N22" s="30">
        <f>382-M22</f>
        <v>180</v>
      </c>
      <c r="O22" s="30">
        <v>164</v>
      </c>
      <c r="P22" s="30">
        <f>SUM(AX22:AY22)</f>
        <v>178</v>
      </c>
      <c r="Q22" s="30">
        <f>SUM(AZ22:BA22)</f>
        <v>226</v>
      </c>
      <c r="R22" s="30">
        <f>BB22+BC22</f>
        <v>229</v>
      </c>
      <c r="S22" s="30">
        <v>227</v>
      </c>
      <c r="T22" s="30">
        <f>+BG22+BF22</f>
        <v>233</v>
      </c>
      <c r="U22" s="30">
        <f>SUM(BH22:BI22)</f>
        <v>231</v>
      </c>
      <c r="V22" s="30">
        <f>BK22+BJ22</f>
        <v>222</v>
      </c>
      <c r="W22" s="30"/>
      <c r="X22" s="30"/>
      <c r="Y22" s="30"/>
      <c r="Z22" s="30"/>
      <c r="AA22" s="30">
        <v>359</v>
      </c>
      <c r="AB22" s="30"/>
      <c r="AC22" s="30"/>
      <c r="AD22" s="30"/>
      <c r="AE22" s="107"/>
      <c r="AF22" s="77">
        <v>63</v>
      </c>
      <c r="AG22" s="77">
        <v>72</v>
      </c>
      <c r="AH22" s="77">
        <v>76</v>
      </c>
      <c r="AI22" s="77">
        <v>67</v>
      </c>
      <c r="AJ22" s="77">
        <v>67</v>
      </c>
      <c r="AK22" s="77">
        <v>72</v>
      </c>
      <c r="AL22" s="77">
        <v>84</v>
      </c>
      <c r="AM22" s="77">
        <v>87</v>
      </c>
      <c r="AN22" s="77">
        <v>88</v>
      </c>
      <c r="AO22" s="77">
        <v>90</v>
      </c>
      <c r="AP22" s="77">
        <v>89</v>
      </c>
      <c r="AQ22" s="77">
        <v>95</v>
      </c>
      <c r="AR22" s="77">
        <v>96</v>
      </c>
      <c r="AS22" s="77">
        <v>106</v>
      </c>
      <c r="AT22" s="77">
        <v>92</v>
      </c>
      <c r="AU22" s="77">
        <v>88</v>
      </c>
      <c r="AV22" s="77">
        <v>83</v>
      </c>
      <c r="AW22" s="77">
        <v>81</v>
      </c>
      <c r="AX22" s="77">
        <v>81</v>
      </c>
      <c r="AY22" s="77">
        <v>97</v>
      </c>
      <c r="AZ22" s="77">
        <v>126</v>
      </c>
      <c r="BA22" s="77">
        <v>100</v>
      </c>
      <c r="BB22" s="77">
        <v>107</v>
      </c>
      <c r="BC22" s="77">
        <v>122</v>
      </c>
      <c r="BD22" s="77">
        <v>110</v>
      </c>
      <c r="BE22" s="77">
        <f>+S22-BD22</f>
        <v>117</v>
      </c>
      <c r="BF22" s="77">
        <f>346-BE22-BD22</f>
        <v>119</v>
      </c>
      <c r="BG22" s="77">
        <v>114</v>
      </c>
      <c r="BH22" s="77">
        <v>122</v>
      </c>
      <c r="BI22" s="77">
        <f>231-BH22</f>
        <v>109</v>
      </c>
      <c r="BJ22" s="77">
        <v>100</v>
      </c>
      <c r="BK22" s="77">
        <v>122</v>
      </c>
      <c r="BL22" s="77">
        <v>140</v>
      </c>
      <c r="BM22" s="77">
        <v>145</v>
      </c>
      <c r="BN22" s="77">
        <v>152</v>
      </c>
      <c r="BO22" s="77">
        <v>147</v>
      </c>
      <c r="BP22" s="77">
        <v>190</v>
      </c>
      <c r="BQ22" s="77">
        <v>151</v>
      </c>
      <c r="BR22" s="77">
        <v>173</v>
      </c>
      <c r="BS22" s="77">
        <v>169</v>
      </c>
      <c r="BT22" s="77">
        <v>181</v>
      </c>
      <c r="BU22" s="77">
        <v>178</v>
      </c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>
        <v>304</v>
      </c>
      <c r="CW22" s="77">
        <v>294</v>
      </c>
      <c r="CX22" s="77">
        <v>323</v>
      </c>
      <c r="CY22" s="77">
        <v>391</v>
      </c>
      <c r="CZ22" s="77">
        <v>247</v>
      </c>
      <c r="DA22" s="77"/>
      <c r="DB22" s="77"/>
      <c r="DC22" s="77"/>
      <c r="DD22" s="77"/>
      <c r="DE22" s="77"/>
      <c r="DF22" s="77"/>
      <c r="DG22" s="77"/>
      <c r="DH22" s="77"/>
      <c r="DI22" s="5"/>
      <c r="DJ22" s="30">
        <v>371</v>
      </c>
      <c r="DK22" s="30">
        <v>322</v>
      </c>
      <c r="DL22" s="30">
        <v>278</v>
      </c>
      <c r="DM22" s="30">
        <f>SUM(AF22:AI22)</f>
        <v>278</v>
      </c>
      <c r="DN22" s="30">
        <f>SUM(AJ22:AM22)</f>
        <v>310</v>
      </c>
      <c r="DO22" s="30">
        <f>SUM(K22:L22)</f>
        <v>362</v>
      </c>
      <c r="DP22" s="30">
        <f>SUM(M22:N22)</f>
        <v>382</v>
      </c>
      <c r="DQ22" s="30">
        <f>SUM(AV22:AY22)</f>
        <v>342</v>
      </c>
      <c r="DR22" s="30">
        <f>SUM(AZ22:BC22)</f>
        <v>455</v>
      </c>
      <c r="DS22" s="30">
        <f>SUM(BD22:BG22)</f>
        <v>460</v>
      </c>
      <c r="DT22" s="30">
        <f>SUM(BH22:BK22)</f>
        <v>453</v>
      </c>
      <c r="DU22" s="30">
        <f>SUM(BL22:BO22)</f>
        <v>584</v>
      </c>
      <c r="DV22" s="30">
        <f>SUM(BP22:BS22)</f>
        <v>683</v>
      </c>
      <c r="DW22" s="30">
        <f>DV22*1.05</f>
        <v>717.15</v>
      </c>
      <c r="DX22" s="30">
        <f t="shared" ref="DX22:EA22" si="45">DW22*1.05</f>
        <v>753.00750000000005</v>
      </c>
      <c r="DY22" s="30">
        <f t="shared" si="45"/>
        <v>790.6578750000001</v>
      </c>
      <c r="DZ22" s="30">
        <f t="shared" si="45"/>
        <v>830.19076875000019</v>
      </c>
      <c r="EA22" s="30">
        <f t="shared" si="45"/>
        <v>871.70030718750024</v>
      </c>
      <c r="EB22" s="30"/>
      <c r="EC22" s="30">
        <v>1321</v>
      </c>
      <c r="ED22" s="30">
        <v>1312</v>
      </c>
      <c r="EE22" s="132"/>
      <c r="EF22" s="54"/>
      <c r="EG22" s="54"/>
    </row>
    <row r="23" spans="2:137" s="31" customFormat="1">
      <c r="B23" s="62" t="s">
        <v>808</v>
      </c>
      <c r="C23" s="28"/>
      <c r="D23" s="28"/>
      <c r="E23" s="28"/>
      <c r="F23" s="28"/>
      <c r="G23" s="28"/>
      <c r="H23" s="28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10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>
        <v>256</v>
      </c>
      <c r="CW23" s="77">
        <v>270</v>
      </c>
      <c r="CX23" s="77">
        <v>263</v>
      </c>
      <c r="CY23" s="77">
        <v>250</v>
      </c>
      <c r="CZ23" s="77">
        <v>241</v>
      </c>
      <c r="DA23" s="77"/>
      <c r="DB23" s="77"/>
      <c r="DC23" s="77"/>
      <c r="DD23" s="77"/>
      <c r="DE23" s="77"/>
      <c r="DF23" s="77"/>
      <c r="DG23" s="77"/>
      <c r="DH23" s="77"/>
      <c r="DI23" s="5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>
        <v>1108</v>
      </c>
      <c r="ED23" s="30">
        <v>1039</v>
      </c>
      <c r="EE23" s="132"/>
      <c r="EF23" s="54"/>
      <c r="EG23" s="54"/>
    </row>
    <row r="24" spans="2:137" s="31" customFormat="1">
      <c r="B24" s="62" t="s">
        <v>809</v>
      </c>
      <c r="C24" s="28"/>
      <c r="D24" s="28"/>
      <c r="E24" s="28"/>
      <c r="F24" s="28"/>
      <c r="G24" s="28"/>
      <c r="H24" s="28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10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>
        <v>80</v>
      </c>
      <c r="CW24" s="77">
        <v>163</v>
      </c>
      <c r="CX24" s="77">
        <v>153</v>
      </c>
      <c r="CY24" s="77">
        <v>206</v>
      </c>
      <c r="CZ24" s="77">
        <v>226</v>
      </c>
      <c r="DA24" s="77"/>
      <c r="DB24" s="77"/>
      <c r="DC24" s="77"/>
      <c r="DD24" s="77"/>
      <c r="DE24" s="77"/>
      <c r="DF24" s="77"/>
      <c r="DG24" s="77"/>
      <c r="DH24" s="77"/>
      <c r="DI24" s="5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>
        <v>55</v>
      </c>
      <c r="ED24" s="30">
        <v>602</v>
      </c>
      <c r="EE24" s="132"/>
      <c r="EF24" s="54"/>
      <c r="EG24" s="54"/>
    </row>
    <row r="25" spans="2:137" s="31" customFormat="1">
      <c r="B25" s="62" t="s">
        <v>770</v>
      </c>
      <c r="C25" s="28"/>
      <c r="D25" s="28"/>
      <c r="E25" s="28"/>
      <c r="F25" s="28"/>
      <c r="G25" s="28"/>
      <c r="H25" s="2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>
        <v>18</v>
      </c>
      <c r="AB25" s="30"/>
      <c r="AC25" s="30"/>
      <c r="AD25" s="30"/>
      <c r="AE25" s="10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>
        <v>155</v>
      </c>
      <c r="CW25" s="77">
        <v>169</v>
      </c>
      <c r="CX25" s="77">
        <v>177</v>
      </c>
      <c r="CY25" s="77">
        <v>177</v>
      </c>
      <c r="CZ25" s="77">
        <v>165</v>
      </c>
      <c r="DA25" s="77"/>
      <c r="DB25" s="77"/>
      <c r="DC25" s="77"/>
      <c r="DD25" s="77"/>
      <c r="DE25" s="77"/>
      <c r="DF25" s="77"/>
      <c r="DG25" s="77"/>
      <c r="DH25" s="77"/>
      <c r="DI25" s="5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>
        <v>632</v>
      </c>
      <c r="ED25" s="30">
        <v>678</v>
      </c>
      <c r="EE25" s="132"/>
      <c r="EF25" s="54"/>
      <c r="EG25" s="54"/>
    </row>
    <row r="26" spans="2:137" s="31" customFormat="1">
      <c r="B26" s="62" t="s">
        <v>810</v>
      </c>
      <c r="C26" s="28"/>
      <c r="D26" s="28"/>
      <c r="E26" s="28"/>
      <c r="F26" s="28"/>
      <c r="G26" s="28"/>
      <c r="H26" s="28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10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>
        <v>29</v>
      </c>
      <c r="CW26" s="77">
        <v>67</v>
      </c>
      <c r="CX26" s="77">
        <v>117</v>
      </c>
      <c r="CY26" s="77">
        <v>127</v>
      </c>
      <c r="CZ26" s="77">
        <v>146</v>
      </c>
      <c r="DA26" s="77"/>
      <c r="DB26" s="77"/>
      <c r="DC26" s="77"/>
      <c r="DD26" s="77"/>
      <c r="DE26" s="77"/>
      <c r="DF26" s="77"/>
      <c r="DG26" s="77"/>
      <c r="DH26" s="77"/>
      <c r="DI26" s="5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>
        <v>23</v>
      </c>
      <c r="ED26" s="30">
        <v>340</v>
      </c>
      <c r="EE26" s="132"/>
      <c r="EF26" s="54"/>
      <c r="EG26" s="54"/>
    </row>
    <row r="27" spans="2:137" s="31" customFormat="1">
      <c r="B27" s="20" t="s">
        <v>27</v>
      </c>
      <c r="C27" s="28"/>
      <c r="D27" s="28"/>
      <c r="E27" s="28"/>
      <c r="F27" s="28"/>
      <c r="G27" s="28"/>
      <c r="H27" s="28"/>
      <c r="I27" s="30">
        <v>186</v>
      </c>
      <c r="J27" s="30">
        <f>393-I27</f>
        <v>207</v>
      </c>
      <c r="K27" s="30">
        <v>212</v>
      </c>
      <c r="L27" s="30">
        <f>436-K27</f>
        <v>224</v>
      </c>
      <c r="M27" s="30">
        <v>231</v>
      </c>
      <c r="N27" s="30">
        <f>483-M27</f>
        <v>252</v>
      </c>
      <c r="O27" s="30">
        <v>237</v>
      </c>
      <c r="P27" s="30">
        <f>SUM(AX27:AY27)</f>
        <v>259</v>
      </c>
      <c r="Q27" s="30">
        <f>SUM(AZ27:BA27)</f>
        <v>248</v>
      </c>
      <c r="R27" s="30">
        <f>BB27+BC27</f>
        <v>253</v>
      </c>
      <c r="S27" s="30">
        <v>264</v>
      </c>
      <c r="T27" s="30">
        <f>+BG27+BF27</f>
        <v>249</v>
      </c>
      <c r="U27" s="30">
        <f>SUM(BH27:BI27)</f>
        <v>247</v>
      </c>
      <c r="V27" s="30">
        <f>BK27+BJ27</f>
        <v>245</v>
      </c>
      <c r="W27" s="30"/>
      <c r="X27" s="30"/>
      <c r="Y27" s="30"/>
      <c r="Z27" s="30"/>
      <c r="AA27" s="30">
        <v>278</v>
      </c>
      <c r="AB27" s="30"/>
      <c r="AC27" s="30"/>
      <c r="AD27" s="30"/>
      <c r="AE27" s="107"/>
      <c r="AF27" s="77">
        <v>84</v>
      </c>
      <c r="AG27" s="77">
        <v>81.796737766624844</v>
      </c>
      <c r="AH27" s="77">
        <v>86</v>
      </c>
      <c r="AI27" s="77">
        <v>86</v>
      </c>
      <c r="AJ27" s="77">
        <v>89</v>
      </c>
      <c r="AK27" s="77">
        <v>97</v>
      </c>
      <c r="AL27" s="77">
        <v>100</v>
      </c>
      <c r="AM27" s="77">
        <v>107</v>
      </c>
      <c r="AN27" s="77">
        <v>109</v>
      </c>
      <c r="AO27" s="77">
        <v>103</v>
      </c>
      <c r="AP27" s="77">
        <v>108</v>
      </c>
      <c r="AQ27" s="77">
        <v>116</v>
      </c>
      <c r="AR27" s="77">
        <v>111</v>
      </c>
      <c r="AS27" s="77">
        <v>120</v>
      </c>
      <c r="AT27" s="77">
        <v>124</v>
      </c>
      <c r="AU27" s="77">
        <v>128</v>
      </c>
      <c r="AV27" s="77">
        <v>117</v>
      </c>
      <c r="AW27" s="77">
        <v>120</v>
      </c>
      <c r="AX27" s="77">
        <v>120</v>
      </c>
      <c r="AY27" s="77">
        <v>139</v>
      </c>
      <c r="AZ27" s="77">
        <v>120</v>
      </c>
      <c r="BA27" s="77">
        <v>128</v>
      </c>
      <c r="BB27" s="77">
        <v>125</v>
      </c>
      <c r="BC27" s="77">
        <v>128</v>
      </c>
      <c r="BD27" s="77">
        <v>135</v>
      </c>
      <c r="BE27" s="77">
        <f>+S27-BD27</f>
        <v>129</v>
      </c>
      <c r="BF27" s="77">
        <f>385-BE27-BD27</f>
        <v>121</v>
      </c>
      <c r="BG27" s="77">
        <v>128</v>
      </c>
      <c r="BH27" s="77">
        <v>131</v>
      </c>
      <c r="BI27" s="77">
        <f>247-BH27</f>
        <v>116</v>
      </c>
      <c r="BJ27" s="77">
        <v>111</v>
      </c>
      <c r="BK27" s="77">
        <v>134</v>
      </c>
      <c r="BL27" s="77">
        <v>128</v>
      </c>
      <c r="BM27" s="77">
        <v>129</v>
      </c>
      <c r="BN27" s="77">
        <v>139</v>
      </c>
      <c r="BO27" s="77">
        <v>141</v>
      </c>
      <c r="BP27" s="77">
        <v>140</v>
      </c>
      <c r="BQ27" s="77">
        <v>138</v>
      </c>
      <c r="BR27" s="77">
        <v>134</v>
      </c>
      <c r="BS27" s="77">
        <v>160</v>
      </c>
      <c r="BT27" s="77">
        <v>138</v>
      </c>
      <c r="BU27" s="77">
        <v>140</v>
      </c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>
        <v>139</v>
      </c>
      <c r="CW27" s="77">
        <v>137</v>
      </c>
      <c r="CX27" s="77">
        <v>138</v>
      </c>
      <c r="CY27" s="77">
        <v>152</v>
      </c>
      <c r="CZ27" s="77">
        <v>136</v>
      </c>
      <c r="DA27" s="77"/>
      <c r="DB27" s="77"/>
      <c r="DC27" s="77"/>
      <c r="DD27" s="77"/>
      <c r="DE27" s="77"/>
      <c r="DF27" s="77"/>
      <c r="DG27" s="77"/>
      <c r="DH27" s="77"/>
      <c r="DI27" s="5"/>
      <c r="DJ27" s="30">
        <v>319</v>
      </c>
      <c r="DK27" s="30">
        <v>320</v>
      </c>
      <c r="DL27" s="30">
        <v>328</v>
      </c>
      <c r="DM27" s="30">
        <f>SUM(AF27:AI27)</f>
        <v>337.79673776662486</v>
      </c>
      <c r="DN27" s="30">
        <f>SUM(AJ27:AM27)</f>
        <v>393</v>
      </c>
      <c r="DO27" s="30">
        <f>SUM(K27:L27)</f>
        <v>436</v>
      </c>
      <c r="DP27" s="30">
        <f>SUM(M27:N27)</f>
        <v>483</v>
      </c>
      <c r="DQ27" s="30">
        <f>SUM(AV27:AY27)</f>
        <v>496</v>
      </c>
      <c r="DR27" s="30">
        <f>SUM(AZ27:BC27)</f>
        <v>501</v>
      </c>
      <c r="DS27" s="30">
        <f>SUM(BD27:BG27)</f>
        <v>513</v>
      </c>
      <c r="DT27" s="30">
        <f>SUM(BH27:BK27)</f>
        <v>492</v>
      </c>
      <c r="DU27" s="30">
        <f>SUM(BL27:BO27)</f>
        <v>537</v>
      </c>
      <c r="DV27" s="30">
        <f>SUM(BP27:BS27)</f>
        <v>572</v>
      </c>
      <c r="DW27" s="30">
        <f>DV27*1.05</f>
        <v>600.6</v>
      </c>
      <c r="DX27" s="30">
        <f t="shared" ref="DX27:EA27" si="46">DW27*1.05</f>
        <v>630.63</v>
      </c>
      <c r="DY27" s="30">
        <f t="shared" si="46"/>
        <v>662.16150000000005</v>
      </c>
      <c r="DZ27" s="30">
        <f t="shared" si="46"/>
        <v>695.26957500000003</v>
      </c>
      <c r="EA27" s="30">
        <f t="shared" si="46"/>
        <v>730.03305375000002</v>
      </c>
      <c r="EB27" s="30">
        <f>+EA27*0.9</f>
        <v>657.02974837500005</v>
      </c>
      <c r="EC27" s="30">
        <v>642</v>
      </c>
      <c r="ED27" s="30">
        <v>566</v>
      </c>
      <c r="EE27" s="132"/>
      <c r="EF27" s="54"/>
      <c r="EG27" s="54"/>
    </row>
    <row r="28" spans="2:137" s="31" customFormat="1">
      <c r="B28" s="20" t="s">
        <v>40</v>
      </c>
      <c r="C28" s="28"/>
      <c r="D28" s="28"/>
      <c r="E28" s="28"/>
      <c r="F28" s="28"/>
      <c r="G28" s="28"/>
      <c r="H28" s="28"/>
      <c r="I28" s="30">
        <v>800</v>
      </c>
      <c r="J28" s="30">
        <f>1705-I28</f>
        <v>905</v>
      </c>
      <c r="K28" s="30">
        <v>891</v>
      </c>
      <c r="L28" s="30">
        <f>1842-K28</f>
        <v>951</v>
      </c>
      <c r="M28" s="30">
        <v>979</v>
      </c>
      <c r="N28" s="30">
        <f>2012-M28</f>
        <v>1033</v>
      </c>
      <c r="O28" s="30">
        <v>1010</v>
      </c>
      <c r="P28" s="30">
        <f>SUM(AX28:AY28)</f>
        <v>1089</v>
      </c>
      <c r="Q28" s="30">
        <f>SUM(AZ28:BA28)</f>
        <v>927</v>
      </c>
      <c r="R28" s="30">
        <f>BB28+BC28</f>
        <v>649</v>
      </c>
      <c r="S28" s="30">
        <v>702</v>
      </c>
      <c r="T28" s="30">
        <f>+BG28+BF28</f>
        <v>588</v>
      </c>
      <c r="U28" s="30">
        <f>SUM(BH28:BI28)</f>
        <v>538</v>
      </c>
      <c r="V28" s="30">
        <f>BK28+BJ28</f>
        <v>453</v>
      </c>
      <c r="W28" s="30"/>
      <c r="X28" s="30"/>
      <c r="Y28" s="30"/>
      <c r="Z28" s="30"/>
      <c r="AA28" s="30">
        <v>413</v>
      </c>
      <c r="AB28" s="30"/>
      <c r="AC28" s="30"/>
      <c r="AD28" s="30"/>
      <c r="AE28" s="107"/>
      <c r="AF28" s="77">
        <v>369</v>
      </c>
      <c r="AG28" s="77">
        <v>350</v>
      </c>
      <c r="AH28" s="77">
        <v>337</v>
      </c>
      <c r="AI28" s="77">
        <v>347</v>
      </c>
      <c r="AJ28" s="77">
        <v>370</v>
      </c>
      <c r="AK28" s="77">
        <v>430</v>
      </c>
      <c r="AL28" s="77">
        <v>441</v>
      </c>
      <c r="AM28" s="77">
        <v>464</v>
      </c>
      <c r="AN28" s="77">
        <v>454</v>
      </c>
      <c r="AO28" s="77">
        <v>437</v>
      </c>
      <c r="AP28" s="77">
        <v>466</v>
      </c>
      <c r="AQ28" s="77">
        <v>485</v>
      </c>
      <c r="AR28" s="77">
        <v>476</v>
      </c>
      <c r="AS28" s="77">
        <v>503</v>
      </c>
      <c r="AT28" s="77">
        <v>485</v>
      </c>
      <c r="AU28" s="77">
        <v>548</v>
      </c>
      <c r="AV28" s="77">
        <v>487</v>
      </c>
      <c r="AW28" s="77">
        <v>523</v>
      </c>
      <c r="AX28" s="77">
        <v>513</v>
      </c>
      <c r="AY28" s="77">
        <v>576</v>
      </c>
      <c r="AZ28" s="77">
        <v>517</v>
      </c>
      <c r="BA28" s="77">
        <v>410</v>
      </c>
      <c r="BB28" s="77">
        <f>1289-BA28-AZ28</f>
        <v>362</v>
      </c>
      <c r="BC28" s="77">
        <v>287</v>
      </c>
      <c r="BD28" s="77">
        <v>357</v>
      </c>
      <c r="BE28" s="77">
        <f>+S28-BD28</f>
        <v>345</v>
      </c>
      <c r="BF28" s="77">
        <f>1001-BE28-BD28</f>
        <v>299</v>
      </c>
      <c r="BG28" s="77">
        <v>289</v>
      </c>
      <c r="BH28" s="77">
        <v>280</v>
      </c>
      <c r="BI28" s="77">
        <f>538-BH28</f>
        <v>258</v>
      </c>
      <c r="BJ28" s="77">
        <v>232</v>
      </c>
      <c r="BK28" s="77">
        <v>221</v>
      </c>
      <c r="BL28" s="77">
        <v>220</v>
      </c>
      <c r="BM28" s="77">
        <v>234</v>
      </c>
      <c r="BN28" s="77">
        <v>230</v>
      </c>
      <c r="BO28" s="77">
        <v>225</v>
      </c>
      <c r="BP28" s="77">
        <v>229</v>
      </c>
      <c r="BQ28" s="77">
        <v>236</v>
      </c>
      <c r="BR28" s="77">
        <v>216</v>
      </c>
      <c r="BS28" s="77">
        <v>193</v>
      </c>
      <c r="BT28" s="77">
        <v>215</v>
      </c>
      <c r="BU28" s="77">
        <v>198</v>
      </c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>
        <v>154</v>
      </c>
      <c r="CW28" s="77">
        <v>144</v>
      </c>
      <c r="CX28" s="77">
        <v>155</v>
      </c>
      <c r="CY28" s="77">
        <v>139</v>
      </c>
      <c r="CZ28" s="77">
        <v>134</v>
      </c>
      <c r="DA28" s="77"/>
      <c r="DB28" s="77"/>
      <c r="DC28" s="77"/>
      <c r="DD28" s="77"/>
      <c r="DE28" s="77"/>
      <c r="DF28" s="77"/>
      <c r="DG28" s="77"/>
      <c r="DH28" s="77"/>
      <c r="DI28" s="5"/>
      <c r="DJ28" s="30">
        <v>1056</v>
      </c>
      <c r="DK28" s="30">
        <v>1173</v>
      </c>
      <c r="DL28" s="30">
        <v>1335</v>
      </c>
      <c r="DM28" s="30">
        <f>SUM(AF28:AI28)</f>
        <v>1403</v>
      </c>
      <c r="DN28" s="30">
        <f>SUM(AJ28:AM28)</f>
        <v>1705</v>
      </c>
      <c r="DO28" s="30">
        <f>SUM(K28:L28)</f>
        <v>1842</v>
      </c>
      <c r="DP28" s="30">
        <f>SUM(M28:N28)</f>
        <v>2012</v>
      </c>
      <c r="DQ28" s="30">
        <f>SUM(AV28:AY28)</f>
        <v>2099</v>
      </c>
      <c r="DR28" s="30">
        <f>SUM(AZ28:BC28)</f>
        <v>1576</v>
      </c>
      <c r="DS28" s="30">
        <f>SUM(BD28:BG28)</f>
        <v>1290</v>
      </c>
      <c r="DT28" s="30">
        <f>SUM(BH28:BK28)</f>
        <v>991</v>
      </c>
      <c r="DU28" s="30">
        <f>SUM(BL28:BO28)</f>
        <v>909</v>
      </c>
      <c r="DV28" s="30">
        <f>SUM(BP28:BS28)</f>
        <v>874</v>
      </c>
      <c r="DW28" s="30">
        <f t="shared" ref="DW28" si="47">DV28*0.6</f>
        <v>524.4</v>
      </c>
      <c r="DX28" s="30">
        <f t="shared" ref="DX28" si="48">DW28*0.6</f>
        <v>314.64</v>
      </c>
      <c r="DY28" s="30">
        <f t="shared" ref="DY28" si="49">DX28*0.6</f>
        <v>188.78399999999999</v>
      </c>
      <c r="DZ28" s="30">
        <f t="shared" ref="DZ28" si="50">DY28*0.6</f>
        <v>113.2704</v>
      </c>
      <c r="EA28" s="30">
        <f t="shared" ref="EA28" si="51">DZ28*0.6</f>
        <v>67.962239999999994</v>
      </c>
      <c r="EB28" s="30">
        <f t="shared" ref="EB28" si="52">EA28*0.6</f>
        <v>40.777343999999992</v>
      </c>
      <c r="EC28" s="30">
        <v>606</v>
      </c>
      <c r="ED28" s="30">
        <v>592</v>
      </c>
      <c r="EE28" s="132"/>
      <c r="EF28" s="54"/>
      <c r="EG28" s="54"/>
    </row>
    <row r="29" spans="2:137" s="31" customFormat="1">
      <c r="B29" s="62" t="s">
        <v>811</v>
      </c>
      <c r="C29" s="28"/>
      <c r="D29" s="28"/>
      <c r="E29" s="28"/>
      <c r="F29" s="28"/>
      <c r="G29" s="28"/>
      <c r="H29" s="28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10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>
        <v>81</v>
      </c>
      <c r="DA29" s="77"/>
      <c r="DB29" s="77"/>
      <c r="DC29" s="77"/>
      <c r="DD29" s="77"/>
      <c r="DE29" s="77"/>
      <c r="DF29" s="77"/>
      <c r="DG29" s="77"/>
      <c r="DH29" s="77"/>
      <c r="DI29" s="5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>
        <v>169</v>
      </c>
      <c r="ED29" s="30">
        <v>247</v>
      </c>
      <c r="EE29" s="132"/>
      <c r="EF29" s="54"/>
      <c r="EG29" s="54"/>
    </row>
    <row r="30" spans="2:137" s="31" customFormat="1">
      <c r="B30" s="62" t="s">
        <v>769</v>
      </c>
      <c r="C30" s="28"/>
      <c r="D30" s="28"/>
      <c r="E30" s="28"/>
      <c r="F30" s="28"/>
      <c r="G30" s="28"/>
      <c r="H30" s="28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>
        <v>57</v>
      </c>
      <c r="AB30" s="30"/>
      <c r="AC30" s="30"/>
      <c r="AD30" s="30"/>
      <c r="AE30" s="10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>
        <v>63</v>
      </c>
      <c r="DA30" s="77"/>
      <c r="DB30" s="77"/>
      <c r="DC30" s="77"/>
      <c r="DD30" s="77"/>
      <c r="DE30" s="77"/>
      <c r="DF30" s="77"/>
      <c r="DG30" s="77"/>
      <c r="DH30" s="77"/>
      <c r="DI30" s="5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>
        <v>278</v>
      </c>
      <c r="ED30" s="30">
        <v>269</v>
      </c>
      <c r="EE30" s="132"/>
      <c r="EF30" s="54"/>
      <c r="EG30" s="54"/>
    </row>
    <row r="31" spans="2:137" s="31" customFormat="1">
      <c r="B31" s="62" t="s">
        <v>812</v>
      </c>
      <c r="C31" s="28"/>
      <c r="D31" s="28"/>
      <c r="E31" s="28"/>
      <c r="F31" s="28"/>
      <c r="G31" s="28"/>
      <c r="H31" s="28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10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>
        <v>41</v>
      </c>
      <c r="DA31" s="77"/>
      <c r="DB31" s="77"/>
      <c r="DC31" s="77"/>
      <c r="DD31" s="77"/>
      <c r="DE31" s="77"/>
      <c r="DF31" s="77"/>
      <c r="DG31" s="77"/>
      <c r="DH31" s="77"/>
      <c r="DI31" s="5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54"/>
      <c r="EE31" s="132"/>
      <c r="EF31" s="54"/>
      <c r="EG31" s="54"/>
    </row>
    <row r="32" spans="2:137" s="31" customFormat="1">
      <c r="B32" s="62" t="s">
        <v>813</v>
      </c>
      <c r="C32" s="28"/>
      <c r="D32" s="28"/>
      <c r="E32" s="28"/>
      <c r="F32" s="28"/>
      <c r="G32" s="28"/>
      <c r="H32" s="28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10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>
        <v>21</v>
      </c>
      <c r="DA32" s="77"/>
      <c r="DB32" s="77"/>
      <c r="DC32" s="77"/>
      <c r="DD32" s="77"/>
      <c r="DE32" s="77"/>
      <c r="DF32" s="77"/>
      <c r="DG32" s="77"/>
      <c r="DH32" s="77"/>
      <c r="DI32" s="5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54"/>
      <c r="EE32" s="132"/>
      <c r="EF32" s="54"/>
      <c r="EG32" s="54"/>
    </row>
    <row r="33" spans="2:137" s="31" customFormat="1">
      <c r="B33" s="62" t="s">
        <v>814</v>
      </c>
      <c r="C33" s="28"/>
      <c r="D33" s="28"/>
      <c r="E33" s="28"/>
      <c r="F33" s="28"/>
      <c r="G33" s="28"/>
      <c r="H33" s="28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10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>
        <v>16</v>
      </c>
      <c r="DA33" s="77"/>
      <c r="DB33" s="77"/>
      <c r="DC33" s="77"/>
      <c r="DD33" s="77"/>
      <c r="DE33" s="77"/>
      <c r="DF33" s="77"/>
      <c r="DG33" s="77"/>
      <c r="DH33" s="77"/>
      <c r="DI33" s="5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54"/>
      <c r="EE33" s="132"/>
      <c r="EF33" s="54"/>
      <c r="EG33" s="54"/>
    </row>
    <row r="34" spans="2:137" s="31" customFormat="1">
      <c r="B34" s="62" t="s">
        <v>815</v>
      </c>
      <c r="C34" s="28"/>
      <c r="D34" s="28"/>
      <c r="E34" s="28"/>
      <c r="F34" s="28"/>
      <c r="G34" s="28"/>
      <c r="H34" s="28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10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>
        <v>12</v>
      </c>
      <c r="DA34" s="77"/>
      <c r="DB34" s="77"/>
      <c r="DC34" s="77"/>
      <c r="DD34" s="77"/>
      <c r="DE34" s="77"/>
      <c r="DF34" s="77"/>
      <c r="DG34" s="77"/>
      <c r="DH34" s="77"/>
      <c r="DI34" s="5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54"/>
      <c r="EE34" s="132"/>
      <c r="EF34" s="54"/>
      <c r="EG34" s="54"/>
    </row>
    <row r="35" spans="2:137" s="31" customFormat="1">
      <c r="B35" s="62" t="s">
        <v>816</v>
      </c>
      <c r="C35" s="28"/>
      <c r="D35" s="28"/>
      <c r="E35" s="28"/>
      <c r="F35" s="28"/>
      <c r="G35" s="28"/>
      <c r="H35" s="28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10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>
        <v>5</v>
      </c>
      <c r="DA35" s="77"/>
      <c r="DB35" s="77"/>
      <c r="DC35" s="77"/>
      <c r="DD35" s="77"/>
      <c r="DE35" s="77"/>
      <c r="DF35" s="77"/>
      <c r="DG35" s="77"/>
      <c r="DH35" s="77"/>
      <c r="DI35" s="5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54"/>
      <c r="EE35" s="132"/>
      <c r="EF35" s="54"/>
      <c r="EG35" s="54"/>
    </row>
    <row r="36" spans="2:137" s="31" customFormat="1">
      <c r="B36" s="62" t="s">
        <v>817</v>
      </c>
      <c r="C36" s="28"/>
      <c r="D36" s="28"/>
      <c r="E36" s="28"/>
      <c r="F36" s="28"/>
      <c r="G36" s="28"/>
      <c r="H36" s="28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10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>
        <v>2</v>
      </c>
      <c r="DA36" s="77"/>
      <c r="DB36" s="77"/>
      <c r="DC36" s="77"/>
      <c r="DD36" s="77"/>
      <c r="DE36" s="77"/>
      <c r="DF36" s="77"/>
      <c r="DG36" s="77"/>
      <c r="DH36" s="77"/>
      <c r="DI36" s="5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54"/>
      <c r="EE36" s="132"/>
      <c r="EF36" s="54"/>
      <c r="EG36" s="54"/>
    </row>
    <row r="37" spans="2:137" s="31" customFormat="1">
      <c r="B37" s="62" t="s">
        <v>818</v>
      </c>
      <c r="C37" s="28"/>
      <c r="D37" s="28"/>
      <c r="E37" s="28"/>
      <c r="F37" s="28"/>
      <c r="G37" s="28"/>
      <c r="H37" s="28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10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>
        <v>1</v>
      </c>
      <c r="DA37" s="77"/>
      <c r="DB37" s="77"/>
      <c r="DC37" s="77"/>
      <c r="DD37" s="77"/>
      <c r="DE37" s="77"/>
      <c r="DF37" s="77"/>
      <c r="DG37" s="77"/>
      <c r="DH37" s="77"/>
      <c r="DI37" s="5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54"/>
      <c r="EE37" s="132"/>
      <c r="EF37" s="54"/>
      <c r="EG37" s="54"/>
    </row>
    <row r="38" spans="2:137" s="31" customFormat="1">
      <c r="B38" s="62" t="s">
        <v>139</v>
      </c>
      <c r="C38" s="28"/>
      <c r="D38" s="28"/>
      <c r="E38" s="28"/>
      <c r="F38" s="28"/>
      <c r="G38" s="28"/>
      <c r="H38" s="28"/>
      <c r="I38" s="30">
        <v>1086</v>
      </c>
      <c r="J38" s="30">
        <f>2252-I38</f>
        <v>1166</v>
      </c>
      <c r="K38" s="30">
        <v>1100</v>
      </c>
      <c r="L38" s="30">
        <f>2227-K38</f>
        <v>1127</v>
      </c>
      <c r="M38" s="30">
        <v>1066</v>
      </c>
      <c r="N38" s="30">
        <f>2094-M38</f>
        <v>1028</v>
      </c>
      <c r="O38" s="30">
        <v>892</v>
      </c>
      <c r="P38" s="30">
        <f t="shared" si="29"/>
        <v>882</v>
      </c>
      <c r="Q38" s="30">
        <f t="shared" si="30"/>
        <v>789</v>
      </c>
      <c r="R38" s="30">
        <f t="shared" si="31"/>
        <v>771</v>
      </c>
      <c r="S38" s="30">
        <v>677</v>
      </c>
      <c r="T38" s="30">
        <f t="shared" si="32"/>
        <v>608</v>
      </c>
      <c r="U38" s="30">
        <f t="shared" si="33"/>
        <v>493</v>
      </c>
      <c r="V38" s="30">
        <f t="shared" si="34"/>
        <v>403</v>
      </c>
      <c r="W38" s="30"/>
      <c r="X38" s="30"/>
      <c r="Y38" s="30"/>
      <c r="Z38" s="30"/>
      <c r="AA38" s="30">
        <v>231</v>
      </c>
      <c r="AB38" s="30"/>
      <c r="AC38" s="30"/>
      <c r="AD38" s="30"/>
      <c r="AE38" s="107"/>
      <c r="AF38" s="77">
        <v>489</v>
      </c>
      <c r="AG38" s="77">
        <v>531</v>
      </c>
      <c r="AH38" s="77">
        <v>528</v>
      </c>
      <c r="AI38" s="77">
        <v>534</v>
      </c>
      <c r="AJ38" s="77">
        <v>516</v>
      </c>
      <c r="AK38" s="77">
        <v>570</v>
      </c>
      <c r="AL38" s="77">
        <v>564</v>
      </c>
      <c r="AM38" s="77">
        <v>602</v>
      </c>
      <c r="AN38" s="77">
        <v>535</v>
      </c>
      <c r="AO38" s="77">
        <v>565</v>
      </c>
      <c r="AP38" s="77">
        <v>535</v>
      </c>
      <c r="AQ38" s="77">
        <v>592</v>
      </c>
      <c r="AR38" s="77">
        <v>522</v>
      </c>
      <c r="AS38" s="77">
        <v>544</v>
      </c>
      <c r="AT38" s="77">
        <v>518</v>
      </c>
      <c r="AU38" s="77">
        <v>510</v>
      </c>
      <c r="AV38" s="77">
        <v>442</v>
      </c>
      <c r="AW38" s="77">
        <v>450</v>
      </c>
      <c r="AX38" s="77">
        <v>427</v>
      </c>
      <c r="AY38" s="77">
        <v>455</v>
      </c>
      <c r="AZ38" s="77">
        <v>378</v>
      </c>
      <c r="BA38" s="77">
        <v>411</v>
      </c>
      <c r="BB38" s="77">
        <f>1180-BA38-AZ38</f>
        <v>391</v>
      </c>
      <c r="BC38" s="77">
        <v>380</v>
      </c>
      <c r="BD38" s="77">
        <v>339</v>
      </c>
      <c r="BE38" s="77">
        <f t="shared" si="35"/>
        <v>338</v>
      </c>
      <c r="BF38" s="77">
        <f>989-BE38-BD38</f>
        <v>312</v>
      </c>
      <c r="BG38" s="77">
        <v>296</v>
      </c>
      <c r="BH38" s="77">
        <v>246</v>
      </c>
      <c r="BI38" s="77">
        <f>493-BH38</f>
        <v>247</v>
      </c>
      <c r="BJ38" s="77">
        <v>197</v>
      </c>
      <c r="BK38" s="77">
        <v>206</v>
      </c>
      <c r="BL38" s="77">
        <v>171</v>
      </c>
      <c r="BM38" s="77">
        <v>180</v>
      </c>
      <c r="BN38" s="77">
        <v>170</v>
      </c>
      <c r="BO38" s="77">
        <v>153</v>
      </c>
      <c r="BP38" s="77">
        <v>131</v>
      </c>
      <c r="BQ38" s="77">
        <v>138</v>
      </c>
      <c r="BR38" s="77">
        <v>131</v>
      </c>
      <c r="BS38" s="77">
        <v>120</v>
      </c>
      <c r="BT38" s="77">
        <v>112</v>
      </c>
      <c r="BU38" s="77">
        <v>119</v>
      </c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5"/>
      <c r="DJ38" s="30">
        <v>746</v>
      </c>
      <c r="DK38" s="30">
        <v>1192</v>
      </c>
      <c r="DL38" s="30">
        <v>2051</v>
      </c>
      <c r="DM38" s="30">
        <f t="shared" si="37"/>
        <v>2082</v>
      </c>
      <c r="DN38" s="30">
        <f t="shared" si="38"/>
        <v>2252</v>
      </c>
      <c r="DO38" s="30">
        <f t="shared" si="22"/>
        <v>2227</v>
      </c>
      <c r="DP38" s="30">
        <f t="shared" si="21"/>
        <v>2094</v>
      </c>
      <c r="DQ38" s="30">
        <f t="shared" si="27"/>
        <v>1774</v>
      </c>
      <c r="DR38" s="30">
        <f t="shared" si="39"/>
        <v>1560</v>
      </c>
      <c r="DS38" s="30">
        <f t="shared" si="19"/>
        <v>1285</v>
      </c>
      <c r="DT38" s="30">
        <f t="shared" si="40"/>
        <v>896</v>
      </c>
      <c r="DU38" s="30">
        <f t="shared" si="41"/>
        <v>674</v>
      </c>
      <c r="DV38" s="30">
        <f t="shared" si="42"/>
        <v>520</v>
      </c>
      <c r="DW38" s="30">
        <f t="shared" ref="DW38:EB38" si="53">DV38*0.99</f>
        <v>514.79999999999995</v>
      </c>
      <c r="DX38" s="30">
        <f t="shared" si="53"/>
        <v>509.65199999999993</v>
      </c>
      <c r="DY38" s="30">
        <f t="shared" si="53"/>
        <v>504.55547999999993</v>
      </c>
      <c r="DZ38" s="30">
        <f t="shared" si="53"/>
        <v>499.50992519999994</v>
      </c>
      <c r="EA38" s="30">
        <f t="shared" si="53"/>
        <v>494.51482594799995</v>
      </c>
      <c r="EB38" s="30">
        <f t="shared" si="53"/>
        <v>489.56967768851996</v>
      </c>
      <c r="EC38" s="30"/>
      <c r="ED38" s="54"/>
      <c r="EE38" s="132"/>
      <c r="EF38" s="54"/>
      <c r="EG38" s="54"/>
    </row>
    <row r="39" spans="2:137" s="31" customFormat="1">
      <c r="B39" s="20" t="s">
        <v>34</v>
      </c>
      <c r="C39" s="28"/>
      <c r="D39" s="28"/>
      <c r="E39" s="28"/>
      <c r="F39" s="28"/>
      <c r="G39" s="28"/>
      <c r="H39" s="28"/>
      <c r="I39" s="30">
        <v>680</v>
      </c>
      <c r="J39" s="30">
        <f>1403-I39</f>
        <v>723</v>
      </c>
      <c r="K39" s="30">
        <v>724</v>
      </c>
      <c r="L39" s="30">
        <f>1467-K39</f>
        <v>743</v>
      </c>
      <c r="M39" s="30">
        <v>807</v>
      </c>
      <c r="N39" s="30">
        <f>1637-M39</f>
        <v>830</v>
      </c>
      <c r="O39" s="30">
        <v>785</v>
      </c>
      <c r="P39" s="30">
        <f>SUM(AX39:AY39)</f>
        <v>850</v>
      </c>
      <c r="Q39" s="30">
        <f t="shared" si="30"/>
        <v>842</v>
      </c>
      <c r="R39" s="30">
        <f t="shared" si="31"/>
        <v>813</v>
      </c>
      <c r="S39" s="30">
        <v>869</v>
      </c>
      <c r="T39" s="30">
        <f t="shared" si="32"/>
        <v>776</v>
      </c>
      <c r="U39" s="30">
        <f t="shared" si="33"/>
        <v>695</v>
      </c>
      <c r="V39" s="30">
        <f t="shared" si="34"/>
        <v>743</v>
      </c>
      <c r="W39" s="30"/>
      <c r="X39" s="30"/>
      <c r="Y39" s="30"/>
      <c r="Z39" s="30"/>
      <c r="AA39" s="30">
        <v>582</v>
      </c>
      <c r="AB39" s="30"/>
      <c r="AC39" s="30"/>
      <c r="AD39" s="30"/>
      <c r="AE39" s="107"/>
      <c r="AF39" s="77">
        <v>289</v>
      </c>
      <c r="AG39" s="77">
        <v>295</v>
      </c>
      <c r="AH39" s="77">
        <v>296</v>
      </c>
      <c r="AI39" s="77">
        <v>299</v>
      </c>
      <c r="AJ39" s="77">
        <v>325</v>
      </c>
      <c r="AK39" s="77">
        <v>355</v>
      </c>
      <c r="AL39" s="77">
        <v>350</v>
      </c>
      <c r="AM39" s="77">
        <v>373</v>
      </c>
      <c r="AN39" s="77">
        <v>350</v>
      </c>
      <c r="AO39" s="77">
        <v>374</v>
      </c>
      <c r="AP39" s="77">
        <v>350</v>
      </c>
      <c r="AQ39" s="77">
        <v>393</v>
      </c>
      <c r="AR39" s="77">
        <v>400</v>
      </c>
      <c r="AS39" s="77">
        <v>407</v>
      </c>
      <c r="AT39" s="77">
        <v>383</v>
      </c>
      <c r="AU39" s="77">
        <v>447</v>
      </c>
      <c r="AV39" s="77">
        <v>369</v>
      </c>
      <c r="AW39" s="77">
        <v>416</v>
      </c>
      <c r="AX39" s="77">
        <v>405</v>
      </c>
      <c r="AY39" s="77">
        <v>445</v>
      </c>
      <c r="AZ39" s="77">
        <v>393</v>
      </c>
      <c r="BA39" s="77">
        <v>449</v>
      </c>
      <c r="BB39" s="77">
        <f>1280-BA39-AZ39</f>
        <v>438</v>
      </c>
      <c r="BC39" s="77">
        <v>375</v>
      </c>
      <c r="BD39" s="77">
        <v>441</v>
      </c>
      <c r="BE39" s="77">
        <f t="shared" si="35"/>
        <v>428</v>
      </c>
      <c r="BF39" s="77">
        <f>1253-BE39-BD39</f>
        <v>384</v>
      </c>
      <c r="BG39" s="77">
        <v>392</v>
      </c>
      <c r="BH39" s="77">
        <v>346</v>
      </c>
      <c r="BI39" s="77">
        <f>695-BH39</f>
        <v>349</v>
      </c>
      <c r="BJ39" s="77">
        <v>356</v>
      </c>
      <c r="BK39" s="77">
        <v>387</v>
      </c>
      <c r="BL39" s="77">
        <v>444</v>
      </c>
      <c r="BM39" s="77">
        <v>459</v>
      </c>
      <c r="BN39" s="77">
        <v>374</v>
      </c>
      <c r="BO39" s="77">
        <v>372</v>
      </c>
      <c r="BP39" s="77">
        <v>375</v>
      </c>
      <c r="BQ39" s="77">
        <v>349</v>
      </c>
      <c r="BR39" s="77">
        <v>303</v>
      </c>
      <c r="BS39" s="77">
        <v>285</v>
      </c>
      <c r="BT39" s="77">
        <v>287</v>
      </c>
      <c r="BU39" s="77">
        <v>295</v>
      </c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5"/>
      <c r="DJ39" s="30">
        <v>0</v>
      </c>
      <c r="DK39" s="30">
        <v>94</v>
      </c>
      <c r="DL39" s="30">
        <v>719</v>
      </c>
      <c r="DM39" s="30">
        <f t="shared" si="37"/>
        <v>1179</v>
      </c>
      <c r="DN39" s="30">
        <f t="shared" si="38"/>
        <v>1403</v>
      </c>
      <c r="DO39" s="30">
        <f t="shared" si="22"/>
        <v>1467</v>
      </c>
      <c r="DP39" s="30">
        <f>SUM(M39:N39)</f>
        <v>1637</v>
      </c>
      <c r="DQ39" s="30">
        <f t="shared" si="27"/>
        <v>1635</v>
      </c>
      <c r="DR39" s="30">
        <f t="shared" si="39"/>
        <v>1655</v>
      </c>
      <c r="DS39" s="30">
        <f t="shared" si="19"/>
        <v>1645</v>
      </c>
      <c r="DT39" s="30">
        <f t="shared" si="40"/>
        <v>1438</v>
      </c>
      <c r="DU39" s="30">
        <f t="shared" si="41"/>
        <v>1649</v>
      </c>
      <c r="DV39" s="30">
        <f t="shared" si="42"/>
        <v>1312</v>
      </c>
      <c r="DW39" s="30">
        <f>DV39*0.8</f>
        <v>1049.6000000000001</v>
      </c>
      <c r="DX39" s="30">
        <f>DW39*0.8</f>
        <v>839.68000000000018</v>
      </c>
      <c r="DY39" s="30">
        <f t="shared" ref="DY39:EB39" si="54">DX39*0.8</f>
        <v>671.74400000000014</v>
      </c>
      <c r="DZ39" s="30">
        <f t="shared" si="54"/>
        <v>537.39520000000016</v>
      </c>
      <c r="EA39" s="30">
        <f t="shared" si="54"/>
        <v>429.91616000000016</v>
      </c>
      <c r="EB39" s="30">
        <f t="shared" si="54"/>
        <v>343.93292800000017</v>
      </c>
      <c r="EC39" s="30"/>
      <c r="ED39" s="54"/>
      <c r="EE39" s="132"/>
      <c r="EF39" s="54"/>
      <c r="EG39" s="54"/>
    </row>
    <row r="40" spans="2:137" s="31" customFormat="1">
      <c r="B40" s="20" t="s">
        <v>31</v>
      </c>
      <c r="C40" s="28"/>
      <c r="D40" s="28"/>
      <c r="E40" s="28"/>
      <c r="F40" s="28"/>
      <c r="G40" s="28"/>
      <c r="H40" s="28"/>
      <c r="I40" s="30">
        <v>355</v>
      </c>
      <c r="J40" s="30">
        <f>796-I40</f>
        <v>441</v>
      </c>
      <c r="K40" s="30">
        <v>472</v>
      </c>
      <c r="L40" s="30">
        <f>971-K40</f>
        <v>499</v>
      </c>
      <c r="M40" s="30">
        <v>549</v>
      </c>
      <c r="N40" s="30">
        <f>1151-M40</f>
        <v>602</v>
      </c>
      <c r="O40" s="30">
        <v>573</v>
      </c>
      <c r="P40" s="30">
        <f t="shared" si="29"/>
        <v>638</v>
      </c>
      <c r="Q40" s="30">
        <f t="shared" si="30"/>
        <v>626</v>
      </c>
      <c r="R40" s="30">
        <f t="shared" si="31"/>
        <v>634</v>
      </c>
      <c r="S40" s="30">
        <v>732</v>
      </c>
      <c r="T40" s="30">
        <f t="shared" si="32"/>
        <v>694</v>
      </c>
      <c r="U40" s="30">
        <f t="shared" si="33"/>
        <v>668</v>
      </c>
      <c r="V40" s="30">
        <f t="shared" si="34"/>
        <v>686</v>
      </c>
      <c r="W40" s="30"/>
      <c r="X40" s="30"/>
      <c r="Y40" s="30"/>
      <c r="Z40" s="30"/>
      <c r="AA40" s="30">
        <v>474</v>
      </c>
      <c r="AB40" s="30"/>
      <c r="AC40" s="30"/>
      <c r="AD40" s="30"/>
      <c r="AE40" s="107"/>
      <c r="AF40" s="77">
        <v>115</v>
      </c>
      <c r="AG40" s="77">
        <v>128</v>
      </c>
      <c r="AH40" s="77">
        <v>145</v>
      </c>
      <c r="AI40" s="77">
        <v>146</v>
      </c>
      <c r="AJ40" s="77">
        <v>165</v>
      </c>
      <c r="AK40" s="77">
        <v>190</v>
      </c>
      <c r="AL40" s="77">
        <v>213</v>
      </c>
      <c r="AM40" s="77">
        <v>228</v>
      </c>
      <c r="AN40" s="77">
        <v>238</v>
      </c>
      <c r="AO40" s="77">
        <v>234</v>
      </c>
      <c r="AP40" s="77">
        <v>239</v>
      </c>
      <c r="AQ40" s="77">
        <v>260</v>
      </c>
      <c r="AR40" s="77">
        <v>267</v>
      </c>
      <c r="AS40" s="77">
        <v>282</v>
      </c>
      <c r="AT40" s="77">
        <v>290</v>
      </c>
      <c r="AU40" s="77">
        <v>312</v>
      </c>
      <c r="AV40" s="77">
        <v>281</v>
      </c>
      <c r="AW40" s="77">
        <v>292</v>
      </c>
      <c r="AX40" s="77">
        <v>307</v>
      </c>
      <c r="AY40" s="77">
        <v>331</v>
      </c>
      <c r="AZ40" s="77">
        <v>296</v>
      </c>
      <c r="BA40" s="77">
        <v>330</v>
      </c>
      <c r="BB40" s="77">
        <f>952-BA40-AZ40</f>
        <v>326</v>
      </c>
      <c r="BC40" s="77">
        <v>308</v>
      </c>
      <c r="BD40" s="77">
        <v>352</v>
      </c>
      <c r="BE40" s="77">
        <f t="shared" si="35"/>
        <v>380</v>
      </c>
      <c r="BF40" s="77">
        <f>1093-BE40-BD40</f>
        <v>361</v>
      </c>
      <c r="BG40" s="77">
        <v>333</v>
      </c>
      <c r="BH40" s="77">
        <v>342</v>
      </c>
      <c r="BI40" s="77">
        <f>668-BH40</f>
        <v>326</v>
      </c>
      <c r="BJ40" s="77">
        <v>333</v>
      </c>
      <c r="BK40" s="77">
        <v>353</v>
      </c>
      <c r="BL40" s="77">
        <v>382</v>
      </c>
      <c r="BM40" s="77">
        <v>381</v>
      </c>
      <c r="BN40" s="77">
        <v>386</v>
      </c>
      <c r="BO40" s="77">
        <v>374</v>
      </c>
      <c r="BP40" s="77">
        <v>383</v>
      </c>
      <c r="BQ40" s="77">
        <v>388</v>
      </c>
      <c r="BR40" s="77">
        <v>393</v>
      </c>
      <c r="BS40" s="77">
        <v>345</v>
      </c>
      <c r="BT40" s="77">
        <v>293</v>
      </c>
      <c r="BU40" s="77">
        <v>181</v>
      </c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5"/>
      <c r="DJ40" s="30">
        <v>260</v>
      </c>
      <c r="DK40" s="30">
        <v>444</v>
      </c>
      <c r="DL40" s="30">
        <v>515</v>
      </c>
      <c r="DM40" s="30">
        <f t="shared" si="37"/>
        <v>534</v>
      </c>
      <c r="DN40" s="30">
        <f t="shared" si="38"/>
        <v>796</v>
      </c>
      <c r="DO40" s="30">
        <f t="shared" si="22"/>
        <v>971</v>
      </c>
      <c r="DP40" s="30">
        <f t="shared" si="21"/>
        <v>1151</v>
      </c>
      <c r="DQ40" s="30">
        <f t="shared" si="27"/>
        <v>1211</v>
      </c>
      <c r="DR40" s="30">
        <f t="shared" si="39"/>
        <v>1260</v>
      </c>
      <c r="DS40" s="30">
        <f t="shared" si="19"/>
        <v>1426</v>
      </c>
      <c r="DT40" s="30">
        <f t="shared" si="40"/>
        <v>1354</v>
      </c>
      <c r="DU40" s="30">
        <f t="shared" si="41"/>
        <v>1523</v>
      </c>
      <c r="DV40" s="30">
        <f t="shared" si="42"/>
        <v>1509</v>
      </c>
      <c r="DW40" s="30">
        <f>DV40*0.5</f>
        <v>754.5</v>
      </c>
      <c r="DX40" s="30">
        <f t="shared" ref="DX40:EB40" si="55">DW40*0.5</f>
        <v>377.25</v>
      </c>
      <c r="DY40" s="30">
        <f t="shared" si="55"/>
        <v>188.625</v>
      </c>
      <c r="DZ40" s="30">
        <f t="shared" si="55"/>
        <v>94.3125</v>
      </c>
      <c r="EA40" s="30">
        <f t="shared" si="55"/>
        <v>47.15625</v>
      </c>
      <c r="EB40" s="30">
        <f t="shared" si="55"/>
        <v>23.578125</v>
      </c>
      <c r="EC40" s="30">
        <v>301</v>
      </c>
      <c r="ED40" s="30">
        <v>194</v>
      </c>
      <c r="EE40" s="132"/>
      <c r="EF40" s="54"/>
      <c r="EG40" s="54"/>
    </row>
    <row r="41" spans="2:137" s="31" customFormat="1">
      <c r="B41" s="20" t="s">
        <v>25</v>
      </c>
      <c r="C41" s="28"/>
      <c r="D41" s="28"/>
      <c r="E41" s="28"/>
      <c r="F41" s="28"/>
      <c r="G41" s="28"/>
      <c r="H41" s="28"/>
      <c r="I41" s="30">
        <v>145</v>
      </c>
      <c r="J41" s="30">
        <f>387-I41</f>
        <v>242</v>
      </c>
      <c r="K41" s="30">
        <v>367</v>
      </c>
      <c r="L41" s="30">
        <f>813-K41</f>
        <v>446</v>
      </c>
      <c r="M41" s="30">
        <v>503</v>
      </c>
      <c r="N41" s="30">
        <f>1062-M41</f>
        <v>559</v>
      </c>
      <c r="O41" s="30">
        <v>587</v>
      </c>
      <c r="P41" s="30">
        <f t="shared" si="29"/>
        <v>628</v>
      </c>
      <c r="Q41" s="30">
        <f t="shared" si="30"/>
        <v>643</v>
      </c>
      <c r="R41" s="30">
        <f t="shared" si="31"/>
        <v>661</v>
      </c>
      <c r="S41" s="30">
        <v>674</v>
      </c>
      <c r="T41" s="30">
        <f t="shared" si="32"/>
        <v>651</v>
      </c>
      <c r="U41" s="30">
        <f t="shared" si="33"/>
        <v>614</v>
      </c>
      <c r="V41" s="30">
        <f t="shared" si="34"/>
        <v>637</v>
      </c>
      <c r="W41" s="30"/>
      <c r="X41" s="30"/>
      <c r="Y41" s="30"/>
      <c r="Z41" s="30"/>
      <c r="AA41" s="30">
        <v>651</v>
      </c>
      <c r="AB41" s="30"/>
      <c r="AC41" s="30"/>
      <c r="AD41" s="30"/>
      <c r="AE41" s="107"/>
      <c r="AF41" s="107">
        <v>0</v>
      </c>
      <c r="AG41" s="77">
        <v>0</v>
      </c>
      <c r="AH41" s="77">
        <v>0</v>
      </c>
      <c r="AI41" s="77">
        <v>17</v>
      </c>
      <c r="AJ41" s="77">
        <v>57</v>
      </c>
      <c r="AK41" s="77">
        <v>88</v>
      </c>
      <c r="AL41" s="77">
        <v>101</v>
      </c>
      <c r="AM41" s="77">
        <v>141</v>
      </c>
      <c r="AN41" s="77">
        <v>172</v>
      </c>
      <c r="AO41" s="77">
        <v>195</v>
      </c>
      <c r="AP41" s="77">
        <v>211</v>
      </c>
      <c r="AQ41" s="77">
        <v>235</v>
      </c>
      <c r="AR41" s="77">
        <v>243</v>
      </c>
      <c r="AS41" s="77">
        <v>260</v>
      </c>
      <c r="AT41" s="77">
        <v>271</v>
      </c>
      <c r="AU41" s="77">
        <v>288</v>
      </c>
      <c r="AV41" s="77">
        <v>286</v>
      </c>
      <c r="AW41" s="77">
        <v>301</v>
      </c>
      <c r="AX41" s="77">
        <v>298</v>
      </c>
      <c r="AY41" s="77">
        <v>330</v>
      </c>
      <c r="AZ41" s="77">
        <v>320</v>
      </c>
      <c r="BA41" s="77">
        <v>323</v>
      </c>
      <c r="BB41" s="77">
        <f>962-BA41-AZ41</f>
        <v>319</v>
      </c>
      <c r="BC41" s="77">
        <v>342</v>
      </c>
      <c r="BD41" s="77">
        <v>326</v>
      </c>
      <c r="BE41" s="77">
        <f t="shared" si="35"/>
        <v>348</v>
      </c>
      <c r="BF41" s="77">
        <f>1005-BE41-BD41</f>
        <v>331</v>
      </c>
      <c r="BG41" s="77">
        <v>320</v>
      </c>
      <c r="BH41" s="77">
        <v>317</v>
      </c>
      <c r="BI41" s="77">
        <f>614-BH41</f>
        <v>297</v>
      </c>
      <c r="BJ41" s="77">
        <v>307</v>
      </c>
      <c r="BK41" s="77">
        <v>330</v>
      </c>
      <c r="BL41" s="77">
        <v>337</v>
      </c>
      <c r="BM41" s="77">
        <v>329</v>
      </c>
      <c r="BN41" s="77">
        <v>323</v>
      </c>
      <c r="BO41" s="77">
        <v>325</v>
      </c>
      <c r="BP41" s="77">
        <v>336</v>
      </c>
      <c r="BQ41" s="77">
        <v>355</v>
      </c>
      <c r="BR41" s="77">
        <v>327</v>
      </c>
      <c r="BS41" s="77">
        <v>321</v>
      </c>
      <c r="BT41" s="77">
        <v>304</v>
      </c>
      <c r="BU41" s="77">
        <v>347</v>
      </c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5"/>
      <c r="DJ41" s="30">
        <v>0</v>
      </c>
      <c r="DK41" s="30">
        <v>0</v>
      </c>
      <c r="DL41" s="30">
        <v>0</v>
      </c>
      <c r="DM41" s="30">
        <f t="shared" si="37"/>
        <v>17</v>
      </c>
      <c r="DN41" s="30">
        <f t="shared" si="38"/>
        <v>387</v>
      </c>
      <c r="DO41" s="30">
        <f t="shared" si="22"/>
        <v>813</v>
      </c>
      <c r="DP41" s="30">
        <f t="shared" si="21"/>
        <v>1062</v>
      </c>
      <c r="DQ41" s="30">
        <f t="shared" si="27"/>
        <v>1215</v>
      </c>
      <c r="DR41" s="30">
        <f t="shared" si="39"/>
        <v>1304</v>
      </c>
      <c r="DS41" s="30">
        <f t="shared" si="19"/>
        <v>1325</v>
      </c>
      <c r="DT41" s="30">
        <f t="shared" si="40"/>
        <v>1251</v>
      </c>
      <c r="DU41" s="30">
        <f t="shared" si="41"/>
        <v>1314</v>
      </c>
      <c r="DV41" s="30">
        <f t="shared" si="42"/>
        <v>1339</v>
      </c>
      <c r="DW41" s="30">
        <f t="shared" ref="DW41:EA41" si="56">DV41*1.01</f>
        <v>1352.39</v>
      </c>
      <c r="DX41" s="30">
        <f t="shared" si="56"/>
        <v>1365.9139</v>
      </c>
      <c r="DY41" s="30">
        <f t="shared" si="56"/>
        <v>1379.5730390000001</v>
      </c>
      <c r="DZ41" s="30">
        <f t="shared" si="56"/>
        <v>1393.3687693900001</v>
      </c>
      <c r="EA41" s="30">
        <f t="shared" si="56"/>
        <v>1407.3024570839002</v>
      </c>
      <c r="EB41" s="30"/>
      <c r="EC41" s="30"/>
      <c r="ED41" s="54"/>
      <c r="EE41" s="132"/>
      <c r="EF41" s="54"/>
      <c r="EG41" s="54"/>
    </row>
    <row r="42" spans="2:137" s="31" customFormat="1">
      <c r="B42" s="20" t="s">
        <v>140</v>
      </c>
      <c r="C42" s="28"/>
      <c r="D42" s="28"/>
      <c r="E42" s="28"/>
      <c r="F42" s="28"/>
      <c r="G42" s="28"/>
      <c r="H42" s="28"/>
      <c r="I42" s="30">
        <v>21</v>
      </c>
      <c r="J42" s="30">
        <f>AL42+AM42</f>
        <v>65</v>
      </c>
      <c r="K42" s="30">
        <v>167</v>
      </c>
      <c r="L42" s="30">
        <f>488-K42</f>
        <v>321</v>
      </c>
      <c r="M42" s="30">
        <v>374</v>
      </c>
      <c r="N42" s="30">
        <f>887-M42</f>
        <v>513</v>
      </c>
      <c r="O42" s="30">
        <v>507</v>
      </c>
      <c r="P42" s="30">
        <f>SUM(AX42:AY42)</f>
        <v>601</v>
      </c>
      <c r="Q42" s="30">
        <f t="shared" si="30"/>
        <v>525</v>
      </c>
      <c r="R42" s="30">
        <f t="shared" si="31"/>
        <v>533</v>
      </c>
      <c r="S42" s="30">
        <v>544</v>
      </c>
      <c r="T42" s="30">
        <f t="shared" si="32"/>
        <v>469</v>
      </c>
      <c r="U42" s="30">
        <f t="shared" si="33"/>
        <v>394</v>
      </c>
      <c r="V42" s="30">
        <f t="shared" si="34"/>
        <v>302</v>
      </c>
      <c r="W42" s="30"/>
      <c r="X42" s="30"/>
      <c r="Y42" s="30"/>
      <c r="Z42" s="30"/>
      <c r="AA42" s="30"/>
      <c r="AB42" s="30"/>
      <c r="AC42" s="30"/>
      <c r="AD42" s="30"/>
      <c r="AE42" s="107"/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21</v>
      </c>
      <c r="AL42" s="77">
        <v>14</v>
      </c>
      <c r="AM42" s="77">
        <v>51</v>
      </c>
      <c r="AN42" s="77">
        <v>75</v>
      </c>
      <c r="AO42" s="77">
        <v>92</v>
      </c>
      <c r="AP42" s="77">
        <v>142</v>
      </c>
      <c r="AQ42" s="77">
        <v>179</v>
      </c>
      <c r="AR42" s="77">
        <v>170</v>
      </c>
      <c r="AS42" s="77">
        <v>204</v>
      </c>
      <c r="AT42" s="77">
        <v>230</v>
      </c>
      <c r="AU42" s="77">
        <v>283</v>
      </c>
      <c r="AV42" s="77">
        <v>241</v>
      </c>
      <c r="AW42" s="77">
        <v>266</v>
      </c>
      <c r="AX42" s="77">
        <v>268</v>
      </c>
      <c r="AY42" s="77">
        <v>333</v>
      </c>
      <c r="AZ42" s="77">
        <v>249</v>
      </c>
      <c r="BA42" s="77">
        <v>276</v>
      </c>
      <c r="BB42" s="77">
        <v>255</v>
      </c>
      <c r="BC42" s="77">
        <v>278</v>
      </c>
      <c r="BD42" s="77">
        <v>277</v>
      </c>
      <c r="BE42" s="77">
        <f t="shared" si="35"/>
        <v>267</v>
      </c>
      <c r="BF42" s="77">
        <f>790-BE42-BD42</f>
        <v>246</v>
      </c>
      <c r="BG42" s="77">
        <v>223</v>
      </c>
      <c r="BH42" s="77">
        <v>212</v>
      </c>
      <c r="BI42" s="77">
        <f>394-BH42</f>
        <v>182</v>
      </c>
      <c r="BJ42" s="77">
        <v>157</v>
      </c>
      <c r="BK42" s="77">
        <v>145</v>
      </c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5"/>
      <c r="DJ42" s="30">
        <v>0</v>
      </c>
      <c r="DK42" s="30">
        <v>0</v>
      </c>
      <c r="DL42" s="30">
        <v>0</v>
      </c>
      <c r="DM42" s="30">
        <f t="shared" si="37"/>
        <v>0</v>
      </c>
      <c r="DN42" s="30">
        <f t="shared" si="38"/>
        <v>86</v>
      </c>
      <c r="DO42" s="30">
        <f t="shared" ref="DO42:DO46" si="57">SUM(K42:L42)</f>
        <v>488</v>
      </c>
      <c r="DP42" s="30">
        <f>SUM(M42:N42)</f>
        <v>887</v>
      </c>
      <c r="DQ42" s="30">
        <f t="shared" ref="DQ42:DQ47" si="58">SUM(AV42:AY42)</f>
        <v>1108</v>
      </c>
      <c r="DR42" s="30">
        <f t="shared" si="39"/>
        <v>1058</v>
      </c>
      <c r="DS42" s="30">
        <f t="shared" si="19"/>
        <v>1013</v>
      </c>
      <c r="DT42" s="30">
        <f t="shared" si="40"/>
        <v>696</v>
      </c>
      <c r="DU42" s="30"/>
      <c r="DV42" s="30"/>
      <c r="DW42" s="30"/>
      <c r="DX42" s="30"/>
      <c r="DY42" s="30"/>
      <c r="DZ42" s="30"/>
      <c r="EA42" s="30"/>
      <c r="EB42" s="30"/>
      <c r="EC42" s="30"/>
      <c r="ED42" s="54"/>
      <c r="EE42" s="132"/>
      <c r="EF42" s="54"/>
      <c r="EG42" s="54"/>
    </row>
    <row r="43" spans="2:137" s="31" customFormat="1">
      <c r="B43" s="20" t="s">
        <v>33</v>
      </c>
      <c r="C43" s="28"/>
      <c r="D43" s="28"/>
      <c r="E43" s="28"/>
      <c r="F43" s="28"/>
      <c r="G43" s="28"/>
      <c r="H43" s="28"/>
      <c r="I43" s="30">
        <v>580</v>
      </c>
      <c r="J43" s="30">
        <f>1558-I43</f>
        <v>978</v>
      </c>
      <c r="K43" s="30">
        <v>961</v>
      </c>
      <c r="L43" s="30">
        <f>2627-K43</f>
        <v>1666</v>
      </c>
      <c r="M43" s="30">
        <v>1316</v>
      </c>
      <c r="N43" s="30">
        <f>2085-M43</f>
        <v>769</v>
      </c>
      <c r="O43" s="30">
        <v>327</v>
      </c>
      <c r="P43" s="30">
        <f>SUM(AX43:AY43)</f>
        <v>282</v>
      </c>
      <c r="Q43" s="30">
        <f t="shared" si="30"/>
        <v>1010</v>
      </c>
      <c r="R43" s="30">
        <f t="shared" si="31"/>
        <v>2190</v>
      </c>
      <c r="S43" s="30">
        <v>710</v>
      </c>
      <c r="T43" s="30">
        <f t="shared" si="32"/>
        <v>163</v>
      </c>
      <c r="U43" s="30">
        <f t="shared" si="33"/>
        <v>262</v>
      </c>
      <c r="V43" s="30">
        <f t="shared" si="34"/>
        <v>97</v>
      </c>
      <c r="W43" s="30"/>
      <c r="X43" s="30"/>
      <c r="Y43" s="30"/>
      <c r="Z43" s="30"/>
      <c r="AA43" s="30">
        <v>372</v>
      </c>
      <c r="AB43" s="30"/>
      <c r="AC43" s="30"/>
      <c r="AD43" s="30"/>
      <c r="AE43" s="107"/>
      <c r="AF43" s="77">
        <v>108</v>
      </c>
      <c r="AG43" s="77">
        <v>19</v>
      </c>
      <c r="AH43" s="77">
        <v>110</v>
      </c>
      <c r="AI43" s="77">
        <v>93</v>
      </c>
      <c r="AJ43" s="77">
        <v>424</v>
      </c>
      <c r="AK43" s="77">
        <v>156</v>
      </c>
      <c r="AL43" s="77">
        <v>279</v>
      </c>
      <c r="AM43" s="77">
        <v>699</v>
      </c>
      <c r="AN43" s="77">
        <v>601</v>
      </c>
      <c r="AO43" s="77">
        <v>360</v>
      </c>
      <c r="AP43" s="77">
        <v>669</v>
      </c>
      <c r="AQ43" s="77">
        <v>997</v>
      </c>
      <c r="AR43" s="77">
        <v>865</v>
      </c>
      <c r="AS43" s="77">
        <v>451</v>
      </c>
      <c r="AT43" s="77">
        <v>257</v>
      </c>
      <c r="AU43" s="77">
        <v>512</v>
      </c>
      <c r="AV43" s="77">
        <v>278</v>
      </c>
      <c r="AW43" s="77">
        <v>49</v>
      </c>
      <c r="AX43" s="77">
        <v>101</v>
      </c>
      <c r="AY43" s="77">
        <v>181</v>
      </c>
      <c r="AZ43" s="77">
        <v>401</v>
      </c>
      <c r="BA43" s="77">
        <v>609</v>
      </c>
      <c r="BB43" s="77">
        <f>2004-BA43-AZ43</f>
        <v>994</v>
      </c>
      <c r="BC43" s="77">
        <v>1196</v>
      </c>
      <c r="BD43" s="77">
        <v>517</v>
      </c>
      <c r="BE43" s="77">
        <f t="shared" si="35"/>
        <v>193</v>
      </c>
      <c r="BF43" s="77">
        <f>808-BE43-BD43</f>
        <v>98</v>
      </c>
      <c r="BG43" s="77">
        <v>65</v>
      </c>
      <c r="BH43" s="77">
        <v>252</v>
      </c>
      <c r="BI43" s="77">
        <f>262-BH43</f>
        <v>10</v>
      </c>
      <c r="BJ43" s="77">
        <v>39</v>
      </c>
      <c r="BK43" s="77">
        <v>58</v>
      </c>
      <c r="BL43" s="77">
        <v>187</v>
      </c>
      <c r="BM43" s="77">
        <v>34</v>
      </c>
      <c r="BN43" s="77">
        <v>20</v>
      </c>
      <c r="BO43" s="77">
        <v>319</v>
      </c>
      <c r="BP43" s="77">
        <v>335</v>
      </c>
      <c r="BQ43" s="77">
        <v>45</v>
      </c>
      <c r="BR43" s="77">
        <v>34</v>
      </c>
      <c r="BS43" s="77">
        <v>221</v>
      </c>
      <c r="BT43" s="77">
        <v>344</v>
      </c>
      <c r="BU43" s="77">
        <v>28</v>
      </c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5"/>
      <c r="DJ43" s="30">
        <v>110</v>
      </c>
      <c r="DK43" s="30">
        <v>175</v>
      </c>
      <c r="DL43" s="30">
        <v>431</v>
      </c>
      <c r="DM43" s="30">
        <f t="shared" si="37"/>
        <v>330</v>
      </c>
      <c r="DN43" s="30">
        <f t="shared" si="38"/>
        <v>1558</v>
      </c>
      <c r="DO43" s="30">
        <f t="shared" si="57"/>
        <v>2627</v>
      </c>
      <c r="DP43" s="30">
        <f>SUM(M43:N43)</f>
        <v>2085</v>
      </c>
      <c r="DQ43" s="30">
        <f t="shared" si="58"/>
        <v>609</v>
      </c>
      <c r="DR43" s="30">
        <f t="shared" si="39"/>
        <v>3200</v>
      </c>
      <c r="DS43" s="30">
        <f t="shared" si="19"/>
        <v>873</v>
      </c>
      <c r="DT43" s="30">
        <f t="shared" si="40"/>
        <v>359</v>
      </c>
      <c r="DU43" s="30">
        <f t="shared" si="41"/>
        <v>560</v>
      </c>
      <c r="DV43" s="30">
        <f t="shared" si="42"/>
        <v>635</v>
      </c>
      <c r="DW43" s="30">
        <f>DV43*1.03</f>
        <v>654.05000000000007</v>
      </c>
      <c r="DX43" s="30">
        <f>DW43*1.03</f>
        <v>673.67150000000004</v>
      </c>
      <c r="DY43" s="30">
        <f>DX43*1.03</f>
        <v>693.88164500000005</v>
      </c>
      <c r="DZ43" s="30">
        <f>DY43*0.5</f>
        <v>346.94082250000002</v>
      </c>
      <c r="EA43" s="30">
        <f>DZ43*0.5</f>
        <v>173.47041125000001</v>
      </c>
      <c r="EB43" s="30">
        <f>EA43*0.5</f>
        <v>86.735205625000006</v>
      </c>
      <c r="EC43" s="30">
        <v>272</v>
      </c>
      <c r="ED43" s="30">
        <v>58</v>
      </c>
      <c r="EE43" s="132"/>
      <c r="EF43" s="54"/>
      <c r="EG43" s="54"/>
    </row>
    <row r="44" spans="2:137" s="31" customFormat="1">
      <c r="B44" s="20" t="s">
        <v>158</v>
      </c>
      <c r="C44" s="28"/>
      <c r="D44" s="28"/>
      <c r="E44" s="28"/>
      <c r="F44" s="28"/>
      <c r="G44" s="28"/>
      <c r="H44" s="28"/>
      <c r="I44" s="30">
        <v>185</v>
      </c>
      <c r="J44" s="30">
        <f>394-I44</f>
        <v>209</v>
      </c>
      <c r="K44" s="30">
        <v>223</v>
      </c>
      <c r="L44" s="30">
        <f>488-K44</f>
        <v>265</v>
      </c>
      <c r="M44" s="30">
        <v>261</v>
      </c>
      <c r="N44" s="30">
        <f>542-M44</f>
        <v>281</v>
      </c>
      <c r="O44" s="30">
        <v>261</v>
      </c>
      <c r="P44" s="30">
        <f t="shared" si="29"/>
        <v>292</v>
      </c>
      <c r="Q44" s="30">
        <f t="shared" si="30"/>
        <v>274</v>
      </c>
      <c r="R44" s="30">
        <f t="shared" si="31"/>
        <v>290</v>
      </c>
      <c r="S44" s="30">
        <v>296</v>
      </c>
      <c r="T44" s="30">
        <f t="shared" si="32"/>
        <v>309</v>
      </c>
      <c r="U44" s="30">
        <f t="shared" si="33"/>
        <v>282</v>
      </c>
      <c r="V44" s="30">
        <f t="shared" si="34"/>
        <v>287</v>
      </c>
      <c r="W44" s="30"/>
      <c r="X44" s="30"/>
      <c r="Y44" s="30"/>
      <c r="Z44" s="30"/>
      <c r="AA44" s="30">
        <v>353</v>
      </c>
      <c r="AB44" s="30"/>
      <c r="AC44" s="30"/>
      <c r="AD44" s="30"/>
      <c r="AE44" s="107"/>
      <c r="AF44" s="77">
        <v>86</v>
      </c>
      <c r="AG44" s="77">
        <v>79</v>
      </c>
      <c r="AH44" s="77">
        <v>81</v>
      </c>
      <c r="AI44" s="77">
        <v>83</v>
      </c>
      <c r="AJ44" s="77">
        <v>86</v>
      </c>
      <c r="AK44" s="77">
        <v>99</v>
      </c>
      <c r="AL44" s="77">
        <v>100</v>
      </c>
      <c r="AM44" s="77">
        <v>109</v>
      </c>
      <c r="AN44" s="77">
        <v>110</v>
      </c>
      <c r="AO44" s="77">
        <v>113</v>
      </c>
      <c r="AP44" s="77">
        <v>126</v>
      </c>
      <c r="AQ44" s="77">
        <v>139</v>
      </c>
      <c r="AR44" s="77">
        <v>124</v>
      </c>
      <c r="AS44" s="77">
        <v>137</v>
      </c>
      <c r="AT44" s="77">
        <v>137</v>
      </c>
      <c r="AU44" s="77">
        <v>144</v>
      </c>
      <c r="AV44" s="77">
        <v>128</v>
      </c>
      <c r="AW44" s="77">
        <v>136</v>
      </c>
      <c r="AX44" s="77">
        <v>143</v>
      </c>
      <c r="AY44" s="77">
        <v>149</v>
      </c>
      <c r="AZ44" s="77">
        <v>131</v>
      </c>
      <c r="BA44" s="77">
        <v>143</v>
      </c>
      <c r="BB44" s="77">
        <v>148</v>
      </c>
      <c r="BC44" s="77">
        <v>142</v>
      </c>
      <c r="BD44" s="77">
        <v>149</v>
      </c>
      <c r="BE44" s="77">
        <f t="shared" si="35"/>
        <v>147</v>
      </c>
      <c r="BF44" s="77">
        <f>453-BE44-BD44</f>
        <v>157</v>
      </c>
      <c r="BG44" s="77">
        <v>152</v>
      </c>
      <c r="BH44" s="77">
        <v>145</v>
      </c>
      <c r="BI44" s="77">
        <f>282-BH44</f>
        <v>137</v>
      </c>
      <c r="BJ44" s="77">
        <v>143</v>
      </c>
      <c r="BK44" s="77">
        <v>144</v>
      </c>
      <c r="BL44" s="77">
        <v>153</v>
      </c>
      <c r="BM44" s="77">
        <v>154</v>
      </c>
      <c r="BN44" s="77">
        <v>171</v>
      </c>
      <c r="BO44" s="77">
        <v>160</v>
      </c>
      <c r="BP44" s="77">
        <v>166</v>
      </c>
      <c r="BQ44" s="77">
        <v>167</v>
      </c>
      <c r="BR44" s="77">
        <v>166</v>
      </c>
      <c r="BS44" s="77">
        <v>194</v>
      </c>
      <c r="BT44" s="77">
        <v>177</v>
      </c>
      <c r="BU44" s="77">
        <v>176</v>
      </c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5"/>
      <c r="DJ44" s="30">
        <v>292</v>
      </c>
      <c r="DK44" s="30">
        <v>296</v>
      </c>
      <c r="DL44" s="30">
        <v>281</v>
      </c>
      <c r="DM44" s="30">
        <f t="shared" si="37"/>
        <v>329</v>
      </c>
      <c r="DN44" s="30">
        <f t="shared" si="38"/>
        <v>394</v>
      </c>
      <c r="DO44" s="30">
        <f t="shared" si="57"/>
        <v>488</v>
      </c>
      <c r="DP44" s="30">
        <f t="shared" si="21"/>
        <v>542</v>
      </c>
      <c r="DQ44" s="30">
        <f t="shared" si="58"/>
        <v>556</v>
      </c>
      <c r="DR44" s="30">
        <f t="shared" si="39"/>
        <v>564</v>
      </c>
      <c r="DS44" s="30">
        <f t="shared" si="19"/>
        <v>605</v>
      </c>
      <c r="DT44" s="30">
        <f t="shared" si="40"/>
        <v>569</v>
      </c>
      <c r="DU44" s="30">
        <f t="shared" si="41"/>
        <v>638</v>
      </c>
      <c r="DV44" s="30">
        <f t="shared" si="42"/>
        <v>693</v>
      </c>
      <c r="DW44" s="30">
        <f>+DV44*0.5</f>
        <v>346.5</v>
      </c>
      <c r="DX44" s="30">
        <f t="shared" ref="DX44:EB44" si="59">+DW44*0.5</f>
        <v>173.25</v>
      </c>
      <c r="DY44" s="30">
        <f t="shared" si="59"/>
        <v>86.625</v>
      </c>
      <c r="DZ44" s="30">
        <f t="shared" si="59"/>
        <v>43.3125</v>
      </c>
      <c r="EA44" s="30">
        <f t="shared" si="59"/>
        <v>21.65625</v>
      </c>
      <c r="EB44" s="30">
        <f t="shared" si="59"/>
        <v>10.828125</v>
      </c>
      <c r="EC44" s="30"/>
      <c r="ED44" s="54"/>
      <c r="EE44" s="132"/>
      <c r="EF44" s="54"/>
      <c r="EG44" s="54"/>
    </row>
    <row r="45" spans="2:137" s="31" customFormat="1">
      <c r="B45" s="20" t="s">
        <v>142</v>
      </c>
      <c r="C45" s="28"/>
      <c r="D45" s="28"/>
      <c r="E45" s="28"/>
      <c r="F45" s="28"/>
      <c r="G45" s="28"/>
      <c r="H45" s="28"/>
      <c r="I45" s="30">
        <v>232</v>
      </c>
      <c r="J45" s="30">
        <f>476-I45</f>
        <v>244</v>
      </c>
      <c r="K45" s="30">
        <v>244</v>
      </c>
      <c r="L45" s="30">
        <f>494-K45</f>
        <v>250</v>
      </c>
      <c r="M45" s="30">
        <v>239</v>
      </c>
      <c r="N45" s="30">
        <f>470-M45</f>
        <v>231</v>
      </c>
      <c r="O45" s="30">
        <v>195</v>
      </c>
      <c r="P45" s="30">
        <f t="shared" si="29"/>
        <v>218</v>
      </c>
      <c r="Q45" s="30">
        <f t="shared" si="30"/>
        <v>211</v>
      </c>
      <c r="R45" s="30">
        <f t="shared" si="31"/>
        <v>189</v>
      </c>
      <c r="S45" s="30">
        <v>193</v>
      </c>
      <c r="T45" s="30">
        <f t="shared" si="32"/>
        <v>212</v>
      </c>
      <c r="U45" s="30">
        <f t="shared" si="33"/>
        <v>169</v>
      </c>
      <c r="V45" s="30">
        <f t="shared" si="34"/>
        <v>148</v>
      </c>
      <c r="W45" s="30"/>
      <c r="X45" s="30"/>
      <c r="Y45" s="30"/>
      <c r="Z45" s="30"/>
      <c r="AA45" s="30"/>
      <c r="AB45" s="30"/>
      <c r="AC45" s="30"/>
      <c r="AD45" s="30"/>
      <c r="AE45" s="107"/>
      <c r="AF45" s="77">
        <v>109</v>
      </c>
      <c r="AG45" s="77">
        <v>116</v>
      </c>
      <c r="AH45" s="77">
        <v>110</v>
      </c>
      <c r="AI45" s="77">
        <v>114</v>
      </c>
      <c r="AJ45" s="77">
        <v>110</v>
      </c>
      <c r="AK45" s="77">
        <v>122</v>
      </c>
      <c r="AL45" s="77">
        <v>116</v>
      </c>
      <c r="AM45" s="77">
        <v>128</v>
      </c>
      <c r="AN45" s="77">
        <v>118</v>
      </c>
      <c r="AO45" s="77">
        <v>126</v>
      </c>
      <c r="AP45" s="77">
        <v>118</v>
      </c>
      <c r="AQ45" s="77">
        <v>132</v>
      </c>
      <c r="AR45" s="77">
        <v>117</v>
      </c>
      <c r="AS45" s="77">
        <v>122</v>
      </c>
      <c r="AT45" s="77">
        <v>118</v>
      </c>
      <c r="AU45" s="77">
        <v>113</v>
      </c>
      <c r="AV45" s="77">
        <v>97</v>
      </c>
      <c r="AW45" s="77">
        <v>98</v>
      </c>
      <c r="AX45" s="77">
        <v>106</v>
      </c>
      <c r="AY45" s="77">
        <v>112</v>
      </c>
      <c r="AZ45" s="77">
        <v>104</v>
      </c>
      <c r="BA45" s="77">
        <v>107</v>
      </c>
      <c r="BB45" s="77">
        <v>100</v>
      </c>
      <c r="BC45" s="77">
        <v>89</v>
      </c>
      <c r="BD45" s="77">
        <v>91</v>
      </c>
      <c r="BE45" s="77">
        <f t="shared" si="35"/>
        <v>102</v>
      </c>
      <c r="BF45" s="77">
        <f>310-BE45-BD45</f>
        <v>117</v>
      </c>
      <c r="BG45" s="77">
        <v>95</v>
      </c>
      <c r="BH45" s="77">
        <v>87</v>
      </c>
      <c r="BI45" s="77">
        <f>169-BH45</f>
        <v>82</v>
      </c>
      <c r="BJ45" s="77">
        <v>73</v>
      </c>
      <c r="BK45" s="77">
        <v>75</v>
      </c>
      <c r="BL45" s="77">
        <v>77</v>
      </c>
      <c r="BM45" s="77">
        <v>77</v>
      </c>
      <c r="BN45" s="77">
        <v>77</v>
      </c>
      <c r="BO45" s="77">
        <v>73</v>
      </c>
      <c r="BP45" s="77">
        <v>73</v>
      </c>
      <c r="BQ45" s="77">
        <v>71</v>
      </c>
      <c r="BR45" s="77">
        <v>69</v>
      </c>
      <c r="BS45" s="77">
        <v>61</v>
      </c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5"/>
      <c r="DJ45" s="30">
        <v>435</v>
      </c>
      <c r="DK45" s="30">
        <v>477</v>
      </c>
      <c r="DL45" s="30">
        <v>442</v>
      </c>
      <c r="DM45" s="30">
        <f t="shared" si="37"/>
        <v>449</v>
      </c>
      <c r="DN45" s="30">
        <f t="shared" si="38"/>
        <v>476</v>
      </c>
      <c r="DO45" s="30">
        <f t="shared" si="57"/>
        <v>494</v>
      </c>
      <c r="DP45" s="30">
        <f t="shared" si="21"/>
        <v>470</v>
      </c>
      <c r="DQ45" s="30">
        <f t="shared" si="58"/>
        <v>413</v>
      </c>
      <c r="DR45" s="30">
        <f t="shared" si="39"/>
        <v>400</v>
      </c>
      <c r="DS45" s="30">
        <f t="shared" si="19"/>
        <v>405</v>
      </c>
      <c r="DT45" s="30">
        <f t="shared" si="40"/>
        <v>317</v>
      </c>
      <c r="DU45" s="30">
        <f t="shared" si="41"/>
        <v>304</v>
      </c>
      <c r="DV45" s="30">
        <f t="shared" si="42"/>
        <v>274</v>
      </c>
      <c r="DW45" s="30">
        <f t="shared" ref="DW45:DW47" si="60">DV45*1.05</f>
        <v>287.7</v>
      </c>
      <c r="DX45" s="30">
        <f t="shared" ref="DX45:EA45" si="61">DW45*1.05</f>
        <v>302.08499999999998</v>
      </c>
      <c r="DY45" s="30">
        <f t="shared" si="61"/>
        <v>317.18925000000002</v>
      </c>
      <c r="DZ45" s="30">
        <f t="shared" si="61"/>
        <v>333.04871250000002</v>
      </c>
      <c r="EA45" s="30">
        <f t="shared" si="61"/>
        <v>349.70114812500003</v>
      </c>
      <c r="EB45" s="30">
        <f>+EA45*0.9</f>
        <v>314.73103331250002</v>
      </c>
      <c r="EC45" s="30"/>
      <c r="ED45" s="54"/>
      <c r="EE45" s="132"/>
      <c r="EF45" s="54"/>
      <c r="EG45" s="54"/>
    </row>
    <row r="46" spans="2:137" s="31" customFormat="1">
      <c r="B46" s="20" t="s">
        <v>30</v>
      </c>
      <c r="C46" s="28"/>
      <c r="D46" s="28"/>
      <c r="E46" s="28"/>
      <c r="F46" s="28"/>
      <c r="G46" s="28"/>
      <c r="H46" s="28"/>
      <c r="I46" s="30">
        <v>169</v>
      </c>
      <c r="J46" s="30">
        <f>364-I46</f>
        <v>195</v>
      </c>
      <c r="K46" s="30">
        <v>188</v>
      </c>
      <c r="L46" s="30">
        <f>379-K46</f>
        <v>191</v>
      </c>
      <c r="M46" s="30">
        <v>195</v>
      </c>
      <c r="N46" s="30">
        <f>405-M46</f>
        <v>210</v>
      </c>
      <c r="O46" s="30">
        <v>192</v>
      </c>
      <c r="P46" s="30">
        <f>SUM(AX46:AY46)</f>
        <v>212</v>
      </c>
      <c r="Q46" s="30">
        <f t="shared" si="30"/>
        <v>188</v>
      </c>
      <c r="R46" s="30">
        <f t="shared" si="31"/>
        <v>197</v>
      </c>
      <c r="S46" s="30">
        <v>167</v>
      </c>
      <c r="T46" s="30">
        <f t="shared" si="32"/>
        <v>164</v>
      </c>
      <c r="U46" s="30">
        <f t="shared" si="33"/>
        <v>135</v>
      </c>
      <c r="V46" s="30">
        <f t="shared" si="34"/>
        <v>143</v>
      </c>
      <c r="W46" s="30"/>
      <c r="X46" s="30"/>
      <c r="Y46" s="30"/>
      <c r="Z46" s="30"/>
      <c r="AA46" s="30"/>
      <c r="AB46" s="30"/>
      <c r="AC46" s="30"/>
      <c r="AD46" s="30"/>
      <c r="AE46" s="107"/>
      <c r="AF46" s="77">
        <v>76</v>
      </c>
      <c r="AG46" s="77">
        <v>80</v>
      </c>
      <c r="AH46" s="77">
        <v>81</v>
      </c>
      <c r="AI46" s="77">
        <v>88</v>
      </c>
      <c r="AJ46" s="77">
        <v>80</v>
      </c>
      <c r="AK46" s="77">
        <v>89</v>
      </c>
      <c r="AL46" s="77">
        <v>97</v>
      </c>
      <c r="AM46" s="77">
        <v>98</v>
      </c>
      <c r="AN46" s="77">
        <v>93</v>
      </c>
      <c r="AO46" s="77">
        <v>95</v>
      </c>
      <c r="AP46" s="77">
        <v>91</v>
      </c>
      <c r="AQ46" s="77">
        <v>100</v>
      </c>
      <c r="AR46" s="77">
        <v>96</v>
      </c>
      <c r="AS46" s="77">
        <v>99</v>
      </c>
      <c r="AT46" s="77">
        <v>100</v>
      </c>
      <c r="AU46" s="77">
        <v>110</v>
      </c>
      <c r="AV46" s="77">
        <v>95</v>
      </c>
      <c r="AW46" s="77">
        <v>97</v>
      </c>
      <c r="AX46" s="77">
        <v>98</v>
      </c>
      <c r="AY46" s="77">
        <v>114</v>
      </c>
      <c r="AZ46" s="77">
        <v>90</v>
      </c>
      <c r="BA46" s="77">
        <v>98</v>
      </c>
      <c r="BB46" s="77">
        <v>101</v>
      </c>
      <c r="BC46" s="77">
        <v>96</v>
      </c>
      <c r="BD46" s="77">
        <v>81</v>
      </c>
      <c r="BE46" s="77">
        <f t="shared" si="35"/>
        <v>86</v>
      </c>
      <c r="BF46" s="77">
        <f>249-BE46-BD46</f>
        <v>82</v>
      </c>
      <c r="BG46" s="77">
        <v>82</v>
      </c>
      <c r="BH46" s="77">
        <v>61</v>
      </c>
      <c r="BI46" s="77">
        <v>74</v>
      </c>
      <c r="BJ46" s="77">
        <v>65</v>
      </c>
      <c r="BK46" s="77">
        <v>78</v>
      </c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5"/>
      <c r="DJ46" s="30">
        <v>0</v>
      </c>
      <c r="DK46" s="30">
        <v>0</v>
      </c>
      <c r="DL46" s="30">
        <v>315</v>
      </c>
      <c r="DM46" s="30">
        <f t="shared" si="37"/>
        <v>325</v>
      </c>
      <c r="DN46" s="30">
        <f t="shared" si="38"/>
        <v>364</v>
      </c>
      <c r="DO46" s="30">
        <f t="shared" si="57"/>
        <v>379</v>
      </c>
      <c r="DP46" s="30">
        <f>SUM(M46:N46)</f>
        <v>405</v>
      </c>
      <c r="DQ46" s="30">
        <f t="shared" si="58"/>
        <v>404</v>
      </c>
      <c r="DR46" s="30">
        <f t="shared" si="39"/>
        <v>385</v>
      </c>
      <c r="DS46" s="30">
        <f t="shared" si="19"/>
        <v>331</v>
      </c>
      <c r="DT46" s="30">
        <f t="shared" si="40"/>
        <v>278</v>
      </c>
      <c r="DU46" s="30"/>
      <c r="DV46" s="30"/>
      <c r="DW46" s="30"/>
      <c r="DX46" s="30"/>
      <c r="DY46" s="30"/>
      <c r="DZ46" s="30"/>
      <c r="EA46" s="30"/>
      <c r="EB46" s="30"/>
      <c r="EC46" s="30"/>
      <c r="ED46" s="54"/>
      <c r="EE46" s="132"/>
      <c r="EF46" s="54"/>
      <c r="EG46" s="54"/>
    </row>
    <row r="47" spans="2:137" s="31" customFormat="1">
      <c r="B47" s="20" t="s">
        <v>38</v>
      </c>
      <c r="C47" s="28"/>
      <c r="D47" s="28"/>
      <c r="E47" s="28"/>
      <c r="F47" s="28"/>
      <c r="G47" s="28"/>
      <c r="H47" s="28"/>
      <c r="I47" s="30"/>
      <c r="J47" s="30"/>
      <c r="K47" s="30"/>
      <c r="L47" s="30"/>
      <c r="M47" s="30"/>
      <c r="N47" s="30"/>
      <c r="O47" s="30">
        <v>154</v>
      </c>
      <c r="P47" s="30">
        <f>SUM(AX47:AY47)</f>
        <v>157</v>
      </c>
      <c r="Q47" s="30">
        <f t="shared" si="30"/>
        <v>140</v>
      </c>
      <c r="R47" s="30">
        <f t="shared" si="31"/>
        <v>146</v>
      </c>
      <c r="S47" s="30">
        <v>0</v>
      </c>
      <c r="T47" s="30">
        <f t="shared" si="32"/>
        <v>77</v>
      </c>
      <c r="U47" s="30">
        <f t="shared" si="33"/>
        <v>150</v>
      </c>
      <c r="V47" s="30">
        <f t="shared" si="34"/>
        <v>144</v>
      </c>
      <c r="W47" s="30"/>
      <c r="X47" s="30"/>
      <c r="Y47" s="30"/>
      <c r="Z47" s="30"/>
      <c r="AA47" s="30">
        <v>135</v>
      </c>
      <c r="AB47" s="30"/>
      <c r="AC47" s="30"/>
      <c r="AD47" s="30"/>
      <c r="AE47" s="107"/>
      <c r="AF47" s="10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>
        <v>75</v>
      </c>
      <c r="AS47" s="77">
        <v>77</v>
      </c>
      <c r="AT47" s="77">
        <v>76</v>
      </c>
      <c r="AU47" s="77">
        <v>83</v>
      </c>
      <c r="AV47" s="77">
        <v>74</v>
      </c>
      <c r="AW47" s="77">
        <v>80</v>
      </c>
      <c r="AX47" s="77">
        <v>77</v>
      </c>
      <c r="AY47" s="77">
        <v>80</v>
      </c>
      <c r="AZ47" s="77">
        <v>68</v>
      </c>
      <c r="BA47" s="77">
        <v>72</v>
      </c>
      <c r="BB47" s="77">
        <v>71</v>
      </c>
      <c r="BC47" s="77">
        <v>75</v>
      </c>
      <c r="BD47" s="77"/>
      <c r="BE47" s="77"/>
      <c r="BF47" s="77"/>
      <c r="BG47" s="77">
        <v>77</v>
      </c>
      <c r="BH47" s="77">
        <v>75</v>
      </c>
      <c r="BI47" s="77">
        <v>75</v>
      </c>
      <c r="BJ47" s="77">
        <v>72</v>
      </c>
      <c r="BK47" s="77">
        <v>72</v>
      </c>
      <c r="BL47" s="77">
        <v>75</v>
      </c>
      <c r="BM47" s="77">
        <v>82</v>
      </c>
      <c r="BN47" s="77">
        <v>78</v>
      </c>
      <c r="BO47" s="77">
        <v>75</v>
      </c>
      <c r="BP47" s="77">
        <v>80</v>
      </c>
      <c r="BQ47" s="77">
        <v>78</v>
      </c>
      <c r="BR47" s="77">
        <v>77</v>
      </c>
      <c r="BS47" s="77">
        <v>78</v>
      </c>
      <c r="BT47" s="77">
        <v>59</v>
      </c>
      <c r="BU47" s="77">
        <v>76</v>
      </c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5"/>
      <c r="DJ47" s="30"/>
      <c r="DK47" s="30"/>
      <c r="DL47" s="30"/>
      <c r="DM47" s="30"/>
      <c r="DN47" s="30"/>
      <c r="DO47" s="30"/>
      <c r="DP47" s="30">
        <f>SUM(AR47:AU47)</f>
        <v>311</v>
      </c>
      <c r="DQ47" s="30">
        <f t="shared" si="58"/>
        <v>311</v>
      </c>
      <c r="DR47" s="30">
        <f t="shared" si="39"/>
        <v>286</v>
      </c>
      <c r="DS47" s="30"/>
      <c r="DT47" s="30">
        <f t="shared" si="40"/>
        <v>294</v>
      </c>
      <c r="DU47" s="30">
        <f t="shared" si="41"/>
        <v>310</v>
      </c>
      <c r="DV47" s="30">
        <f t="shared" si="42"/>
        <v>313</v>
      </c>
      <c r="DW47" s="30">
        <f t="shared" si="60"/>
        <v>328.65000000000003</v>
      </c>
      <c r="DX47" s="30">
        <f t="shared" ref="DX47:EA47" si="62">DW47*1.05</f>
        <v>345.08250000000004</v>
      </c>
      <c r="DY47" s="30">
        <f t="shared" si="62"/>
        <v>362.33662500000008</v>
      </c>
      <c r="DZ47" s="30">
        <f t="shared" si="62"/>
        <v>380.4534562500001</v>
      </c>
      <c r="EA47" s="30">
        <f t="shared" si="62"/>
        <v>399.47612906250015</v>
      </c>
      <c r="EB47" s="30">
        <f>+EA47*0.9</f>
        <v>359.52851615625013</v>
      </c>
      <c r="EC47" s="30">
        <v>361</v>
      </c>
      <c r="ED47" s="30">
        <v>394</v>
      </c>
      <c r="EE47" s="132"/>
      <c r="EF47" s="54"/>
      <c r="EG47" s="54"/>
    </row>
    <row r="48" spans="2:137" s="31" customFormat="1">
      <c r="B48" s="62" t="s">
        <v>50</v>
      </c>
      <c r="C48" s="28"/>
      <c r="D48" s="28"/>
      <c r="E48" s="28"/>
      <c r="F48" s="28"/>
      <c r="G48" s="28"/>
      <c r="H48" s="28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>
        <f t="shared" si="33"/>
        <v>138</v>
      </c>
      <c r="V48" s="30">
        <f>344-U48</f>
        <v>206</v>
      </c>
      <c r="W48" s="30"/>
      <c r="X48" s="30"/>
      <c r="Y48" s="30"/>
      <c r="Z48" s="30"/>
      <c r="AA48" s="30">
        <v>203</v>
      </c>
      <c r="AB48" s="30"/>
      <c r="AC48" s="30"/>
      <c r="AD48" s="30"/>
      <c r="AE48" s="107"/>
      <c r="AF48" s="10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>
        <v>70</v>
      </c>
      <c r="BH48" s="77">
        <v>70</v>
      </c>
      <c r="BI48" s="77">
        <f>138-BH48</f>
        <v>68</v>
      </c>
      <c r="BJ48" s="77">
        <v>99</v>
      </c>
      <c r="BK48" s="77">
        <v>107</v>
      </c>
      <c r="BL48" s="77">
        <v>90</v>
      </c>
      <c r="BM48" s="77">
        <v>87</v>
      </c>
      <c r="BN48" s="77">
        <v>96</v>
      </c>
      <c r="BO48" s="77">
        <v>111</v>
      </c>
      <c r="BP48" s="77">
        <v>94</v>
      </c>
      <c r="BQ48" s="77">
        <v>106</v>
      </c>
      <c r="BR48" s="77">
        <v>107</v>
      </c>
      <c r="BS48" s="77">
        <v>118</v>
      </c>
      <c r="BT48" s="77">
        <v>103</v>
      </c>
      <c r="BU48" s="77">
        <v>100</v>
      </c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5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>
        <f t="shared" si="40"/>
        <v>344</v>
      </c>
      <c r="DU48" s="30">
        <f t="shared" si="41"/>
        <v>384</v>
      </c>
      <c r="DV48" s="30">
        <f t="shared" si="42"/>
        <v>425</v>
      </c>
      <c r="DW48" s="30">
        <f>+DV48*1.01</f>
        <v>429.25</v>
      </c>
      <c r="DX48" s="30">
        <f t="shared" ref="DX48:EA48" si="63">+DW48*1.01</f>
        <v>433.54250000000002</v>
      </c>
      <c r="DY48" s="30">
        <f t="shared" si="63"/>
        <v>437.877925</v>
      </c>
      <c r="DZ48" s="30">
        <f t="shared" si="63"/>
        <v>442.25670424999998</v>
      </c>
      <c r="EA48" s="30">
        <f t="shared" si="63"/>
        <v>446.6792712925</v>
      </c>
      <c r="EB48" s="30"/>
      <c r="EC48" s="30">
        <v>470</v>
      </c>
      <c r="ED48" s="30">
        <v>435</v>
      </c>
      <c r="EE48" s="132"/>
      <c r="EF48" s="54"/>
      <c r="EG48" s="54"/>
    </row>
    <row r="49" spans="2:146" s="31" customFormat="1" hidden="1">
      <c r="B49" s="20" t="s">
        <v>39</v>
      </c>
      <c r="C49" s="28"/>
      <c r="D49" s="28"/>
      <c r="E49" s="28"/>
      <c r="F49" s="28"/>
      <c r="G49" s="28"/>
      <c r="H49" s="28"/>
      <c r="I49" s="30">
        <v>312</v>
      </c>
      <c r="J49" s="30">
        <f>635-I49</f>
        <v>323</v>
      </c>
      <c r="K49" s="30">
        <v>363</v>
      </c>
      <c r="L49" s="30">
        <f>693-K49</f>
        <v>330</v>
      </c>
      <c r="M49" s="30">
        <v>339</v>
      </c>
      <c r="N49" s="30">
        <f>632-M49</f>
        <v>293</v>
      </c>
      <c r="O49" s="30">
        <v>264</v>
      </c>
      <c r="P49" s="30">
        <f>SUM(AX49:AY49)</f>
        <v>238</v>
      </c>
      <c r="Q49" s="30">
        <f>SUM(AZ49:BA49)</f>
        <v>209</v>
      </c>
      <c r="R49" s="30">
        <f>BB49+BC49</f>
        <v>188</v>
      </c>
      <c r="S49" s="30">
        <v>183</v>
      </c>
      <c r="T49" s="30">
        <f>+BG49+BF49</f>
        <v>154</v>
      </c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107"/>
      <c r="AF49" s="77">
        <v>146</v>
      </c>
      <c r="AG49" s="77">
        <v>165</v>
      </c>
      <c r="AH49" s="77">
        <v>145</v>
      </c>
      <c r="AI49" s="77">
        <v>137</v>
      </c>
      <c r="AJ49" s="77">
        <v>147</v>
      </c>
      <c r="AK49" s="77">
        <v>165</v>
      </c>
      <c r="AL49" s="77">
        <v>162</v>
      </c>
      <c r="AM49" s="77">
        <v>161</v>
      </c>
      <c r="AN49" s="77">
        <v>181</v>
      </c>
      <c r="AO49" s="77">
        <v>182</v>
      </c>
      <c r="AP49" s="77">
        <v>160</v>
      </c>
      <c r="AQ49" s="77">
        <v>170</v>
      </c>
      <c r="AR49" s="77">
        <v>163</v>
      </c>
      <c r="AS49" s="77">
        <v>176</v>
      </c>
      <c r="AT49" s="77">
        <v>151</v>
      </c>
      <c r="AU49" s="77">
        <v>142</v>
      </c>
      <c r="AV49" s="77">
        <v>136</v>
      </c>
      <c r="AW49" s="77">
        <v>128</v>
      </c>
      <c r="AX49" s="77">
        <v>126</v>
      </c>
      <c r="AY49" s="77">
        <v>112</v>
      </c>
      <c r="AZ49" s="77">
        <v>103</v>
      </c>
      <c r="BA49" s="77">
        <v>106</v>
      </c>
      <c r="BB49" s="77">
        <v>98</v>
      </c>
      <c r="BC49" s="77">
        <v>90</v>
      </c>
      <c r="BD49" s="77">
        <v>91</v>
      </c>
      <c r="BE49" s="77">
        <f>+S49-BD49</f>
        <v>92</v>
      </c>
      <c r="BF49" s="77">
        <f>259-BE49-BD49</f>
        <v>76</v>
      </c>
      <c r="BG49" s="77">
        <v>78</v>
      </c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5"/>
      <c r="DJ49" s="30">
        <v>963</v>
      </c>
      <c r="DK49" s="30">
        <v>763</v>
      </c>
      <c r="DL49" s="30">
        <v>618</v>
      </c>
      <c r="DM49" s="30">
        <f>SUM(AF49:AI49)</f>
        <v>593</v>
      </c>
      <c r="DN49" s="30">
        <f>SUM(AJ49:AM49)</f>
        <v>635</v>
      </c>
      <c r="DO49" s="30">
        <f>SUM(K49:L49)</f>
        <v>693</v>
      </c>
      <c r="DP49" s="30">
        <f>SUM(M49:N49)</f>
        <v>632</v>
      </c>
      <c r="DQ49" s="30">
        <f>SUM(AV49:AY49)</f>
        <v>502</v>
      </c>
      <c r="DR49" s="30">
        <f>SUM(AZ49:BC49)</f>
        <v>397</v>
      </c>
      <c r="DS49" s="30">
        <f>SUM(BD49:BG49)</f>
        <v>337</v>
      </c>
      <c r="DT49" s="30">
        <f t="shared" ref="DT49:DT56" si="64">SUM(BH49:BK49)</f>
        <v>0</v>
      </c>
      <c r="DU49" s="30">
        <f t="shared" si="41"/>
        <v>0</v>
      </c>
      <c r="DV49" s="30">
        <f t="shared" si="42"/>
        <v>0</v>
      </c>
      <c r="DW49" s="30"/>
      <c r="DX49" s="30"/>
      <c r="DY49" s="30"/>
      <c r="DZ49" s="30"/>
      <c r="EA49" s="30"/>
      <c r="EB49" s="30"/>
      <c r="EC49" s="30"/>
      <c r="ED49" s="54"/>
      <c r="EE49" s="132"/>
      <c r="EF49" s="54"/>
      <c r="EG49" s="54"/>
    </row>
    <row r="50" spans="2:146" s="31" customFormat="1" hidden="1">
      <c r="B50" s="20" t="s">
        <v>32</v>
      </c>
      <c r="C50" s="28"/>
      <c r="D50" s="28"/>
      <c r="E50" s="28"/>
      <c r="F50" s="28"/>
      <c r="G50" s="28"/>
      <c r="H50" s="28"/>
      <c r="I50" s="30">
        <v>235</v>
      </c>
      <c r="J50" s="30">
        <f>500-I50</f>
        <v>265</v>
      </c>
      <c r="K50" s="30">
        <v>254</v>
      </c>
      <c r="L50" s="30">
        <f>498-K50</f>
        <v>244</v>
      </c>
      <c r="M50" s="30">
        <v>205</v>
      </c>
      <c r="N50" s="30">
        <f>425-M50</f>
        <v>220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107"/>
      <c r="AF50" s="77">
        <v>109</v>
      </c>
      <c r="AG50" s="77">
        <v>111</v>
      </c>
      <c r="AH50" s="77">
        <v>114</v>
      </c>
      <c r="AI50" s="77">
        <v>123</v>
      </c>
      <c r="AJ50" s="77">
        <v>105</v>
      </c>
      <c r="AK50" s="77">
        <v>130</v>
      </c>
      <c r="AL50" s="77">
        <v>130</v>
      </c>
      <c r="AM50" s="77">
        <v>135</v>
      </c>
      <c r="AN50" s="77">
        <v>130</v>
      </c>
      <c r="AO50" s="77">
        <v>124</v>
      </c>
      <c r="AP50" s="77">
        <v>127</v>
      </c>
      <c r="AQ50" s="77">
        <v>117</v>
      </c>
      <c r="AR50" s="77">
        <v>105</v>
      </c>
      <c r="AS50" s="77">
        <v>100</v>
      </c>
      <c r="AT50" s="77">
        <v>110</v>
      </c>
      <c r="AU50" s="77">
        <v>110</v>
      </c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5"/>
      <c r="DJ50" s="30">
        <v>437</v>
      </c>
      <c r="DK50" s="30">
        <v>451</v>
      </c>
      <c r="DL50" s="30">
        <v>437</v>
      </c>
      <c r="DM50" s="30">
        <f t="shared" ref="DM50:DM56" si="65">SUM(AF50:AI50)</f>
        <v>457</v>
      </c>
      <c r="DN50" s="30">
        <f t="shared" ref="DN50:DN56" si="66">SUM(AJ50:AM50)</f>
        <v>500</v>
      </c>
      <c r="DO50" s="30">
        <f>SUM(K50:L50)</f>
        <v>498</v>
      </c>
      <c r="DP50" s="30">
        <f>SUM(M50:N50)</f>
        <v>425</v>
      </c>
      <c r="DQ50" s="30"/>
      <c r="DR50" s="30"/>
      <c r="DT50" s="30">
        <f t="shared" si="64"/>
        <v>0</v>
      </c>
      <c r="DU50" s="30">
        <f t="shared" si="41"/>
        <v>0</v>
      </c>
      <c r="DV50" s="30">
        <f t="shared" si="42"/>
        <v>0</v>
      </c>
      <c r="ED50" s="54"/>
      <c r="EE50" s="133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</row>
    <row r="51" spans="2:146" s="31" customFormat="1" hidden="1">
      <c r="B51" s="62" t="s">
        <v>36</v>
      </c>
      <c r="C51" s="28"/>
      <c r="D51" s="28"/>
      <c r="E51" s="28"/>
      <c r="F51" s="28"/>
      <c r="G51" s="28"/>
      <c r="H51" s="28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107"/>
      <c r="AF51" s="77">
        <v>31</v>
      </c>
      <c r="AG51" s="77">
        <v>47</v>
      </c>
      <c r="AH51" s="77">
        <v>43</v>
      </c>
      <c r="AI51" s="77">
        <v>47</v>
      </c>
      <c r="AJ51" s="77">
        <v>50</v>
      </c>
      <c r="AK51" s="77">
        <v>66</v>
      </c>
      <c r="AL51" s="77">
        <v>62</v>
      </c>
      <c r="AM51" s="77">
        <v>81</v>
      </c>
      <c r="AN51" s="77">
        <v>72</v>
      </c>
      <c r="AO51" s="77">
        <v>71</v>
      </c>
      <c r="AP51" s="77">
        <v>78</v>
      </c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5"/>
      <c r="DJ51" s="30">
        <v>0</v>
      </c>
      <c r="DK51" s="30">
        <v>0</v>
      </c>
      <c r="DL51" s="30">
        <v>49</v>
      </c>
      <c r="DM51" s="30">
        <f t="shared" si="65"/>
        <v>168</v>
      </c>
      <c r="DN51" s="30">
        <f t="shared" si="66"/>
        <v>259</v>
      </c>
      <c r="DO51" s="30"/>
      <c r="DP51" s="30"/>
      <c r="DQ51" s="30"/>
      <c r="DR51" s="30"/>
      <c r="DS51" s="30"/>
      <c r="DT51" s="30">
        <f t="shared" si="64"/>
        <v>0</v>
      </c>
      <c r="DU51" s="30">
        <f t="shared" si="41"/>
        <v>0</v>
      </c>
      <c r="DV51" s="30">
        <f t="shared" si="42"/>
        <v>0</v>
      </c>
      <c r="DW51" s="30"/>
      <c r="DX51" s="30"/>
      <c r="DY51" s="30"/>
      <c r="DZ51" s="30"/>
      <c r="EA51" s="30"/>
      <c r="EB51" s="30"/>
      <c r="EC51" s="30"/>
      <c r="ED51" s="54"/>
      <c r="EE51" s="134"/>
      <c r="EF51" s="120"/>
      <c r="EG51" s="120"/>
      <c r="EH51" s="120"/>
      <c r="EI51" s="120"/>
      <c r="EJ51" s="120"/>
      <c r="EK51" s="120"/>
      <c r="EL51" s="120"/>
      <c r="EM51" s="120"/>
      <c r="EN51" s="120"/>
      <c r="EO51" s="120"/>
      <c r="EP51" s="120"/>
    </row>
    <row r="52" spans="2:146" s="31" customFormat="1" hidden="1">
      <c r="B52" s="62" t="s">
        <v>481</v>
      </c>
      <c r="C52" s="28"/>
      <c r="D52" s="28"/>
      <c r="E52" s="28"/>
      <c r="F52" s="28"/>
      <c r="G52" s="28"/>
      <c r="H52" s="28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107"/>
      <c r="AF52" s="77">
        <v>7.904642409033876</v>
      </c>
      <c r="AG52" s="77">
        <v>16.813048933500628</v>
      </c>
      <c r="AH52" s="77">
        <v>23.282308657465496</v>
      </c>
      <c r="AI52" s="77">
        <v>22</v>
      </c>
      <c r="AJ52" s="77">
        <v>28</v>
      </c>
      <c r="AK52" s="77">
        <v>31</v>
      </c>
      <c r="AL52" s="77">
        <v>28</v>
      </c>
      <c r="AM52" s="77">
        <v>30</v>
      </c>
      <c r="AN52" s="77">
        <v>31</v>
      </c>
      <c r="AO52" s="77">
        <v>31</v>
      </c>
      <c r="AP52" s="77">
        <v>32</v>
      </c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5"/>
      <c r="DJ52" s="30">
        <v>0</v>
      </c>
      <c r="DK52" s="30">
        <v>0</v>
      </c>
      <c r="DL52" s="30">
        <v>3</v>
      </c>
      <c r="DM52" s="30">
        <f t="shared" si="65"/>
        <v>70</v>
      </c>
      <c r="DN52" s="30">
        <f t="shared" si="66"/>
        <v>117</v>
      </c>
      <c r="DO52" s="30"/>
      <c r="DP52" s="30"/>
      <c r="DQ52" s="30"/>
      <c r="DR52" s="30"/>
      <c r="DS52" s="30"/>
      <c r="DT52" s="30">
        <f t="shared" si="64"/>
        <v>0</v>
      </c>
      <c r="DU52" s="30">
        <f t="shared" si="41"/>
        <v>0</v>
      </c>
      <c r="DV52" s="30">
        <f t="shared" si="42"/>
        <v>0</v>
      </c>
      <c r="DW52" s="30"/>
      <c r="DX52" s="30"/>
      <c r="DY52" s="30"/>
      <c r="DZ52" s="30"/>
      <c r="EA52" s="30"/>
      <c r="EB52" s="30"/>
      <c r="EC52" s="30"/>
      <c r="ED52" s="54"/>
      <c r="EE52" s="132"/>
      <c r="EF52" s="54"/>
      <c r="EG52" s="54"/>
    </row>
    <row r="53" spans="2:146" s="31" customFormat="1" hidden="1">
      <c r="B53" s="62" t="s">
        <v>480</v>
      </c>
      <c r="C53" s="28"/>
      <c r="D53" s="28"/>
      <c r="E53" s="28"/>
      <c r="F53" s="28"/>
      <c r="G53" s="28"/>
      <c r="H53" s="28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107"/>
      <c r="AF53" s="77">
        <v>104</v>
      </c>
      <c r="AG53" s="77">
        <v>96</v>
      </c>
      <c r="AH53" s="77">
        <v>86</v>
      </c>
      <c r="AI53" s="77">
        <v>75</v>
      </c>
      <c r="AJ53" s="77">
        <v>83</v>
      </c>
      <c r="AK53" s="77">
        <v>84</v>
      </c>
      <c r="AL53" s="77">
        <v>79</v>
      </c>
      <c r="AM53" s="77">
        <v>80</v>
      </c>
      <c r="AN53" s="77">
        <v>81</v>
      </c>
      <c r="AO53" s="77">
        <v>78</v>
      </c>
      <c r="AP53" s="77">
        <v>75</v>
      </c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5"/>
      <c r="DJ53" s="30">
        <v>289</v>
      </c>
      <c r="DK53" s="30">
        <v>329</v>
      </c>
      <c r="DL53" s="30">
        <v>392</v>
      </c>
      <c r="DM53" s="30">
        <f t="shared" si="65"/>
        <v>361</v>
      </c>
      <c r="DN53" s="30">
        <f t="shared" si="66"/>
        <v>326</v>
      </c>
      <c r="DO53" s="30"/>
      <c r="DP53" s="30"/>
      <c r="DQ53" s="30"/>
      <c r="DR53" s="30"/>
      <c r="DS53" s="30"/>
      <c r="DT53" s="30">
        <f t="shared" si="64"/>
        <v>0</v>
      </c>
      <c r="DU53" s="30">
        <f t="shared" si="41"/>
        <v>0</v>
      </c>
      <c r="DV53" s="30">
        <f t="shared" si="42"/>
        <v>0</v>
      </c>
      <c r="DW53" s="30"/>
      <c r="DX53" s="30"/>
      <c r="DY53" s="30"/>
      <c r="DZ53" s="30"/>
      <c r="EA53" s="30"/>
      <c r="EB53" s="30"/>
      <c r="EC53" s="30"/>
      <c r="ED53" s="54"/>
      <c r="EE53" s="132"/>
      <c r="EF53" s="54"/>
      <c r="EG53" s="54"/>
    </row>
    <row r="54" spans="2:146" s="31" customFormat="1" hidden="1">
      <c r="B54" s="62" t="s">
        <v>482</v>
      </c>
      <c r="C54" s="28"/>
      <c r="D54" s="28"/>
      <c r="E54" s="28"/>
      <c r="F54" s="28"/>
      <c r="G54" s="28"/>
      <c r="H54" s="28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107"/>
      <c r="AF54" s="77">
        <v>0</v>
      </c>
      <c r="AG54" s="77">
        <v>17</v>
      </c>
      <c r="AH54" s="77">
        <v>6</v>
      </c>
      <c r="AI54" s="77">
        <v>15</v>
      </c>
      <c r="AJ54" s="77">
        <v>16</v>
      </c>
      <c r="AK54" s="77">
        <v>25</v>
      </c>
      <c r="AL54" s="77">
        <v>28</v>
      </c>
      <c r="AM54" s="77">
        <v>35</v>
      </c>
      <c r="AN54" s="77">
        <v>27</v>
      </c>
      <c r="AO54" s="77">
        <v>37</v>
      </c>
      <c r="AP54" s="77">
        <v>37</v>
      </c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5"/>
      <c r="DJ54" s="30">
        <v>0</v>
      </c>
      <c r="DK54" s="30">
        <v>0</v>
      </c>
      <c r="DL54" s="30">
        <v>0</v>
      </c>
      <c r="DM54" s="30">
        <f t="shared" si="65"/>
        <v>38</v>
      </c>
      <c r="DN54" s="30">
        <f t="shared" si="66"/>
        <v>104</v>
      </c>
      <c r="DO54" s="30"/>
      <c r="DP54" s="30"/>
      <c r="DQ54" s="30"/>
      <c r="DR54" s="30"/>
      <c r="DS54" s="30"/>
      <c r="DT54" s="30">
        <f t="shared" si="64"/>
        <v>0</v>
      </c>
      <c r="DU54" s="30">
        <f t="shared" si="41"/>
        <v>0</v>
      </c>
      <c r="DV54" s="30">
        <f t="shared" si="42"/>
        <v>0</v>
      </c>
      <c r="DW54" s="30"/>
      <c r="DX54" s="30"/>
      <c r="DY54" s="30"/>
      <c r="DZ54" s="30"/>
      <c r="EA54" s="30"/>
      <c r="EB54" s="30"/>
      <c r="EC54" s="30"/>
      <c r="ED54" s="54"/>
      <c r="EE54" s="132"/>
      <c r="EF54" s="54"/>
      <c r="EG54" s="54"/>
    </row>
    <row r="55" spans="2:146" s="31" customFormat="1" hidden="1">
      <c r="B55" s="62" t="s">
        <v>483</v>
      </c>
      <c r="C55" s="28"/>
      <c r="D55" s="28"/>
      <c r="E55" s="28"/>
      <c r="F55" s="28"/>
      <c r="G55" s="28"/>
      <c r="H55" s="28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107"/>
      <c r="AF55" s="77">
        <v>11</v>
      </c>
      <c r="AG55" s="77">
        <v>11</v>
      </c>
      <c r="AH55" s="77">
        <v>11</v>
      </c>
      <c r="AI55" s="77">
        <v>12</v>
      </c>
      <c r="AJ55" s="77">
        <v>11</v>
      </c>
      <c r="AK55" s="77">
        <v>15</v>
      </c>
      <c r="AL55" s="77">
        <v>15</v>
      </c>
      <c r="AM55" s="77">
        <v>16</v>
      </c>
      <c r="AN55" s="77">
        <v>13</v>
      </c>
      <c r="AO55" s="77">
        <v>16</v>
      </c>
      <c r="AP55" s="77">
        <v>17</v>
      </c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5"/>
      <c r="DJ55" s="30">
        <v>0</v>
      </c>
      <c r="DK55" s="30">
        <v>0</v>
      </c>
      <c r="DL55" s="30">
        <v>0</v>
      </c>
      <c r="DM55" s="30">
        <f t="shared" si="65"/>
        <v>45</v>
      </c>
      <c r="DN55" s="30">
        <f t="shared" si="66"/>
        <v>57</v>
      </c>
      <c r="DO55" s="30"/>
      <c r="DP55" s="30"/>
      <c r="DQ55" s="30"/>
      <c r="DR55" s="30"/>
      <c r="DS55" s="30"/>
      <c r="DT55" s="30">
        <f t="shared" si="64"/>
        <v>0</v>
      </c>
      <c r="DU55" s="30">
        <f t="shared" si="41"/>
        <v>0</v>
      </c>
      <c r="DV55" s="30">
        <f t="shared" si="42"/>
        <v>0</v>
      </c>
      <c r="DW55" s="30"/>
      <c r="DX55" s="30"/>
      <c r="DY55" s="30"/>
      <c r="DZ55" s="30"/>
      <c r="EA55" s="30"/>
      <c r="EB55" s="30"/>
      <c r="EC55" s="30"/>
      <c r="ED55" s="54"/>
      <c r="EE55" s="132"/>
      <c r="EF55" s="54"/>
      <c r="EG55" s="54"/>
    </row>
    <row r="56" spans="2:146" s="31" customFormat="1" hidden="1">
      <c r="B56" s="62" t="s">
        <v>35</v>
      </c>
      <c r="C56" s="28"/>
      <c r="D56" s="28"/>
      <c r="E56" s="28"/>
      <c r="F56" s="28"/>
      <c r="G56" s="28"/>
      <c r="H56" s="28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107"/>
      <c r="AF56" s="77">
        <v>102</v>
      </c>
      <c r="AG56" s="77">
        <v>95</v>
      </c>
      <c r="AH56" s="77">
        <v>99</v>
      </c>
      <c r="AI56" s="77">
        <v>87</v>
      </c>
      <c r="AJ56" s="77">
        <v>104</v>
      </c>
      <c r="AK56" s="77">
        <v>109</v>
      </c>
      <c r="AL56" s="77">
        <v>107</v>
      </c>
      <c r="AM56" s="77">
        <v>87</v>
      </c>
      <c r="AN56" s="77">
        <v>60</v>
      </c>
      <c r="AO56" s="77">
        <v>57</v>
      </c>
      <c r="AP56" s="77">
        <v>53</v>
      </c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5"/>
      <c r="DJ56" s="30">
        <v>0</v>
      </c>
      <c r="DK56" s="30">
        <v>0</v>
      </c>
      <c r="DL56" s="30">
        <v>223</v>
      </c>
      <c r="DM56" s="30">
        <f t="shared" si="65"/>
        <v>383</v>
      </c>
      <c r="DN56" s="30">
        <f t="shared" si="66"/>
        <v>407</v>
      </c>
      <c r="DO56" s="30"/>
      <c r="DP56" s="30"/>
      <c r="DQ56" s="30"/>
      <c r="DR56" s="30"/>
      <c r="DS56" s="30"/>
      <c r="DT56" s="30">
        <f t="shared" si="64"/>
        <v>0</v>
      </c>
      <c r="DU56" s="30">
        <f t="shared" si="41"/>
        <v>0</v>
      </c>
      <c r="DV56" s="30">
        <f t="shared" si="42"/>
        <v>0</v>
      </c>
      <c r="DW56" s="30"/>
      <c r="DX56" s="30"/>
      <c r="DY56" s="30"/>
      <c r="DZ56" s="30"/>
      <c r="EA56" s="30"/>
      <c r="EB56" s="30"/>
      <c r="EC56" s="30"/>
      <c r="ED56" s="54"/>
      <c r="EE56" s="132"/>
      <c r="EF56" s="54"/>
      <c r="EG56" s="54"/>
    </row>
    <row r="57" spans="2:146" s="31" customFormat="1">
      <c r="B57" s="62" t="s">
        <v>728</v>
      </c>
      <c r="C57" s="28"/>
      <c r="D57" s="28"/>
      <c r="E57" s="28"/>
      <c r="F57" s="28"/>
      <c r="G57" s="28"/>
      <c r="H57" s="28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>
        <v>31</v>
      </c>
      <c r="W57" s="30"/>
      <c r="X57" s="30"/>
      <c r="Y57" s="30"/>
      <c r="Z57" s="30"/>
      <c r="AA57" s="30">
        <v>155</v>
      </c>
      <c r="AB57" s="30"/>
      <c r="AC57" s="30"/>
      <c r="AD57" s="30"/>
      <c r="AE57" s="10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>
        <v>32</v>
      </c>
      <c r="BM57" s="77">
        <v>60</v>
      </c>
      <c r="BN57" s="77">
        <v>65</v>
      </c>
      <c r="BO57" s="77">
        <v>77</v>
      </c>
      <c r="BP57" s="77">
        <v>84</v>
      </c>
      <c r="BQ57" s="77">
        <v>87</v>
      </c>
      <c r="BR57" s="77">
        <v>89</v>
      </c>
      <c r="BS57" s="77">
        <v>94</v>
      </c>
      <c r="BT57" s="77">
        <v>79</v>
      </c>
      <c r="BU57" s="77">
        <v>76</v>
      </c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5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>
        <f t="shared" si="41"/>
        <v>234</v>
      </c>
      <c r="DV57" s="30">
        <f t="shared" si="42"/>
        <v>354</v>
      </c>
      <c r="DW57" s="30">
        <f>+DV57*1.1</f>
        <v>389.40000000000003</v>
      </c>
      <c r="DX57" s="30">
        <f t="shared" ref="DX57:EA57" si="67">+DW57*1.1</f>
        <v>428.34000000000009</v>
      </c>
      <c r="DY57" s="30">
        <f t="shared" si="67"/>
        <v>471.17400000000015</v>
      </c>
      <c r="DZ57" s="30">
        <f t="shared" si="67"/>
        <v>518.29140000000018</v>
      </c>
      <c r="EA57" s="30">
        <f t="shared" si="67"/>
        <v>570.12054000000023</v>
      </c>
      <c r="EB57" s="30"/>
      <c r="EC57" s="30"/>
      <c r="ED57" s="54"/>
      <c r="EE57" s="132"/>
      <c r="EF57" s="54"/>
      <c r="EG57" s="54"/>
    </row>
    <row r="58" spans="2:146" s="31" customFormat="1">
      <c r="B58" s="20" t="s">
        <v>37</v>
      </c>
      <c r="C58" s="28"/>
      <c r="D58" s="28"/>
      <c r="E58" s="28"/>
      <c r="F58" s="28"/>
      <c r="G58" s="28"/>
      <c r="H58" s="28"/>
      <c r="I58" s="30">
        <v>614</v>
      </c>
      <c r="J58" s="30">
        <f>927-I58</f>
        <v>313</v>
      </c>
      <c r="K58" s="30">
        <v>216</v>
      </c>
      <c r="L58" s="30">
        <f>416-K58</f>
        <v>200</v>
      </c>
      <c r="M58" s="30">
        <v>204</v>
      </c>
      <c r="N58" s="30">
        <f>399-M58</f>
        <v>195</v>
      </c>
      <c r="O58" s="30">
        <v>176</v>
      </c>
      <c r="P58" s="30">
        <f>SUM(AX58:AY58)</f>
        <v>168</v>
      </c>
      <c r="Q58" s="30">
        <f>SUM(AZ58:BA58)</f>
        <v>164</v>
      </c>
      <c r="R58" s="30">
        <f>BB58+BC58</f>
        <v>143</v>
      </c>
      <c r="S58" s="30">
        <v>165</v>
      </c>
      <c r="T58" s="30">
        <f>+BG58+BF58</f>
        <v>146</v>
      </c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107"/>
      <c r="AF58" s="77">
        <v>369</v>
      </c>
      <c r="AG58" s="77">
        <v>305</v>
      </c>
      <c r="AH58" s="77">
        <v>307</v>
      </c>
      <c r="AI58" s="77">
        <v>321</v>
      </c>
      <c r="AJ58" s="77">
        <v>330</v>
      </c>
      <c r="AK58" s="77">
        <v>284</v>
      </c>
      <c r="AL58" s="77">
        <v>152</v>
      </c>
      <c r="AM58" s="77">
        <v>161</v>
      </c>
      <c r="AN58" s="77">
        <v>110</v>
      </c>
      <c r="AO58" s="77">
        <v>106</v>
      </c>
      <c r="AP58" s="77">
        <v>96</v>
      </c>
      <c r="AQ58" s="77">
        <v>104</v>
      </c>
      <c r="AR58" s="77">
        <v>100</v>
      </c>
      <c r="AS58" s="77">
        <v>104</v>
      </c>
      <c r="AT58" s="77">
        <v>95</v>
      </c>
      <c r="AU58" s="77">
        <v>100</v>
      </c>
      <c r="AV58" s="77">
        <v>91</v>
      </c>
      <c r="AW58" s="77">
        <v>85</v>
      </c>
      <c r="AX58" s="77">
        <v>76</v>
      </c>
      <c r="AY58" s="77">
        <v>92</v>
      </c>
      <c r="AZ58" s="77">
        <v>77</v>
      </c>
      <c r="BA58" s="77">
        <v>87</v>
      </c>
      <c r="BB58" s="77">
        <v>73</v>
      </c>
      <c r="BC58" s="77">
        <v>70</v>
      </c>
      <c r="BD58" s="77">
        <v>82</v>
      </c>
      <c r="BE58" s="77">
        <f>+S58-BD58</f>
        <v>83</v>
      </c>
      <c r="BF58" s="77">
        <f>242-BE58-BD58</f>
        <v>77</v>
      </c>
      <c r="BG58" s="77">
        <v>69</v>
      </c>
      <c r="BH58" s="77"/>
      <c r="BI58" s="77"/>
      <c r="BJ58" s="77"/>
      <c r="BK58" s="77"/>
      <c r="BL58" s="77">
        <v>73</v>
      </c>
      <c r="BM58" s="77">
        <v>60</v>
      </c>
      <c r="BN58" s="77">
        <v>65</v>
      </c>
      <c r="BO58" s="77">
        <v>68</v>
      </c>
      <c r="BP58" s="77">
        <v>68</v>
      </c>
      <c r="BQ58" s="77">
        <v>70</v>
      </c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5"/>
      <c r="DJ58" s="30">
        <v>1755</v>
      </c>
      <c r="DK58" s="30">
        <v>1548</v>
      </c>
      <c r="DL58" s="30">
        <v>1375</v>
      </c>
      <c r="DM58" s="30">
        <f>SUM(AF58:AI58)</f>
        <v>1302</v>
      </c>
      <c r="DN58" s="30">
        <f>SUM(AJ58:AM58)</f>
        <v>927</v>
      </c>
      <c r="DO58" s="30">
        <f>SUM(K58:L58)</f>
        <v>416</v>
      </c>
      <c r="DP58" s="30">
        <f>SUM(M58:N58)</f>
        <v>399</v>
      </c>
      <c r="DQ58" s="30">
        <f>SUM(AV58:AY58)</f>
        <v>344</v>
      </c>
      <c r="DR58" s="30">
        <f>SUM(AZ58:BC58)</f>
        <v>307</v>
      </c>
      <c r="DS58" s="30">
        <f>SUM(BD58:BG58)</f>
        <v>311</v>
      </c>
      <c r="DT58" s="30"/>
      <c r="DU58" s="30">
        <f t="shared" si="41"/>
        <v>266</v>
      </c>
      <c r="DV58" s="30">
        <f t="shared" si="42"/>
        <v>138</v>
      </c>
      <c r="DW58" s="30"/>
      <c r="DX58" s="30"/>
      <c r="DY58" s="30"/>
      <c r="DZ58" s="30"/>
      <c r="EA58" s="30"/>
      <c r="EB58" s="30"/>
      <c r="EC58" s="30">
        <v>252</v>
      </c>
      <c r="ED58" s="30">
        <v>244</v>
      </c>
      <c r="EE58" s="132"/>
      <c r="EF58" s="54"/>
      <c r="EG58" s="54"/>
    </row>
    <row r="59" spans="2:146" s="31" customFormat="1">
      <c r="B59" s="62"/>
      <c r="C59" s="28"/>
      <c r="D59" s="28"/>
      <c r="E59" s="28"/>
      <c r="F59" s="28"/>
      <c r="G59" s="28"/>
      <c r="H59" s="28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107"/>
      <c r="AF59" s="10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5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>
        <v>300</v>
      </c>
      <c r="DX59" s="30">
        <v>400</v>
      </c>
      <c r="DY59" s="30">
        <v>500</v>
      </c>
      <c r="DZ59" s="30">
        <v>600</v>
      </c>
      <c r="EA59" s="30">
        <v>600</v>
      </c>
      <c r="EB59" s="30">
        <v>600</v>
      </c>
      <c r="EC59" s="30"/>
      <c r="ED59" s="54"/>
      <c r="EE59" s="132"/>
      <c r="EF59" s="54"/>
      <c r="EG59" s="54"/>
    </row>
    <row r="60" spans="2:146" s="31" customFormat="1">
      <c r="B60" s="62" t="s">
        <v>341</v>
      </c>
      <c r="C60" s="28"/>
      <c r="D60" s="28"/>
      <c r="E60" s="28"/>
      <c r="F60" s="28"/>
      <c r="G60" s="28"/>
      <c r="H60" s="28"/>
      <c r="I60" s="30"/>
      <c r="J60" s="30"/>
      <c r="K60" s="30"/>
      <c r="L60" s="30"/>
      <c r="M60" s="30"/>
      <c r="N60" s="30"/>
      <c r="O60" s="30"/>
      <c r="P60" s="30"/>
      <c r="Q60" s="79">
        <f>Q8+Q4+Q5-SUM(Q14:Q47)</f>
        <v>2736</v>
      </c>
      <c r="R60" s="79">
        <f>R8+R4+R5-SUM(R14:R47)</f>
        <v>425</v>
      </c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107"/>
      <c r="AF60" s="77">
        <v>1354</v>
      </c>
      <c r="AG60" s="77">
        <v>1389</v>
      </c>
      <c r="AH60" s="77">
        <v>1247</v>
      </c>
      <c r="AI60" s="77">
        <v>1287</v>
      </c>
      <c r="AJ60" s="77">
        <v>1332</v>
      </c>
      <c r="AK60" s="77">
        <v>1387.7282626022334</v>
      </c>
      <c r="AL60" s="77">
        <v>1301.2717373977657</v>
      </c>
      <c r="AM60" s="77">
        <v>1442</v>
      </c>
      <c r="AN60" s="77">
        <v>1278</v>
      </c>
      <c r="AO60" s="77">
        <v>1338</v>
      </c>
      <c r="AP60" s="77">
        <v>1286.2578675886843</v>
      </c>
      <c r="AQ60" s="77">
        <v>1242.1465217449652</v>
      </c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30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>
        <v>787</v>
      </c>
      <c r="DA60" s="77"/>
      <c r="DB60" s="77"/>
      <c r="DC60" s="77"/>
      <c r="DD60" s="77"/>
      <c r="DE60" s="77"/>
      <c r="DF60" s="77"/>
      <c r="DG60" s="77"/>
      <c r="DH60" s="77"/>
      <c r="DI60" s="5"/>
      <c r="DJ60" s="30">
        <v>7640</v>
      </c>
      <c r="DK60" s="30">
        <v>6710</v>
      </c>
      <c r="DL60" s="30">
        <v>6004</v>
      </c>
      <c r="DM60" s="30">
        <f>SUM(AF60:AI60)</f>
        <v>5277</v>
      </c>
      <c r="DN60" s="30">
        <f>SUM(AJ60:AM60)</f>
        <v>5462.9999999999991</v>
      </c>
      <c r="DO60" s="30">
        <f>SUM(AN60:AQ60)</f>
        <v>5144.4043893336493</v>
      </c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54"/>
      <c r="EE60" s="132"/>
      <c r="EF60" s="54"/>
      <c r="EG60" s="54"/>
    </row>
    <row r="61" spans="2:146" s="31" customFormat="1">
      <c r="B61" s="62" t="s">
        <v>18</v>
      </c>
      <c r="C61" s="28"/>
      <c r="D61" s="28"/>
      <c r="E61" s="28"/>
      <c r="F61" s="28"/>
      <c r="G61" s="28"/>
      <c r="H61" s="28"/>
      <c r="I61" s="32">
        <f t="shared" ref="I61:P61" si="68">I8+I4+I5-SUM(I14:I47)</f>
        <v>4630</v>
      </c>
      <c r="J61" s="32">
        <f t="shared" si="68"/>
        <v>4141</v>
      </c>
      <c r="K61" s="32">
        <f t="shared" si="68"/>
        <v>4030</v>
      </c>
      <c r="L61" s="32">
        <f t="shared" si="68"/>
        <v>3927</v>
      </c>
      <c r="M61" s="32">
        <f t="shared" si="68"/>
        <v>3743</v>
      </c>
      <c r="N61" s="32">
        <f t="shared" si="68"/>
        <v>3798</v>
      </c>
      <c r="O61" s="32">
        <f t="shared" si="68"/>
        <v>2982</v>
      </c>
      <c r="P61" s="32">
        <f t="shared" si="68"/>
        <v>3067</v>
      </c>
      <c r="Q61" s="54"/>
      <c r="R61" s="32"/>
      <c r="S61" s="32">
        <f>+BD61+BE61</f>
        <v>2462</v>
      </c>
      <c r="T61" s="32">
        <f>+BG61+BF61</f>
        <v>2285</v>
      </c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30">
        <f t="shared" ref="AP61:BB61" si="69">AP4+AP5+AP8-SUM(AP14:AP47)</f>
        <v>1759.910722056241</v>
      </c>
      <c r="AQ61" s="30">
        <f t="shared" si="69"/>
        <v>1801.2622756988276</v>
      </c>
      <c r="AR61" s="30">
        <f t="shared" si="69"/>
        <v>1781</v>
      </c>
      <c r="AS61" s="30">
        <f t="shared" si="69"/>
        <v>1810</v>
      </c>
      <c r="AT61" s="30">
        <f t="shared" si="69"/>
        <v>1740</v>
      </c>
      <c r="AU61" s="30">
        <f t="shared" si="69"/>
        <v>1899</v>
      </c>
      <c r="AV61" s="30">
        <f t="shared" si="69"/>
        <v>1487</v>
      </c>
      <c r="AW61" s="30">
        <f t="shared" si="69"/>
        <v>1492</v>
      </c>
      <c r="AX61" s="30">
        <f t="shared" si="69"/>
        <v>1483</v>
      </c>
      <c r="AY61" s="30">
        <f t="shared" si="69"/>
        <v>1584</v>
      </c>
      <c r="AZ61" s="30">
        <f t="shared" si="69"/>
        <v>1319</v>
      </c>
      <c r="BA61" s="30">
        <f t="shared" si="69"/>
        <v>1417</v>
      </c>
      <c r="BB61" s="30">
        <f t="shared" si="69"/>
        <v>1311</v>
      </c>
      <c r="BC61" s="30">
        <f t="shared" ref="BC61:BK61" si="70">BC4+BC5+BC7+BC8-SUM(BC14:BC60)</f>
        <v>1192</v>
      </c>
      <c r="BD61" s="30">
        <f t="shared" si="70"/>
        <v>1215</v>
      </c>
      <c r="BE61" s="30">
        <f t="shared" si="70"/>
        <v>1247</v>
      </c>
      <c r="BF61" s="30">
        <f t="shared" si="70"/>
        <v>1193</v>
      </c>
      <c r="BG61" s="30">
        <f t="shared" si="70"/>
        <v>1092</v>
      </c>
      <c r="BH61" s="30">
        <f t="shared" si="70"/>
        <v>1126</v>
      </c>
      <c r="BI61" s="30">
        <f t="shared" si="70"/>
        <v>1106</v>
      </c>
      <c r="BJ61" s="30">
        <f t="shared" si="70"/>
        <v>1027</v>
      </c>
      <c r="BK61" s="30">
        <f t="shared" si="70"/>
        <v>1127</v>
      </c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5"/>
      <c r="DJ61" s="30"/>
      <c r="DK61" s="30"/>
      <c r="DL61" s="30"/>
      <c r="DM61" s="30"/>
      <c r="DN61" s="30"/>
      <c r="DO61" s="30">
        <f>SUM(K61:L61)</f>
        <v>7957</v>
      </c>
      <c r="DP61" s="30">
        <f>SUM(M61:N61)</f>
        <v>7541</v>
      </c>
      <c r="DQ61" s="30">
        <f>SUM(AV61:AY61)</f>
        <v>6046</v>
      </c>
      <c r="DR61" s="30">
        <f>SUM(AZ61:BC61)</f>
        <v>5239</v>
      </c>
      <c r="DS61" s="30">
        <f>SUM(BD61:BG61)</f>
        <v>4747</v>
      </c>
      <c r="DT61" s="30">
        <f>SUM(BH61:BK61)</f>
        <v>4386</v>
      </c>
      <c r="DU61" s="30"/>
      <c r="DV61" s="30"/>
      <c r="DW61" s="30">
        <f t="shared" ref="DW61:EB61" si="71">DV61*0.9</f>
        <v>0</v>
      </c>
      <c r="DX61" s="30">
        <f t="shared" si="71"/>
        <v>0</v>
      </c>
      <c r="DY61" s="30">
        <f t="shared" si="71"/>
        <v>0</v>
      </c>
      <c r="DZ61" s="30">
        <f t="shared" si="71"/>
        <v>0</v>
      </c>
      <c r="EA61" s="30">
        <f t="shared" si="71"/>
        <v>0</v>
      </c>
      <c r="EB61" s="30">
        <f t="shared" si="71"/>
        <v>0</v>
      </c>
      <c r="EC61" s="30">
        <f>464+93+195+337+1758</f>
        <v>2847</v>
      </c>
      <c r="ED61" s="30">
        <f>1576+2+294+224+106+382</f>
        <v>2584</v>
      </c>
      <c r="EE61" s="30"/>
      <c r="EF61" s="54"/>
      <c r="EG61" s="54"/>
      <c r="EI61" s="117"/>
    </row>
    <row r="62" spans="2:146" s="22" customFormat="1">
      <c r="B62" s="22" t="s">
        <v>63</v>
      </c>
      <c r="C62" s="80">
        <v>12810</v>
      </c>
      <c r="D62" s="80">
        <v>14380</v>
      </c>
      <c r="E62" s="32">
        <v>14526</v>
      </c>
      <c r="F62" s="32">
        <v>14996</v>
      </c>
      <c r="G62" s="32"/>
      <c r="H62" s="32"/>
      <c r="I62" s="32">
        <f t="shared" ref="I62:Q62" si="72">+I4+I5+I6+I8</f>
        <v>16622</v>
      </c>
      <c r="J62" s="32">
        <f t="shared" si="72"/>
        <v>18889</v>
      </c>
      <c r="K62" s="32">
        <f t="shared" si="72"/>
        <v>19849</v>
      </c>
      <c r="L62" s="32">
        <f t="shared" si="72"/>
        <v>22192</v>
      </c>
      <c r="M62" s="32">
        <f t="shared" si="72"/>
        <v>22827</v>
      </c>
      <c r="N62" s="32">
        <f t="shared" si="72"/>
        <v>23306</v>
      </c>
      <c r="O62" s="32">
        <f t="shared" si="72"/>
        <v>22004</v>
      </c>
      <c r="P62" s="32">
        <f t="shared" si="72"/>
        <v>23613</v>
      </c>
      <c r="Q62" s="32">
        <f t="shared" si="72"/>
        <v>24006</v>
      </c>
      <c r="R62" s="32">
        <f>R6+R3</f>
        <v>25216</v>
      </c>
      <c r="S62" s="32">
        <f>SUM(S14:S61)+S6</f>
        <v>24636</v>
      </c>
      <c r="T62" s="32">
        <f>SUM(T14:T61)+T6</f>
        <v>22767</v>
      </c>
      <c r="U62" s="32">
        <f>SUM(U14:U61)+U6</f>
        <v>19439</v>
      </c>
      <c r="V62" s="32">
        <f>SUM(V14:V61)+V6</f>
        <v>18737</v>
      </c>
      <c r="W62" s="32"/>
      <c r="X62" s="32"/>
      <c r="Y62" s="32"/>
      <c r="Z62" s="32"/>
      <c r="AA62" s="32"/>
      <c r="AB62" s="32"/>
      <c r="AC62" s="32"/>
      <c r="AD62" s="32"/>
      <c r="AE62" s="56"/>
      <c r="AF62" s="56"/>
      <c r="AG62" s="109"/>
      <c r="AH62" s="109"/>
      <c r="AI62" s="109"/>
      <c r="AJ62" s="109"/>
      <c r="AK62" s="109"/>
      <c r="AL62" s="109"/>
      <c r="AM62" s="109"/>
      <c r="AN62" s="109"/>
      <c r="AO62" s="109"/>
      <c r="AP62" s="32">
        <f t="shared" ref="AP62:BC62" si="73">SUM(AP14:AP61)+AP6</f>
        <v>12262.168589644923</v>
      </c>
      <c r="AQ62" s="32">
        <f t="shared" si="73"/>
        <v>13158.408797443793</v>
      </c>
      <c r="AR62" s="32">
        <f t="shared" si="73"/>
        <v>11726</v>
      </c>
      <c r="AS62" s="32">
        <f t="shared" si="73"/>
        <v>11849</v>
      </c>
      <c r="AT62" s="32">
        <f t="shared" si="73"/>
        <v>11476</v>
      </c>
      <c r="AU62" s="32">
        <f t="shared" si="73"/>
        <v>12538</v>
      </c>
      <c r="AV62" s="32">
        <f t="shared" si="73"/>
        <v>11082</v>
      </c>
      <c r="AW62" s="32">
        <f t="shared" si="73"/>
        <v>11362</v>
      </c>
      <c r="AX62" s="32">
        <f t="shared" si="73"/>
        <v>11503</v>
      </c>
      <c r="AY62" s="32">
        <f t="shared" si="73"/>
        <v>12516</v>
      </c>
      <c r="AZ62" s="32">
        <f t="shared" si="73"/>
        <v>11757</v>
      </c>
      <c r="BA62" s="32">
        <f t="shared" si="73"/>
        <v>12622</v>
      </c>
      <c r="BB62" s="32">
        <f t="shared" si="73"/>
        <v>12564</v>
      </c>
      <c r="BC62" s="32">
        <f t="shared" si="73"/>
        <v>12652</v>
      </c>
      <c r="BD62" s="32">
        <f>SUM(BD14:BD60)+BD6</f>
        <v>11030</v>
      </c>
      <c r="BE62" s="32">
        <f t="shared" ref="BE62:BK62" si="74">SUM(BE14:BE61)+BE6</f>
        <v>12391</v>
      </c>
      <c r="BF62" s="32">
        <f t="shared" si="74"/>
        <v>11491</v>
      </c>
      <c r="BG62" s="32">
        <f t="shared" si="74"/>
        <v>11346</v>
      </c>
      <c r="BH62" s="32">
        <f t="shared" si="74"/>
        <v>11120</v>
      </c>
      <c r="BI62" s="32">
        <f t="shared" si="74"/>
        <v>10551</v>
      </c>
      <c r="BJ62" s="32">
        <f t="shared" si="74"/>
        <v>9821</v>
      </c>
      <c r="BK62" s="32">
        <f t="shared" si="74"/>
        <v>11039</v>
      </c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19"/>
      <c r="DJ62" s="32"/>
      <c r="DK62" s="32">
        <v>26066</v>
      </c>
      <c r="DL62" s="32">
        <v>27190</v>
      </c>
      <c r="DM62" s="32">
        <v>29522</v>
      </c>
      <c r="DN62" s="32">
        <f>I62+J62</f>
        <v>35511</v>
      </c>
      <c r="DO62" s="32">
        <f>L62+K62</f>
        <v>42041</v>
      </c>
      <c r="DP62" s="32">
        <f>N62+M62</f>
        <v>46133</v>
      </c>
      <c r="DQ62" s="32">
        <f>SUM(DQ14:DQ61,DQ6)</f>
        <v>46463</v>
      </c>
      <c r="DR62" s="32">
        <f>SUM(DR14:DR61,DR6)</f>
        <v>49595</v>
      </c>
      <c r="DS62" s="32">
        <f>SUM(DS14:DS61)+DS6</f>
        <v>47326</v>
      </c>
      <c r="DT62" s="32">
        <f>DT3+DT6</f>
        <v>42531</v>
      </c>
      <c r="DU62" s="32">
        <f t="shared" ref="DU62" si="75">SUM(DU14:DU61)+DU6</f>
        <v>30432</v>
      </c>
      <c r="DV62" s="32">
        <v>46780</v>
      </c>
      <c r="DW62" s="32">
        <v>47462</v>
      </c>
      <c r="DX62" s="32">
        <v>47581</v>
      </c>
      <c r="DY62" s="32">
        <v>48149</v>
      </c>
      <c r="DZ62" s="32">
        <v>45104</v>
      </c>
      <c r="EA62" s="32">
        <v>46273</v>
      </c>
      <c r="EB62" s="32">
        <v>51837</v>
      </c>
      <c r="EC62" s="32">
        <f>SUM(EC9:EC61)+EC6</f>
        <v>58323</v>
      </c>
      <c r="ED62" s="32">
        <f>SUM(ED9:ED61)+ED6</f>
        <v>62801</v>
      </c>
      <c r="EE62" s="135"/>
      <c r="EF62" s="56"/>
      <c r="EG62" s="56"/>
    </row>
    <row r="63" spans="2:146" s="20" customFormat="1">
      <c r="B63" s="20" t="s">
        <v>64</v>
      </c>
      <c r="C63" s="81"/>
      <c r="D63" s="81"/>
      <c r="E63" s="30">
        <v>790</v>
      </c>
      <c r="F63" s="30">
        <v>860</v>
      </c>
      <c r="G63" s="81">
        <v>710</v>
      </c>
      <c r="H63" s="30"/>
      <c r="I63" s="30">
        <v>710</v>
      </c>
      <c r="J63" s="30">
        <f>1447-I63</f>
        <v>737</v>
      </c>
      <c r="K63" s="30">
        <v>727</v>
      </c>
      <c r="L63" s="30">
        <f>1466-K63</f>
        <v>739</v>
      </c>
      <c r="M63" s="30">
        <f>1191-492-74-22-2</f>
        <v>601</v>
      </c>
      <c r="N63" s="30">
        <f>2243-M63-259-722-55-5</f>
        <v>601</v>
      </c>
      <c r="O63" s="30">
        <v>1136</v>
      </c>
      <c r="P63" s="30">
        <f>+O63+15</f>
        <v>1151</v>
      </c>
      <c r="Q63" s="30">
        <v>1116</v>
      </c>
      <c r="R63" s="30">
        <f>2100-Q63</f>
        <v>984</v>
      </c>
      <c r="S63" s="30">
        <v>878</v>
      </c>
      <c r="T63" s="30">
        <f>1694-S63</f>
        <v>816</v>
      </c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107"/>
      <c r="AF63" s="107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108"/>
      <c r="CT63" s="108"/>
      <c r="CU63" s="108"/>
      <c r="CV63" s="108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5"/>
      <c r="DJ63" s="30"/>
      <c r="DK63" s="30"/>
      <c r="DL63" s="30"/>
      <c r="DM63" s="30">
        <v>1570</v>
      </c>
      <c r="DN63" s="30">
        <f>I63+J63</f>
        <v>1447</v>
      </c>
      <c r="DO63" s="30">
        <f>L63+K63</f>
        <v>1466</v>
      </c>
      <c r="DP63" s="30">
        <f>N63+M63</f>
        <v>1202</v>
      </c>
      <c r="DQ63" s="30">
        <f>SUM(O63:P63)</f>
        <v>2287</v>
      </c>
      <c r="DR63" s="30">
        <f>SUM(Q63:R63)</f>
        <v>2100</v>
      </c>
      <c r="DS63" s="30">
        <f>T63+S63</f>
        <v>1694</v>
      </c>
      <c r="DT63" s="30">
        <v>1582</v>
      </c>
      <c r="DU63" s="30">
        <f t="shared" ref="DU63:EB63" si="76">DT63</f>
        <v>1582</v>
      </c>
      <c r="DV63" s="30">
        <f t="shared" si="76"/>
        <v>1582</v>
      </c>
      <c r="DW63" s="30">
        <f t="shared" si="76"/>
        <v>1582</v>
      </c>
      <c r="DX63" s="30">
        <f t="shared" si="76"/>
        <v>1582</v>
      </c>
      <c r="DY63" s="30">
        <f t="shared" si="76"/>
        <v>1582</v>
      </c>
      <c r="DZ63" s="30">
        <f t="shared" si="76"/>
        <v>1582</v>
      </c>
      <c r="EA63" s="30">
        <f t="shared" si="76"/>
        <v>1582</v>
      </c>
      <c r="EB63" s="30">
        <f t="shared" si="76"/>
        <v>1582</v>
      </c>
      <c r="EC63" s="30">
        <v>2020</v>
      </c>
      <c r="ED63" s="28">
        <v>3049</v>
      </c>
      <c r="EE63" s="21"/>
      <c r="EF63" s="52"/>
      <c r="EG63" s="52"/>
    </row>
    <row r="64" spans="2:146" s="22" customFormat="1">
      <c r="B64" s="21" t="s">
        <v>13</v>
      </c>
      <c r="C64" s="30">
        <v>2895</v>
      </c>
      <c r="D64" s="30">
        <v>3202</v>
      </c>
      <c r="E64" s="30">
        <v>3193</v>
      </c>
      <c r="F64" s="30">
        <v>3363</v>
      </c>
      <c r="G64" s="30">
        <v>3760</v>
      </c>
      <c r="H64" s="30">
        <v>3958</v>
      </c>
      <c r="I64" s="30">
        <v>4348</v>
      </c>
      <c r="J64" s="30">
        <f>9304-I64</f>
        <v>4956</v>
      </c>
      <c r="K64" s="30">
        <v>4934</v>
      </c>
      <c r="L64" s="30">
        <f>10616-K64</f>
        <v>5682</v>
      </c>
      <c r="M64" s="30">
        <v>5629</v>
      </c>
      <c r="N64" s="82">
        <f>13743-M64</f>
        <v>8114</v>
      </c>
      <c r="O64" s="30">
        <v>6532</v>
      </c>
      <c r="P64" s="30">
        <f>O64+597</f>
        <v>7129</v>
      </c>
      <c r="Q64" s="30">
        <v>7100</v>
      </c>
      <c r="R64" s="30">
        <f>14615-Q64</f>
        <v>7515</v>
      </c>
      <c r="S64" s="30">
        <v>6870</v>
      </c>
      <c r="T64" s="30">
        <f>13293-S64</f>
        <v>6423</v>
      </c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107"/>
      <c r="AF64" s="107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10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5"/>
      <c r="DJ64" s="30"/>
      <c r="DK64" s="30">
        <v>5984</v>
      </c>
      <c r="DL64" s="30">
        <v>6097</v>
      </c>
      <c r="DM64" s="30">
        <v>7718</v>
      </c>
      <c r="DN64" s="30">
        <f>I64+J64</f>
        <v>9304</v>
      </c>
      <c r="DO64" s="30">
        <f>L64+K64</f>
        <v>10616</v>
      </c>
      <c r="DP64" s="30">
        <f>N64+M64</f>
        <v>13743</v>
      </c>
      <c r="DQ64" s="30">
        <f>SUM(O64:P64)</f>
        <v>13661</v>
      </c>
      <c r="DR64" s="30">
        <f>SUM(Q64:R64)</f>
        <v>14615</v>
      </c>
      <c r="DS64" s="30">
        <f>T64+S64</f>
        <v>13293</v>
      </c>
      <c r="DT64" s="30">
        <v>11942</v>
      </c>
      <c r="DU64" s="30">
        <f t="shared" ref="DU64:EB64" si="77">DU62-DU65+DU63</f>
        <v>32014</v>
      </c>
      <c r="DV64" s="30">
        <f t="shared" si="77"/>
        <v>48362</v>
      </c>
      <c r="DW64" s="30">
        <f t="shared" si="77"/>
        <v>49044</v>
      </c>
      <c r="DX64" s="30">
        <f t="shared" si="77"/>
        <v>49163</v>
      </c>
      <c r="DY64" s="30">
        <f t="shared" si="77"/>
        <v>49731</v>
      </c>
      <c r="DZ64" s="30">
        <f t="shared" si="77"/>
        <v>46686</v>
      </c>
      <c r="EA64" s="30">
        <f t="shared" si="77"/>
        <v>47855</v>
      </c>
      <c r="EB64" s="30">
        <f t="shared" si="77"/>
        <v>53419</v>
      </c>
      <c r="EC64" s="30">
        <v>14567</v>
      </c>
      <c r="ED64" s="30">
        <v>18138</v>
      </c>
      <c r="EE64" s="135"/>
      <c r="EF64" s="56"/>
      <c r="EG64" s="56"/>
    </row>
    <row r="65" spans="2:210" s="22" customFormat="1">
      <c r="B65" s="21" t="s">
        <v>0</v>
      </c>
      <c r="C65" s="30">
        <v>9915</v>
      </c>
      <c r="D65" s="30">
        <v>11178</v>
      </c>
      <c r="E65" s="30">
        <v>11333</v>
      </c>
      <c r="F65" s="30">
        <v>11633</v>
      </c>
      <c r="G65" s="30">
        <v>10766</v>
      </c>
      <c r="H65" s="30">
        <v>11038</v>
      </c>
      <c r="I65" s="30">
        <f t="shared" ref="I65:N65" si="78">I62-I64+I63</f>
        <v>12984</v>
      </c>
      <c r="J65" s="30">
        <f t="shared" si="78"/>
        <v>14670</v>
      </c>
      <c r="K65" s="30">
        <f t="shared" si="78"/>
        <v>15642</v>
      </c>
      <c r="L65" s="30">
        <f t="shared" si="78"/>
        <v>17249</v>
      </c>
      <c r="M65" s="30">
        <f>M62-M64+M63</f>
        <v>17799</v>
      </c>
      <c r="N65" s="30">
        <f t="shared" si="78"/>
        <v>15793</v>
      </c>
      <c r="O65" s="30">
        <f t="shared" ref="O65:T65" si="79">O62-O64+O63</f>
        <v>16608</v>
      </c>
      <c r="P65" s="30">
        <f t="shared" si="79"/>
        <v>17635</v>
      </c>
      <c r="Q65" s="30">
        <f t="shared" si="79"/>
        <v>18022</v>
      </c>
      <c r="R65" s="30">
        <f t="shared" si="79"/>
        <v>18685</v>
      </c>
      <c r="S65" s="30">
        <f t="shared" si="79"/>
        <v>18644</v>
      </c>
      <c r="T65" s="30">
        <f t="shared" si="79"/>
        <v>17160</v>
      </c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107"/>
      <c r="AF65" s="107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08"/>
      <c r="CD65" s="108"/>
      <c r="CE65" s="108"/>
      <c r="CF65" s="108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08"/>
      <c r="DE65" s="108"/>
      <c r="DF65" s="108"/>
      <c r="DG65" s="108"/>
      <c r="DH65" s="108"/>
      <c r="DI65" s="5"/>
      <c r="DJ65" s="30"/>
      <c r="DK65" s="30">
        <v>20082</v>
      </c>
      <c r="DL65" s="30">
        <v>21093</v>
      </c>
      <c r="DM65" s="30">
        <v>21804</v>
      </c>
      <c r="DN65" s="30">
        <f t="shared" ref="DN65:DO65" si="80">DN62+DN63-DN64</f>
        <v>27654</v>
      </c>
      <c r="DO65" s="30">
        <f t="shared" si="80"/>
        <v>32891</v>
      </c>
      <c r="DP65" s="30">
        <f>DP62+DP63-DP64</f>
        <v>33592</v>
      </c>
      <c r="DQ65" s="30">
        <f>DQ62+DQ63-DQ64</f>
        <v>35089</v>
      </c>
      <c r="DR65" s="30">
        <f>SUM(Q65:R65)</f>
        <v>36707</v>
      </c>
      <c r="DS65" s="30">
        <f>DS62+DS63-DS64</f>
        <v>35727</v>
      </c>
      <c r="DT65" s="30">
        <f>DT62+DT63-DT64</f>
        <v>32171</v>
      </c>
      <c r="DU65" s="30">
        <f t="shared" ref="DU65:EB65" si="81">DU62*DU84</f>
        <v>0</v>
      </c>
      <c r="DV65" s="30">
        <f t="shared" si="81"/>
        <v>0</v>
      </c>
      <c r="DW65" s="30">
        <f t="shared" si="81"/>
        <v>0</v>
      </c>
      <c r="DX65" s="30">
        <f t="shared" si="81"/>
        <v>0</v>
      </c>
      <c r="DY65" s="30">
        <f t="shared" si="81"/>
        <v>0</v>
      </c>
      <c r="DZ65" s="30">
        <f t="shared" si="81"/>
        <v>0</v>
      </c>
      <c r="EA65" s="30">
        <f t="shared" si="81"/>
        <v>0</v>
      </c>
      <c r="EB65" s="30">
        <f t="shared" si="81"/>
        <v>0</v>
      </c>
      <c r="EC65" s="30">
        <f>EC62+EC63-EC64</f>
        <v>45776</v>
      </c>
      <c r="ED65" s="30">
        <f>ED62+ED63-ED64</f>
        <v>47712</v>
      </c>
      <c r="EE65" s="135"/>
      <c r="EF65" s="56"/>
      <c r="EG65" s="56"/>
    </row>
    <row r="66" spans="2:210" s="20" customFormat="1">
      <c r="B66" s="21" t="s">
        <v>186</v>
      </c>
      <c r="C66" s="30">
        <v>3658</v>
      </c>
      <c r="D66" s="30">
        <v>4159</v>
      </c>
      <c r="E66" s="30">
        <v>3983</v>
      </c>
      <c r="F66" s="30">
        <v>4292</v>
      </c>
      <c r="G66" s="30">
        <v>4000</v>
      </c>
      <c r="H66" s="30">
        <v>4338</v>
      </c>
      <c r="I66" s="30">
        <v>4409</v>
      </c>
      <c r="J66" s="30">
        <f>9625-I66</f>
        <v>5216</v>
      </c>
      <c r="K66" s="30">
        <v>5208</v>
      </c>
      <c r="L66" s="30">
        <f>10856-K66</f>
        <v>5648</v>
      </c>
      <c r="M66" s="30">
        <v>5552</v>
      </c>
      <c r="N66" s="82">
        <f>9327-M66</f>
        <v>3775</v>
      </c>
      <c r="O66" s="30">
        <v>4371</v>
      </c>
      <c r="P66" s="30">
        <f>O66+428</f>
        <v>4799</v>
      </c>
      <c r="Q66" s="30">
        <v>4567</v>
      </c>
      <c r="R66" s="30">
        <f>9475-Q66</f>
        <v>4908</v>
      </c>
      <c r="S66" s="30">
        <v>4546</v>
      </c>
      <c r="T66" s="30">
        <f>9488-S66</f>
        <v>4942</v>
      </c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107"/>
      <c r="AF66" s="107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08"/>
      <c r="CD66" s="108"/>
      <c r="CE66" s="108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08"/>
      <c r="DE66" s="108"/>
      <c r="DF66" s="108"/>
      <c r="DG66" s="108"/>
      <c r="DH66" s="108"/>
      <c r="DI66" s="5"/>
      <c r="DJ66" s="30"/>
      <c r="DK66" s="30">
        <v>7859</v>
      </c>
      <c r="DL66" s="30">
        <v>7817</v>
      </c>
      <c r="DM66" s="30">
        <v>8338</v>
      </c>
      <c r="DN66" s="30">
        <v>9507</v>
      </c>
      <c r="DO66" s="30">
        <f>SUM(K66:L66)</f>
        <v>10856</v>
      </c>
      <c r="DP66" s="30">
        <f>N66+M66</f>
        <v>9327</v>
      </c>
      <c r="DQ66" s="30">
        <f>SUM(O66:P66)</f>
        <v>9170</v>
      </c>
      <c r="DR66" s="30">
        <f t="shared" ref="DR66" si="82">SUM(Q66:R66)</f>
        <v>9475</v>
      </c>
      <c r="DS66" s="30">
        <f>T66+S66</f>
        <v>9488</v>
      </c>
      <c r="DT66" s="30">
        <v>8049</v>
      </c>
      <c r="DU66" s="30">
        <f t="shared" ref="DU66:EB66" si="83">DT66*0.99</f>
        <v>7968.51</v>
      </c>
      <c r="DV66" s="30">
        <f t="shared" si="83"/>
        <v>7888.8249000000005</v>
      </c>
      <c r="DW66" s="30">
        <f t="shared" si="83"/>
        <v>7809.9366510000009</v>
      </c>
      <c r="DX66" s="30">
        <f t="shared" si="83"/>
        <v>7731.8372844900005</v>
      </c>
      <c r="DY66" s="30">
        <f t="shared" si="83"/>
        <v>7654.5189116451002</v>
      </c>
      <c r="DZ66" s="30">
        <f t="shared" si="83"/>
        <v>7577.973722528649</v>
      </c>
      <c r="EA66" s="30">
        <f t="shared" si="83"/>
        <v>7502.1939853033628</v>
      </c>
      <c r="EB66" s="30">
        <f t="shared" si="83"/>
        <v>7427.1720454503293</v>
      </c>
      <c r="EC66" s="30">
        <v>9361</v>
      </c>
      <c r="ED66" s="30">
        <v>9444</v>
      </c>
      <c r="EE66" s="21"/>
      <c r="EF66" s="52"/>
      <c r="EG66" s="52"/>
    </row>
    <row r="67" spans="2:210" s="22" customFormat="1">
      <c r="B67" s="21" t="s">
        <v>185</v>
      </c>
      <c r="C67" s="30">
        <v>633</v>
      </c>
      <c r="D67" s="30">
        <v>727</v>
      </c>
      <c r="E67" s="30">
        <v>677</v>
      </c>
      <c r="F67" s="30">
        <v>721</v>
      </c>
      <c r="G67" s="30">
        <v>1059</v>
      </c>
      <c r="H67" s="30">
        <v>1026</v>
      </c>
      <c r="I67" s="30">
        <v>1145</v>
      </c>
      <c r="J67" s="30">
        <f>2288-I67</f>
        <v>1143</v>
      </c>
      <c r="K67" s="30">
        <v>1072</v>
      </c>
      <c r="L67" s="30">
        <f>2542-K67</f>
        <v>1470</v>
      </c>
      <c r="M67" s="30">
        <v>1237</v>
      </c>
      <c r="N67" s="30">
        <f>2453-M67</f>
        <v>1216</v>
      </c>
      <c r="O67" s="30">
        <v>1089</v>
      </c>
      <c r="P67" s="30">
        <f>O67+154</f>
        <v>1243</v>
      </c>
      <c r="Q67" s="30">
        <v>967</v>
      </c>
      <c r="R67" s="30">
        <f>2175-Q67</f>
        <v>1208</v>
      </c>
      <c r="S67" s="30">
        <v>871</v>
      </c>
      <c r="T67" s="30">
        <f>2874-S67</f>
        <v>2003</v>
      </c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107"/>
      <c r="AF67" s="107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  <c r="CB67" s="108"/>
      <c r="CC67" s="108"/>
      <c r="CD67" s="108"/>
      <c r="CE67" s="108"/>
      <c r="CF67" s="108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08"/>
      <c r="DE67" s="108"/>
      <c r="DF67" s="108"/>
      <c r="DG67" s="108"/>
      <c r="DH67" s="108"/>
      <c r="DI67" s="5"/>
      <c r="DJ67" s="30"/>
      <c r="DK67" s="30">
        <v>1193</v>
      </c>
      <c r="DL67" s="30">
        <v>1360</v>
      </c>
      <c r="DM67" s="30">
        <v>2085</v>
      </c>
      <c r="DN67" s="30">
        <v>2309</v>
      </c>
      <c r="DO67" s="30">
        <f>SUM(K67:L67)</f>
        <v>2542</v>
      </c>
      <c r="DP67" s="30">
        <f>N67+M67</f>
        <v>2453</v>
      </c>
      <c r="DQ67" s="30">
        <f>SUM(O67:P67)</f>
        <v>2332</v>
      </c>
      <c r="DR67" s="30">
        <f t="shared" ref="DR67" si="84">SUM(Q67:R67)</f>
        <v>2175</v>
      </c>
      <c r="DS67" s="30">
        <f>T67+S67</f>
        <v>2874</v>
      </c>
      <c r="DT67" s="30">
        <v>2342</v>
      </c>
      <c r="DU67" s="30">
        <f t="shared" ref="DU67:EB67" si="85">DT67*0.99</f>
        <v>2318.58</v>
      </c>
      <c r="DV67" s="30">
        <f t="shared" si="85"/>
        <v>2295.3941999999997</v>
      </c>
      <c r="DW67" s="30">
        <f t="shared" si="85"/>
        <v>2272.4402579999996</v>
      </c>
      <c r="DX67" s="30">
        <f t="shared" si="85"/>
        <v>2249.7158554199996</v>
      </c>
      <c r="DY67" s="30">
        <f t="shared" si="85"/>
        <v>2227.2186968657998</v>
      </c>
      <c r="DZ67" s="30">
        <f t="shared" si="85"/>
        <v>2204.9465098971418</v>
      </c>
      <c r="EA67" s="30">
        <f t="shared" si="85"/>
        <v>2182.8970447981706</v>
      </c>
      <c r="EB67" s="30">
        <f t="shared" si="85"/>
        <v>2161.0680743501889</v>
      </c>
      <c r="EC67" s="30">
        <v>2726</v>
      </c>
      <c r="ED67" s="30">
        <v>2663</v>
      </c>
      <c r="EE67" s="135"/>
      <c r="EF67" s="56"/>
      <c r="EG67" s="56"/>
    </row>
    <row r="68" spans="2:210" s="20" customFormat="1">
      <c r="B68" s="21" t="s">
        <v>1</v>
      </c>
      <c r="C68" s="30">
        <v>2173</v>
      </c>
      <c r="D68" s="30">
        <v>2451</v>
      </c>
      <c r="E68" s="30">
        <v>2333</v>
      </c>
      <c r="F68" s="30">
        <v>2720</v>
      </c>
      <c r="G68" s="30">
        <v>2361</v>
      </c>
      <c r="H68" s="30">
        <v>2793</v>
      </c>
      <c r="I68" s="30">
        <v>2559</v>
      </c>
      <c r="J68" s="30">
        <f>5705-I68</f>
        <v>3146</v>
      </c>
      <c r="K68" s="83">
        <v>3063</v>
      </c>
      <c r="L68" s="83">
        <f>6589-K68</f>
        <v>3526</v>
      </c>
      <c r="M68" s="30">
        <v>3635</v>
      </c>
      <c r="N68" s="30">
        <f>8385-M68</f>
        <v>4750</v>
      </c>
      <c r="O68" s="30">
        <v>4107</v>
      </c>
      <c r="P68" s="30">
        <f>8845-O68</f>
        <v>4738</v>
      </c>
      <c r="Q68" s="30">
        <v>4518</v>
      </c>
      <c r="R68" s="30">
        <f>9874-Q68</f>
        <v>5356</v>
      </c>
      <c r="S68" s="30">
        <v>4471</v>
      </c>
      <c r="T68" s="30">
        <f>10026-S68</f>
        <v>5555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107"/>
      <c r="AF68" s="107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5"/>
      <c r="DJ68" s="30"/>
      <c r="DK68" s="30">
        <v>4132</v>
      </c>
      <c r="DL68" s="30">
        <v>4624</v>
      </c>
      <c r="DM68" s="30">
        <v>5154</v>
      </c>
      <c r="DN68" s="30">
        <f>I68+J68</f>
        <v>5705</v>
      </c>
      <c r="DO68" s="30">
        <f>L68+K68</f>
        <v>6589</v>
      </c>
      <c r="DP68" s="30">
        <f>N68+M68</f>
        <v>8385</v>
      </c>
      <c r="DQ68" s="30">
        <f>SUM(O68:P68)</f>
        <v>8845</v>
      </c>
      <c r="DR68" s="30">
        <f t="shared" ref="DR68" si="86">SUM(Q68:R68)</f>
        <v>9874</v>
      </c>
      <c r="DS68" s="30">
        <f>T68+S68</f>
        <v>10026</v>
      </c>
      <c r="DT68" s="30">
        <v>8326</v>
      </c>
      <c r="DU68" s="30"/>
      <c r="DV68" s="30"/>
      <c r="DW68" s="30"/>
      <c r="DX68" s="30"/>
      <c r="DY68" s="30"/>
      <c r="DZ68" s="30"/>
      <c r="EA68" s="30"/>
      <c r="EB68" s="30"/>
      <c r="EC68" s="30">
        <v>12153</v>
      </c>
      <c r="ED68" s="28">
        <v>13708</v>
      </c>
      <c r="EE68" s="21"/>
      <c r="EF68" s="52"/>
      <c r="EG68" s="52"/>
    </row>
    <row r="69" spans="2:210" s="20" customFormat="1">
      <c r="B69" s="21" t="s">
        <v>183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>
        <f>736+472+2</f>
        <v>1210</v>
      </c>
      <c r="N69" s="30">
        <f>1560+976+6+58-M69</f>
        <v>1390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107"/>
      <c r="AF69" s="107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5"/>
      <c r="DJ69" s="30"/>
      <c r="DK69" s="30"/>
      <c r="DL69" s="30"/>
      <c r="DM69" s="30"/>
      <c r="DN69" s="30"/>
      <c r="DO69" s="30">
        <f>M69+L69</f>
        <v>1210</v>
      </c>
      <c r="DP69" s="30">
        <f>N69+M69</f>
        <v>2600</v>
      </c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52"/>
      <c r="EE69" s="21"/>
      <c r="EF69" s="52"/>
      <c r="EG69" s="52"/>
    </row>
    <row r="70" spans="2:210" s="20" customFormat="1">
      <c r="B70" s="106" t="s">
        <v>585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>
        <f t="shared" ref="M70:Q70" si="87">SUM(M66:M68)-M69</f>
        <v>9214</v>
      </c>
      <c r="N70" s="30">
        <f t="shared" si="87"/>
        <v>8351</v>
      </c>
      <c r="O70" s="30">
        <f t="shared" si="87"/>
        <v>9567</v>
      </c>
      <c r="P70" s="30">
        <f t="shared" si="87"/>
        <v>10780</v>
      </c>
      <c r="Q70" s="30">
        <f t="shared" si="87"/>
        <v>10052</v>
      </c>
      <c r="R70" s="30">
        <f>SUM(R66:R68)-R69</f>
        <v>11472</v>
      </c>
      <c r="S70" s="30">
        <f>SUM(S66:S68)-S69</f>
        <v>9888</v>
      </c>
      <c r="T70" s="30">
        <f>SUM(T66:T68)-T69</f>
        <v>12500</v>
      </c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107"/>
      <c r="AF70" s="107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  <c r="CB70" s="108"/>
      <c r="CC70" s="108"/>
      <c r="CD70" s="108"/>
      <c r="CE70" s="108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08"/>
      <c r="DE70" s="108"/>
      <c r="DF70" s="108"/>
      <c r="DG70" s="108"/>
      <c r="DH70" s="108"/>
      <c r="DI70" s="5"/>
      <c r="DJ70" s="30"/>
      <c r="DK70" s="30"/>
      <c r="DL70" s="30"/>
      <c r="DM70" s="30"/>
      <c r="DN70" s="30"/>
      <c r="DO70" s="30">
        <f t="shared" ref="DO70:DT70" si="88">SUM(DO66:DO68)-DO69</f>
        <v>18777</v>
      </c>
      <c r="DP70" s="30">
        <f t="shared" si="88"/>
        <v>17565</v>
      </c>
      <c r="DQ70" s="30">
        <f t="shared" si="88"/>
        <v>20347</v>
      </c>
      <c r="DR70" s="30">
        <f t="shared" si="88"/>
        <v>21524</v>
      </c>
      <c r="DS70" s="30">
        <f t="shared" si="88"/>
        <v>22388</v>
      </c>
      <c r="DT70" s="30">
        <f t="shared" si="88"/>
        <v>18717</v>
      </c>
      <c r="DU70" s="30">
        <f t="shared" ref="DU70:EB70" si="89">SUM(DU66:DU68)-DU69</f>
        <v>10287.09</v>
      </c>
      <c r="DV70" s="30">
        <f t="shared" si="89"/>
        <v>10184.2191</v>
      </c>
      <c r="DW70" s="30">
        <f t="shared" si="89"/>
        <v>10082.376909000001</v>
      </c>
      <c r="DX70" s="30">
        <f t="shared" si="89"/>
        <v>9981.55313991</v>
      </c>
      <c r="DY70" s="30">
        <f t="shared" si="89"/>
        <v>9881.737608510899</v>
      </c>
      <c r="DZ70" s="30">
        <f t="shared" si="89"/>
        <v>9782.9202324257913</v>
      </c>
      <c r="EA70" s="30">
        <f t="shared" si="89"/>
        <v>9685.0910301015338</v>
      </c>
      <c r="EB70" s="30">
        <f t="shared" si="89"/>
        <v>9588.2401198005173</v>
      </c>
      <c r="EC70" s="28">
        <f>SUM(EC66:EC68)</f>
        <v>24240</v>
      </c>
      <c r="ED70" s="28">
        <f>SUM(ED66:ED68)</f>
        <v>25815</v>
      </c>
      <c r="EE70" s="21"/>
      <c r="EF70" s="52"/>
      <c r="EG70" s="52"/>
    </row>
    <row r="71" spans="2:210" s="22" customFormat="1">
      <c r="B71" s="22" t="s">
        <v>149</v>
      </c>
      <c r="C71" s="32">
        <v>2833</v>
      </c>
      <c r="D71" s="32">
        <v>2960</v>
      </c>
      <c r="E71" s="32">
        <v>3701</v>
      </c>
      <c r="F71" s="32">
        <v>3249</v>
      </c>
      <c r="G71" s="32">
        <v>3527</v>
      </c>
      <c r="H71" s="32">
        <v>3239</v>
      </c>
      <c r="I71" s="32">
        <f>I65-I66-I67-I68</f>
        <v>4871</v>
      </c>
      <c r="J71" s="32">
        <f>J65-J66-J67-J68</f>
        <v>5165</v>
      </c>
      <c r="K71" s="32">
        <f>K65-K66-K67-K68</f>
        <v>6299</v>
      </c>
      <c r="L71" s="32">
        <f>L65-L66-L67-L68</f>
        <v>6605</v>
      </c>
      <c r="M71" s="32">
        <f t="shared" ref="M71:Q71" si="90">M65-M70</f>
        <v>8585</v>
      </c>
      <c r="N71" s="32">
        <f t="shared" si="90"/>
        <v>7442</v>
      </c>
      <c r="O71" s="32">
        <f t="shared" si="90"/>
        <v>7041</v>
      </c>
      <c r="P71" s="32">
        <f t="shared" si="90"/>
        <v>6855</v>
      </c>
      <c r="Q71" s="32">
        <f t="shared" si="90"/>
        <v>7970</v>
      </c>
      <c r="R71" s="32">
        <f>R65-R70</f>
        <v>7213</v>
      </c>
      <c r="S71" s="32">
        <f>S65-S70</f>
        <v>8756</v>
      </c>
      <c r="T71" s="32">
        <f>T65-T70</f>
        <v>4660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107"/>
      <c r="AF71" s="107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  <c r="CB71" s="108"/>
      <c r="CC71" s="108"/>
      <c r="CD71" s="108"/>
      <c r="CE71" s="108"/>
      <c r="CF71" s="108"/>
      <c r="CG71" s="108"/>
      <c r="CH71" s="108"/>
      <c r="CI71" s="108"/>
      <c r="CJ71" s="108"/>
      <c r="CK71" s="108"/>
      <c r="CL71" s="108"/>
      <c r="CM71" s="108"/>
      <c r="CN71" s="108"/>
      <c r="CO71" s="108"/>
      <c r="CP71" s="108"/>
      <c r="CQ71" s="108"/>
      <c r="CR71" s="108"/>
      <c r="CS71" s="108"/>
      <c r="CT71" s="108"/>
      <c r="CU71" s="108"/>
      <c r="CV71" s="108"/>
      <c r="CW71" s="108"/>
      <c r="CX71" s="108"/>
      <c r="CY71" s="108"/>
      <c r="CZ71" s="108"/>
      <c r="DA71" s="108"/>
      <c r="DB71" s="108"/>
      <c r="DC71" s="108"/>
      <c r="DD71" s="108"/>
      <c r="DE71" s="108"/>
      <c r="DF71" s="108"/>
      <c r="DG71" s="108"/>
      <c r="DH71" s="108"/>
      <c r="DI71" s="5"/>
      <c r="DJ71" s="32"/>
      <c r="DK71" s="32">
        <v>5223</v>
      </c>
      <c r="DL71" s="32">
        <v>5793</v>
      </c>
      <c r="DM71" s="32">
        <v>6766</v>
      </c>
      <c r="DN71" s="32">
        <f>DN65-DN66-DN67-DN68</f>
        <v>10133</v>
      </c>
      <c r="DO71" s="32">
        <f t="shared" ref="DO71:DT71" si="91">DO65-DO70</f>
        <v>14114</v>
      </c>
      <c r="DP71" s="32">
        <f t="shared" si="91"/>
        <v>16027</v>
      </c>
      <c r="DQ71" s="32">
        <f t="shared" si="91"/>
        <v>14742</v>
      </c>
      <c r="DR71" s="32">
        <f t="shared" si="91"/>
        <v>15183</v>
      </c>
      <c r="DS71" s="32">
        <f t="shared" si="91"/>
        <v>13339</v>
      </c>
      <c r="DT71" s="32">
        <f t="shared" si="91"/>
        <v>13454</v>
      </c>
      <c r="DU71" s="32">
        <f t="shared" ref="DU71:EC71" si="92">DU65-DU70</f>
        <v>-10287.09</v>
      </c>
      <c r="DV71" s="32">
        <f t="shared" si="92"/>
        <v>-10184.2191</v>
      </c>
      <c r="DW71" s="32">
        <f t="shared" si="92"/>
        <v>-10082.376909000001</v>
      </c>
      <c r="DX71" s="32">
        <f t="shared" si="92"/>
        <v>-9981.55313991</v>
      </c>
      <c r="DY71" s="32">
        <f t="shared" si="92"/>
        <v>-9881.737608510899</v>
      </c>
      <c r="DZ71" s="32">
        <f t="shared" si="92"/>
        <v>-9782.9202324257913</v>
      </c>
      <c r="EA71" s="32">
        <f t="shared" si="92"/>
        <v>-9685.0910301015338</v>
      </c>
      <c r="EB71" s="32">
        <f t="shared" si="92"/>
        <v>-9588.2401198005173</v>
      </c>
      <c r="EC71" s="32">
        <f t="shared" si="92"/>
        <v>21536</v>
      </c>
      <c r="ED71" s="29">
        <f>ED65-ED70</f>
        <v>21897</v>
      </c>
      <c r="EE71" s="135"/>
      <c r="EF71" s="56"/>
      <c r="EG71" s="56"/>
    </row>
    <row r="72" spans="2:210">
      <c r="B72" s="21" t="s">
        <v>2</v>
      </c>
      <c r="C72" s="84">
        <v>-75</v>
      </c>
      <c r="D72" s="84">
        <v>122</v>
      </c>
      <c r="E72" s="84">
        <v>131</v>
      </c>
      <c r="F72" s="84">
        <v>106</v>
      </c>
      <c r="G72" s="78">
        <v>213</v>
      </c>
      <c r="H72" s="78">
        <v>156</v>
      </c>
      <c r="I72" s="78">
        <v>241</v>
      </c>
      <c r="J72" s="78">
        <f>678-I72</f>
        <v>437</v>
      </c>
      <c r="K72" s="78">
        <v>902</v>
      </c>
      <c r="L72" s="78">
        <f>1829-K72</f>
        <v>927</v>
      </c>
      <c r="M72" s="78">
        <v>979</v>
      </c>
      <c r="N72" s="78">
        <f>1805-M72</f>
        <v>826</v>
      </c>
      <c r="O72" s="78">
        <v>684</v>
      </c>
      <c r="P72" s="78">
        <f>O72</f>
        <v>684</v>
      </c>
      <c r="Q72" s="78">
        <v>484</v>
      </c>
      <c r="R72" s="78">
        <f>792-Q72</f>
        <v>308</v>
      </c>
      <c r="S72" s="78">
        <v>302</v>
      </c>
      <c r="T72" s="78">
        <f>-3+557-S72</f>
        <v>252</v>
      </c>
      <c r="DJ72" s="30"/>
      <c r="DK72" s="30">
        <v>2000</v>
      </c>
      <c r="DL72" s="30">
        <v>47</v>
      </c>
      <c r="DM72" s="30">
        <v>369</v>
      </c>
      <c r="DN72" s="30">
        <v>1313</v>
      </c>
      <c r="DO72" s="30">
        <f>SUM(K72:L72)</f>
        <v>1829</v>
      </c>
      <c r="DP72" s="30">
        <f>N72+M72</f>
        <v>1805</v>
      </c>
      <c r="DQ72" s="30">
        <v>1123</v>
      </c>
      <c r="DR72" s="30">
        <f t="shared" ref="DR72:DR73" si="93">SUM(Q72:R72)</f>
        <v>792</v>
      </c>
      <c r="DS72" s="30">
        <f>T72+S72</f>
        <v>554</v>
      </c>
      <c r="DT72" s="30">
        <f>-2228+647+12</f>
        <v>-1569</v>
      </c>
      <c r="DU72" s="30">
        <f>DU82*$EG$84</f>
        <v>-66.900000000000006</v>
      </c>
      <c r="DV72" s="30">
        <f t="shared" ref="DV72:EB72" si="94">DV82*$EG$84</f>
        <v>-460.35162000000003</v>
      </c>
      <c r="DW72" s="30">
        <f t="shared" si="94"/>
        <v>-864.84530735999999</v>
      </c>
      <c r="DX72" s="30">
        <f t="shared" si="94"/>
        <v>-1280.83975158168</v>
      </c>
      <c r="DY72" s="30">
        <f t="shared" si="94"/>
        <v>-1708.8106814583641</v>
      </c>
      <c r="DZ72" s="30">
        <f t="shared" si="94"/>
        <v>-2149.2515164771962</v>
      </c>
      <c r="EA72" s="30">
        <f t="shared" si="94"/>
        <v>-2602.67404293551</v>
      </c>
      <c r="EB72" s="30">
        <f t="shared" si="94"/>
        <v>-3069.6091157109176</v>
      </c>
      <c r="EC72" s="30">
        <f>-539-25</f>
        <v>-564</v>
      </c>
      <c r="ED72" s="57">
        <f>-412-339</f>
        <v>-751</v>
      </c>
    </row>
    <row r="73" spans="2:210" s="22" customFormat="1">
      <c r="B73" s="21" t="s">
        <v>3</v>
      </c>
      <c r="C73" s="30">
        <v>-276</v>
      </c>
      <c r="D73" s="30">
        <v>-401</v>
      </c>
      <c r="E73" s="30">
        <v>-370</v>
      </c>
      <c r="F73" s="30">
        <v>-206</v>
      </c>
      <c r="G73" s="30">
        <v>-383</v>
      </c>
      <c r="H73" s="30">
        <v>-244</v>
      </c>
      <c r="I73" s="30">
        <v>-187</v>
      </c>
      <c r="J73" s="30">
        <f>-382-I73</f>
        <v>-195</v>
      </c>
      <c r="K73" s="30">
        <v>478</v>
      </c>
      <c r="L73" s="30">
        <f>974-K73</f>
        <v>496</v>
      </c>
      <c r="M73" s="30">
        <v>479</v>
      </c>
      <c r="N73" s="30">
        <f>971-M73</f>
        <v>492</v>
      </c>
      <c r="O73" s="78">
        <v>447</v>
      </c>
      <c r="P73" s="78">
        <f>O73</f>
        <v>447</v>
      </c>
      <c r="Q73" s="78">
        <v>1035</v>
      </c>
      <c r="R73" s="78">
        <f>2460-Q73</f>
        <v>1425</v>
      </c>
      <c r="S73" s="78">
        <v>1508</v>
      </c>
      <c r="T73" s="78">
        <f>2829-S73</f>
        <v>1321</v>
      </c>
      <c r="U73" s="78"/>
      <c r="V73" s="78"/>
      <c r="W73" s="78"/>
      <c r="X73" s="78"/>
      <c r="Y73" s="30"/>
      <c r="Z73" s="78"/>
      <c r="AA73" s="78"/>
      <c r="AB73" s="78"/>
      <c r="AC73" s="78"/>
      <c r="AD73" s="78"/>
      <c r="AE73" s="52"/>
      <c r="AF73" s="52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17"/>
      <c r="DJ73" s="30"/>
      <c r="DK73" s="30">
        <v>-1165.1611044776121</v>
      </c>
      <c r="DL73" s="30">
        <v>-677</v>
      </c>
      <c r="DM73" s="30">
        <v>-627</v>
      </c>
      <c r="DN73" s="30">
        <v>985</v>
      </c>
      <c r="DO73" s="30">
        <f>SUM(K73:L73)</f>
        <v>974</v>
      </c>
      <c r="DP73" s="30">
        <f>N73+M73</f>
        <v>971</v>
      </c>
      <c r="DQ73" s="30">
        <v>887</v>
      </c>
      <c r="DR73" s="30">
        <f t="shared" si="93"/>
        <v>2460</v>
      </c>
      <c r="DS73" s="30">
        <f>T73+S73</f>
        <v>2829</v>
      </c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56"/>
      <c r="EE73" s="135"/>
      <c r="EF73" s="56"/>
      <c r="EG73" s="56"/>
    </row>
    <row r="74" spans="2:210" s="22" customFormat="1">
      <c r="B74" s="22" t="s">
        <v>15</v>
      </c>
      <c r="C74" s="32">
        <v>2464</v>
      </c>
      <c r="D74" s="32">
        <v>2655</v>
      </c>
      <c r="E74" s="32">
        <v>3435</v>
      </c>
      <c r="F74" s="32">
        <v>3133</v>
      </c>
      <c r="G74" s="32">
        <v>3330</v>
      </c>
      <c r="H74" s="32">
        <v>3135</v>
      </c>
      <c r="I74" s="32">
        <f t="shared" ref="I74:S74" si="95">I71+I72-I73</f>
        <v>5299</v>
      </c>
      <c r="J74" s="32">
        <f t="shared" si="95"/>
        <v>5797</v>
      </c>
      <c r="K74" s="32">
        <f t="shared" si="95"/>
        <v>6723</v>
      </c>
      <c r="L74" s="32">
        <f t="shared" si="95"/>
        <v>7036</v>
      </c>
      <c r="M74" s="32">
        <f t="shared" si="95"/>
        <v>9085</v>
      </c>
      <c r="N74" s="32">
        <f t="shared" si="95"/>
        <v>7776</v>
      </c>
      <c r="O74" s="32">
        <f t="shared" si="95"/>
        <v>7278</v>
      </c>
      <c r="P74" s="32">
        <f t="shared" si="95"/>
        <v>7092</v>
      </c>
      <c r="Q74" s="32">
        <f t="shared" si="95"/>
        <v>7419</v>
      </c>
      <c r="R74" s="32">
        <f t="shared" si="95"/>
        <v>6096</v>
      </c>
      <c r="S74" s="32">
        <f t="shared" si="95"/>
        <v>7550</v>
      </c>
      <c r="T74" s="32">
        <f>T71+T72-T73</f>
        <v>3591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107"/>
      <c r="AF74" s="107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5"/>
      <c r="DJ74" s="32"/>
      <c r="DK74" s="32">
        <v>6020.8388955223882</v>
      </c>
      <c r="DL74" s="32">
        <v>5119</v>
      </c>
      <c r="DM74" s="32">
        <v>6465</v>
      </c>
      <c r="DN74" s="32">
        <f t="shared" ref="DN74:EC74" si="96">DN71+DN72-DN73</f>
        <v>10461</v>
      </c>
      <c r="DO74" s="32">
        <f t="shared" si="96"/>
        <v>14969</v>
      </c>
      <c r="DP74" s="32">
        <f t="shared" si="96"/>
        <v>16861</v>
      </c>
      <c r="DQ74" s="32">
        <f t="shared" si="96"/>
        <v>14978</v>
      </c>
      <c r="DR74" s="32">
        <f t="shared" si="96"/>
        <v>13515</v>
      </c>
      <c r="DS74" s="32">
        <f>DS71+DS72-DS73</f>
        <v>11064</v>
      </c>
      <c r="DT74" s="32">
        <f t="shared" si="96"/>
        <v>11885</v>
      </c>
      <c r="DU74" s="32">
        <f t="shared" si="96"/>
        <v>-10353.99</v>
      </c>
      <c r="DV74" s="32">
        <f t="shared" si="96"/>
        <v>-10644.57072</v>
      </c>
      <c r="DW74" s="32">
        <f t="shared" si="96"/>
        <v>-10947.22221636</v>
      </c>
      <c r="DX74" s="32">
        <f t="shared" si="96"/>
        <v>-11262.39289149168</v>
      </c>
      <c r="DY74" s="32">
        <f t="shared" si="96"/>
        <v>-11590.548289969263</v>
      </c>
      <c r="DZ74" s="32">
        <f t="shared" si="96"/>
        <v>-11932.171748902987</v>
      </c>
      <c r="EA74" s="32">
        <f t="shared" si="96"/>
        <v>-12287.765073037044</v>
      </c>
      <c r="EB74" s="32">
        <f t="shared" si="96"/>
        <v>-12657.849235511436</v>
      </c>
      <c r="EC74" s="32">
        <f t="shared" si="96"/>
        <v>20972</v>
      </c>
      <c r="ED74" s="29">
        <f>ED71+ED72</f>
        <v>21146</v>
      </c>
      <c r="EE74" s="135"/>
      <c r="EF74" s="56"/>
      <c r="EG74" s="56"/>
    </row>
    <row r="75" spans="2:210" s="20" customFormat="1">
      <c r="B75" s="20" t="s">
        <v>5</v>
      </c>
      <c r="C75" s="30">
        <v>-658</v>
      </c>
      <c r="D75" s="30">
        <v>-661</v>
      </c>
      <c r="E75" s="30">
        <v>-835</v>
      </c>
      <c r="F75" s="30">
        <v>-810</v>
      </c>
      <c r="G75" s="30">
        <v>-806</v>
      </c>
      <c r="H75" s="30">
        <v>-799</v>
      </c>
      <c r="I75" s="30">
        <v>1095</v>
      </c>
      <c r="J75" s="30">
        <f>2224-I75</f>
        <v>1129</v>
      </c>
      <c r="K75" s="30">
        <v>1701</v>
      </c>
      <c r="L75" s="30">
        <f>3436-K75</f>
        <v>1735</v>
      </c>
      <c r="M75" s="30">
        <v>2115</v>
      </c>
      <c r="N75" s="30">
        <f>3867-M75</f>
        <v>1752</v>
      </c>
      <c r="O75" s="30">
        <v>1861</v>
      </c>
      <c r="P75" s="30"/>
      <c r="Q75" s="30">
        <v>1678</v>
      </c>
      <c r="R75" s="30">
        <f>2870-Q75</f>
        <v>1192</v>
      </c>
      <c r="S75" s="30">
        <v>1800</v>
      </c>
      <c r="T75" s="30">
        <f>2320-S75</f>
        <v>520</v>
      </c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107"/>
      <c r="AF75" s="107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108"/>
      <c r="CT75" s="108"/>
      <c r="CU75" s="108"/>
      <c r="CV75" s="108"/>
      <c r="CW75" s="108"/>
      <c r="CX75" s="108"/>
      <c r="CY75" s="108"/>
      <c r="CZ75" s="108"/>
      <c r="DA75" s="108"/>
      <c r="DB75" s="108"/>
      <c r="DC75" s="108"/>
      <c r="DD75" s="108"/>
      <c r="DE75" s="108"/>
      <c r="DF75" s="108"/>
      <c r="DG75" s="108"/>
      <c r="DH75" s="108"/>
      <c r="DI75" s="5"/>
      <c r="DJ75" s="30"/>
      <c r="DK75" s="30">
        <v>-1595</v>
      </c>
      <c r="DL75" s="30">
        <v>-1319</v>
      </c>
      <c r="DM75" s="30">
        <v>-1605</v>
      </c>
      <c r="DN75" s="30">
        <v>2284</v>
      </c>
      <c r="DO75" s="30">
        <f>SUM(K75:L75)</f>
        <v>3436</v>
      </c>
      <c r="DP75" s="30">
        <f>N75+M75</f>
        <v>3867</v>
      </c>
      <c r="DQ75" s="30">
        <v>3317</v>
      </c>
      <c r="DR75" s="30">
        <f>SUM(Q75:R75)</f>
        <v>2870</v>
      </c>
      <c r="DS75" s="30">
        <f>T75+S75</f>
        <v>2320</v>
      </c>
      <c r="DT75" s="30">
        <v>2341</v>
      </c>
      <c r="DU75" s="30">
        <f t="shared" ref="DU75:EB75" si="97">DU74*0.24</f>
        <v>-2484.9575999999997</v>
      </c>
      <c r="DV75" s="30">
        <f t="shared" si="97"/>
        <v>-2554.6969727999999</v>
      </c>
      <c r="DW75" s="30">
        <f t="shared" si="97"/>
        <v>-2627.3333319263998</v>
      </c>
      <c r="DX75" s="30">
        <f t="shared" si="97"/>
        <v>-2702.9742939580028</v>
      </c>
      <c r="DY75" s="30">
        <f t="shared" si="97"/>
        <v>-2781.7315895926231</v>
      </c>
      <c r="DZ75" s="30">
        <f t="shared" si="97"/>
        <v>-2863.7212197367166</v>
      </c>
      <c r="EA75" s="30">
        <f t="shared" si="97"/>
        <v>-2949.0636175288905</v>
      </c>
      <c r="EB75" s="30">
        <f t="shared" si="97"/>
        <v>-3037.8838165227444</v>
      </c>
      <c r="EC75" s="30">
        <v>3594</v>
      </c>
      <c r="ED75" s="28">
        <v>3075</v>
      </c>
      <c r="EE75" s="21"/>
      <c r="EF75" s="52"/>
      <c r="EG75" s="52"/>
    </row>
    <row r="76" spans="2:210" s="20" customFormat="1">
      <c r="B76" s="20" t="s">
        <v>6</v>
      </c>
      <c r="C76" s="30">
        <v>1806</v>
      </c>
      <c r="D76" s="30">
        <v>1994</v>
      </c>
      <c r="E76" s="30">
        <v>2600</v>
      </c>
      <c r="F76" s="30">
        <v>2323</v>
      </c>
      <c r="G76" s="30">
        <v>2524</v>
      </c>
      <c r="H76" s="30">
        <v>2336</v>
      </c>
      <c r="I76" s="30">
        <f t="shared" ref="I76:N76" si="98">I74-I75</f>
        <v>4204</v>
      </c>
      <c r="J76" s="30">
        <f t="shared" si="98"/>
        <v>4668</v>
      </c>
      <c r="K76" s="30">
        <f t="shared" si="98"/>
        <v>5022</v>
      </c>
      <c r="L76" s="30">
        <f t="shared" si="98"/>
        <v>5301</v>
      </c>
      <c r="M76" s="30">
        <f t="shared" si="98"/>
        <v>6970</v>
      </c>
      <c r="N76" s="30">
        <f t="shared" si="98"/>
        <v>6024</v>
      </c>
      <c r="O76" s="30">
        <f t="shared" ref="O76:T76" si="99">O74-O75</f>
        <v>5417</v>
      </c>
      <c r="P76" s="30">
        <f t="shared" si="99"/>
        <v>7092</v>
      </c>
      <c r="Q76" s="30">
        <f t="shared" si="99"/>
        <v>5741</v>
      </c>
      <c r="R76" s="30">
        <f t="shared" si="99"/>
        <v>4904</v>
      </c>
      <c r="S76" s="30">
        <f t="shared" si="99"/>
        <v>5750</v>
      </c>
      <c r="T76" s="30">
        <f t="shared" si="99"/>
        <v>3071</v>
      </c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107"/>
      <c r="AF76" s="107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/>
      <c r="CA76" s="108"/>
      <c r="CB76" s="108"/>
      <c r="CC76" s="108"/>
      <c r="CD76" s="108"/>
      <c r="CE76" s="108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/>
      <c r="CZ76" s="108"/>
      <c r="DA76" s="108"/>
      <c r="DB76" s="108"/>
      <c r="DC76" s="108"/>
      <c r="DD76" s="108"/>
      <c r="DE76" s="108"/>
      <c r="DF76" s="108"/>
      <c r="DG76" s="108"/>
      <c r="DH76" s="108"/>
      <c r="DI76" s="5"/>
      <c r="DJ76" s="30"/>
      <c r="DK76" s="30">
        <v>4425.8388955223882</v>
      </c>
      <c r="DL76" s="30">
        <v>3800</v>
      </c>
      <c r="DM76" s="30">
        <v>4860</v>
      </c>
      <c r="DN76" s="30">
        <f t="shared" ref="DN76:DW76" si="100">DN74-DN75</f>
        <v>8177</v>
      </c>
      <c r="DO76" s="30">
        <f t="shared" si="100"/>
        <v>11533</v>
      </c>
      <c r="DP76" s="30">
        <f t="shared" si="100"/>
        <v>12994</v>
      </c>
      <c r="DQ76" s="30">
        <f t="shared" si="100"/>
        <v>11661</v>
      </c>
      <c r="DR76" s="30">
        <f>DR74-DR75</f>
        <v>10645</v>
      </c>
      <c r="DS76" s="30">
        <f>DS74-DS75</f>
        <v>8744</v>
      </c>
      <c r="DT76" s="30">
        <f t="shared" si="100"/>
        <v>9544</v>
      </c>
      <c r="DU76" s="30">
        <f t="shared" si="100"/>
        <v>-7869.0324000000001</v>
      </c>
      <c r="DV76" s="30">
        <f t="shared" si="100"/>
        <v>-8089.8737471999993</v>
      </c>
      <c r="DW76" s="30">
        <f t="shared" si="100"/>
        <v>-8319.8888844335997</v>
      </c>
      <c r="DX76" s="30">
        <f t="shared" ref="DX76:EB76" si="101">DX74-DX75</f>
        <v>-8559.4185975336768</v>
      </c>
      <c r="DY76" s="30">
        <f t="shared" si="101"/>
        <v>-8808.8167003766393</v>
      </c>
      <c r="DZ76" s="30">
        <f t="shared" si="101"/>
        <v>-9068.4505291662699</v>
      </c>
      <c r="EA76" s="30">
        <f t="shared" si="101"/>
        <v>-9338.7014555081532</v>
      </c>
      <c r="EB76" s="30">
        <f t="shared" si="101"/>
        <v>-9619.9654189886915</v>
      </c>
      <c r="EC76" s="30">
        <f>EC74-EC75</f>
        <v>17378</v>
      </c>
      <c r="ED76" s="28">
        <f>ED74-ED75</f>
        <v>18071</v>
      </c>
      <c r="EE76" s="21"/>
      <c r="EF76" s="52"/>
      <c r="EG76" s="52"/>
    </row>
    <row r="77" spans="2:210" s="20" customFormat="1">
      <c r="B77" s="20" t="s">
        <v>4</v>
      </c>
      <c r="C77" s="30">
        <v>-185.5</v>
      </c>
      <c r="D77" s="30">
        <v>-243.5</v>
      </c>
      <c r="E77" s="30">
        <v>-274</v>
      </c>
      <c r="F77" s="30">
        <v>-306</v>
      </c>
      <c r="G77" s="30">
        <v>-262</v>
      </c>
      <c r="H77" s="30">
        <v>-276</v>
      </c>
      <c r="I77" s="30">
        <v>444</v>
      </c>
      <c r="J77" s="30">
        <f>943-I77</f>
        <v>499</v>
      </c>
      <c r="K77" s="30">
        <v>572</v>
      </c>
      <c r="L77" s="30">
        <f>1291-K77</f>
        <v>719</v>
      </c>
      <c r="M77" s="30">
        <v>943</v>
      </c>
      <c r="N77" s="30">
        <f>1676-M77</f>
        <v>733</v>
      </c>
      <c r="O77" s="30">
        <v>912</v>
      </c>
      <c r="P77" s="30">
        <f>O77</f>
        <v>912</v>
      </c>
      <c r="Q77" s="30">
        <v>578</v>
      </c>
      <c r="R77" s="30">
        <f>726-Q77</f>
        <v>148</v>
      </c>
      <c r="S77" s="30">
        <v>97</v>
      </c>
      <c r="T77" s="30">
        <f>225-S77</f>
        <v>128</v>
      </c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17"/>
      <c r="DJ77" s="30"/>
      <c r="DK77" s="30">
        <v>34</v>
      </c>
      <c r="DL77" s="30">
        <v>-429</v>
      </c>
      <c r="DM77" s="30">
        <v>-538</v>
      </c>
      <c r="DN77" s="30">
        <v>943</v>
      </c>
      <c r="DO77" s="30">
        <f>SUM(K77:L77)</f>
        <v>1291</v>
      </c>
      <c r="DP77" s="30">
        <f>N77+M77</f>
        <v>1676</v>
      </c>
      <c r="DQ77" s="30">
        <v>1875</v>
      </c>
      <c r="DR77" s="30">
        <f>SUM(Q77:R77)</f>
        <v>726</v>
      </c>
      <c r="DS77" s="30">
        <f>T77+S77</f>
        <v>225</v>
      </c>
      <c r="DT77" s="30">
        <v>201</v>
      </c>
      <c r="DU77" s="30"/>
      <c r="DV77" s="30"/>
      <c r="DW77" s="30"/>
      <c r="DX77" s="30"/>
      <c r="DY77" s="30"/>
      <c r="DZ77" s="30"/>
      <c r="EA77" s="30"/>
      <c r="EB77" s="30"/>
      <c r="EC77" s="30">
        <v>801</v>
      </c>
      <c r="ED77" s="28">
        <v>1033</v>
      </c>
      <c r="EE77" s="21"/>
      <c r="EF77" s="52"/>
      <c r="EG77" s="52"/>
    </row>
    <row r="78" spans="2:210" s="20" customFormat="1">
      <c r="B78" s="20" t="s">
        <v>20</v>
      </c>
      <c r="C78" s="30">
        <v>1620.5</v>
      </c>
      <c r="D78" s="30">
        <v>1750.5</v>
      </c>
      <c r="E78" s="30">
        <v>2326</v>
      </c>
      <c r="F78" s="30">
        <v>2017</v>
      </c>
      <c r="G78" s="30">
        <v>2262</v>
      </c>
      <c r="H78" s="30">
        <v>2060</v>
      </c>
      <c r="I78" s="30">
        <f t="shared" ref="I78:N78" si="102">I76-I77</f>
        <v>3760</v>
      </c>
      <c r="J78" s="30">
        <f t="shared" si="102"/>
        <v>4169</v>
      </c>
      <c r="K78" s="30">
        <f t="shared" si="102"/>
        <v>4450</v>
      </c>
      <c r="L78" s="30">
        <f t="shared" si="102"/>
        <v>4582</v>
      </c>
      <c r="M78" s="30">
        <f t="shared" si="102"/>
        <v>6027</v>
      </c>
      <c r="N78" s="30">
        <f t="shared" si="102"/>
        <v>5291</v>
      </c>
      <c r="O78" s="30">
        <f t="shared" ref="O78:T78" si="103">O76-O77</f>
        <v>4505</v>
      </c>
      <c r="P78" s="30">
        <f t="shared" si="103"/>
        <v>6180</v>
      </c>
      <c r="Q78" s="30">
        <f t="shared" si="103"/>
        <v>5163</v>
      </c>
      <c r="R78" s="30">
        <f t="shared" si="103"/>
        <v>4756</v>
      </c>
      <c r="S78" s="30">
        <f t="shared" si="103"/>
        <v>5653</v>
      </c>
      <c r="T78" s="30">
        <f t="shared" si="103"/>
        <v>2943</v>
      </c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17"/>
      <c r="DJ78" s="30"/>
      <c r="DK78" s="30">
        <v>4459.8388955223882</v>
      </c>
      <c r="DL78" s="30">
        <v>3371</v>
      </c>
      <c r="DM78" s="30">
        <v>4322</v>
      </c>
      <c r="DN78" s="30">
        <f t="shared" ref="DN78:EC78" si="104">DN76-DN77</f>
        <v>7234</v>
      </c>
      <c r="DO78" s="30">
        <f t="shared" si="104"/>
        <v>10242</v>
      </c>
      <c r="DP78" s="30">
        <f t="shared" si="104"/>
        <v>11318</v>
      </c>
      <c r="DQ78" s="30">
        <f t="shared" si="104"/>
        <v>9786</v>
      </c>
      <c r="DR78" s="30">
        <f>DR76-DR77</f>
        <v>9919</v>
      </c>
      <c r="DS78" s="30">
        <f>DS76-DS77</f>
        <v>8519</v>
      </c>
      <c r="DT78" s="30">
        <f t="shared" si="104"/>
        <v>9343</v>
      </c>
      <c r="DU78" s="30">
        <f t="shared" si="104"/>
        <v>-7869.0324000000001</v>
      </c>
      <c r="DV78" s="30">
        <f t="shared" si="104"/>
        <v>-8089.8737471999993</v>
      </c>
      <c r="DW78" s="30">
        <f t="shared" si="104"/>
        <v>-8319.8888844335997</v>
      </c>
      <c r="DX78" s="30">
        <f t="shared" si="104"/>
        <v>-8559.4185975336768</v>
      </c>
      <c r="DY78" s="30">
        <f t="shared" si="104"/>
        <v>-8808.8167003766393</v>
      </c>
      <c r="DZ78" s="30">
        <f t="shared" si="104"/>
        <v>-9068.4505291662699</v>
      </c>
      <c r="EA78" s="30">
        <f t="shared" si="104"/>
        <v>-9338.7014555081532</v>
      </c>
      <c r="EB78" s="30">
        <f t="shared" si="104"/>
        <v>-9619.9654189886915</v>
      </c>
      <c r="EC78" s="30">
        <f t="shared" si="104"/>
        <v>16577</v>
      </c>
      <c r="ED78" s="30">
        <f>ED76-ED77</f>
        <v>17038</v>
      </c>
      <c r="EE78" s="133">
        <f t="shared" ref="EE78:FI78" si="105">ED78*(1+$EG$85)</f>
        <v>17208.38</v>
      </c>
      <c r="EF78" s="30">
        <f t="shared" si="105"/>
        <v>17380.463800000001</v>
      </c>
      <c r="EG78" s="30">
        <f t="shared" si="105"/>
        <v>17554.268438000003</v>
      </c>
      <c r="EH78" s="37">
        <f t="shared" si="105"/>
        <v>17729.811122380004</v>
      </c>
      <c r="EI78" s="37">
        <f t="shared" si="105"/>
        <v>17907.109233603805</v>
      </c>
      <c r="EJ78" s="37">
        <f t="shared" si="105"/>
        <v>18086.180325939844</v>
      </c>
      <c r="EK78" s="37">
        <f t="shared" si="105"/>
        <v>18267.042129199242</v>
      </c>
      <c r="EL78" s="37">
        <f t="shared" si="105"/>
        <v>18449.712550491236</v>
      </c>
      <c r="EM78" s="37">
        <f t="shared" si="105"/>
        <v>18634.20967599615</v>
      </c>
      <c r="EN78" s="37">
        <f t="shared" si="105"/>
        <v>18820.551772756113</v>
      </c>
      <c r="EO78" s="37">
        <f t="shared" si="105"/>
        <v>19008.757290483674</v>
      </c>
      <c r="EP78" s="37">
        <f t="shared" si="105"/>
        <v>19198.844863388513</v>
      </c>
      <c r="EQ78" s="37">
        <f t="shared" si="105"/>
        <v>19390.833312022398</v>
      </c>
      <c r="ER78" s="37">
        <f t="shared" si="105"/>
        <v>19584.741645142622</v>
      </c>
      <c r="ES78" s="37">
        <f t="shared" si="105"/>
        <v>19780.589061594048</v>
      </c>
      <c r="ET78" s="37">
        <f t="shared" si="105"/>
        <v>19978.39495220999</v>
      </c>
      <c r="EU78" s="37">
        <f t="shared" si="105"/>
        <v>20178.178901732092</v>
      </c>
      <c r="EV78" s="37">
        <f t="shared" si="105"/>
        <v>20379.960690749413</v>
      </c>
      <c r="EW78" s="37">
        <f t="shared" si="105"/>
        <v>20583.760297656907</v>
      </c>
      <c r="EX78" s="37">
        <f t="shared" si="105"/>
        <v>20789.597900633475</v>
      </c>
      <c r="EY78" s="37">
        <f t="shared" si="105"/>
        <v>20997.493879639809</v>
      </c>
      <c r="EZ78" s="37">
        <f t="shared" si="105"/>
        <v>21207.468818436206</v>
      </c>
      <c r="FA78" s="37">
        <f t="shared" si="105"/>
        <v>21419.543506620568</v>
      </c>
      <c r="FB78" s="37">
        <f t="shared" si="105"/>
        <v>21633.738941686774</v>
      </c>
      <c r="FC78" s="37">
        <f t="shared" si="105"/>
        <v>21850.076331103643</v>
      </c>
      <c r="FD78" s="37">
        <f t="shared" si="105"/>
        <v>22068.577094414679</v>
      </c>
      <c r="FE78" s="37">
        <f t="shared" si="105"/>
        <v>22289.262865358825</v>
      </c>
      <c r="FF78" s="37">
        <f t="shared" si="105"/>
        <v>22512.155494012415</v>
      </c>
      <c r="FG78" s="37">
        <f t="shared" si="105"/>
        <v>22737.277048952539</v>
      </c>
      <c r="FH78" s="37">
        <f t="shared" si="105"/>
        <v>22964.649819442064</v>
      </c>
      <c r="FI78" s="37">
        <f t="shared" si="105"/>
        <v>23194.296317636483</v>
      </c>
      <c r="FJ78" s="37">
        <f t="shared" ref="FJ78:GO78" si="106">FI78*(1+$EG$85)</f>
        <v>23426.239280812846</v>
      </c>
      <c r="FK78" s="37">
        <f t="shared" si="106"/>
        <v>23660.501673620976</v>
      </c>
      <c r="FL78" s="37">
        <f t="shared" si="106"/>
        <v>23897.106690357185</v>
      </c>
      <c r="FM78" s="37">
        <f t="shared" si="106"/>
        <v>24136.077757260755</v>
      </c>
      <c r="FN78" s="37">
        <f t="shared" si="106"/>
        <v>24377.438534833364</v>
      </c>
      <c r="FO78" s="37">
        <f t="shared" si="106"/>
        <v>24621.212920181697</v>
      </c>
      <c r="FP78" s="37">
        <f t="shared" si="106"/>
        <v>24867.425049383513</v>
      </c>
      <c r="FQ78" s="37">
        <f t="shared" si="106"/>
        <v>25116.099299877347</v>
      </c>
      <c r="FR78" s="37">
        <f t="shared" si="106"/>
        <v>25367.260292876123</v>
      </c>
      <c r="FS78" s="37">
        <f t="shared" si="106"/>
        <v>25620.932895804883</v>
      </c>
      <c r="FT78" s="37">
        <f t="shared" si="106"/>
        <v>25877.142224762931</v>
      </c>
      <c r="FU78" s="37">
        <f t="shared" si="106"/>
        <v>26135.913647010559</v>
      </c>
      <c r="FV78" s="37">
        <f t="shared" si="106"/>
        <v>26397.272783480665</v>
      </c>
      <c r="FW78" s="37">
        <f t="shared" si="106"/>
        <v>26661.245511315472</v>
      </c>
      <c r="FX78" s="37">
        <f t="shared" si="106"/>
        <v>26927.857966428626</v>
      </c>
      <c r="FY78" s="37">
        <f t="shared" si="106"/>
        <v>27197.136546092912</v>
      </c>
      <c r="FZ78" s="37">
        <f t="shared" si="106"/>
        <v>27469.107911553841</v>
      </c>
      <c r="GA78" s="37">
        <f t="shared" si="106"/>
        <v>27743.79899066938</v>
      </c>
      <c r="GB78" s="37">
        <f t="shared" si="106"/>
        <v>28021.236980576075</v>
      </c>
      <c r="GC78" s="37">
        <f t="shared" si="106"/>
        <v>28301.449350381838</v>
      </c>
      <c r="GD78" s="37">
        <f t="shared" si="106"/>
        <v>28584.463843885656</v>
      </c>
      <c r="GE78" s="37">
        <f t="shared" si="106"/>
        <v>28870.308482324512</v>
      </c>
      <c r="GF78" s="37">
        <f t="shared" si="106"/>
        <v>29159.011567147758</v>
      </c>
      <c r="GG78" s="37">
        <f t="shared" si="106"/>
        <v>29450.601682819237</v>
      </c>
      <c r="GH78" s="37">
        <f t="shared" si="106"/>
        <v>29745.107699647429</v>
      </c>
      <c r="GI78" s="37">
        <f t="shared" si="106"/>
        <v>30042.558776643906</v>
      </c>
      <c r="GJ78" s="37">
        <f t="shared" si="106"/>
        <v>30342.984364410346</v>
      </c>
      <c r="GK78" s="37">
        <f t="shared" si="106"/>
        <v>30646.414208054448</v>
      </c>
      <c r="GL78" s="37">
        <f t="shared" si="106"/>
        <v>30952.878350134994</v>
      </c>
      <c r="GM78" s="37">
        <f t="shared" si="106"/>
        <v>31262.407133636345</v>
      </c>
      <c r="GN78" s="37">
        <f t="shared" si="106"/>
        <v>31575.031204972707</v>
      </c>
      <c r="GO78" s="37">
        <f t="shared" si="106"/>
        <v>31890.781517022435</v>
      </c>
      <c r="GP78" s="37">
        <f t="shared" ref="GP78:HB78" si="107">GO78*(1+$EG$85)</f>
        <v>32209.689332192658</v>
      </c>
      <c r="GQ78" s="37">
        <f t="shared" si="107"/>
        <v>32531.786225514585</v>
      </c>
      <c r="GR78" s="37">
        <f t="shared" si="107"/>
        <v>32857.104087769731</v>
      </c>
      <c r="GS78" s="37">
        <f t="shared" si="107"/>
        <v>33185.675128647425</v>
      </c>
      <c r="GT78" s="37">
        <f t="shared" si="107"/>
        <v>33517.5318799339</v>
      </c>
      <c r="GU78" s="37">
        <f t="shared" si="107"/>
        <v>33852.707198733238</v>
      </c>
      <c r="GV78" s="37">
        <f t="shared" si="107"/>
        <v>34191.234270720568</v>
      </c>
      <c r="GW78" s="37">
        <f t="shared" si="107"/>
        <v>34533.146613427773</v>
      </c>
      <c r="GX78" s="37">
        <f t="shared" si="107"/>
        <v>34878.478079562054</v>
      </c>
      <c r="GY78" s="37">
        <f t="shared" si="107"/>
        <v>35227.262860357674</v>
      </c>
      <c r="GZ78" s="37">
        <f t="shared" si="107"/>
        <v>35579.53548896125</v>
      </c>
      <c r="HA78" s="37">
        <f t="shared" si="107"/>
        <v>35935.330843850861</v>
      </c>
      <c r="HB78" s="37">
        <f t="shared" si="107"/>
        <v>36294.684152289366</v>
      </c>
    </row>
    <row r="79" spans="2:210" s="22" customFormat="1">
      <c r="B79" s="22" t="s">
        <v>21</v>
      </c>
      <c r="C79" s="58">
        <v>1.9072573266926225</v>
      </c>
      <c r="D79" s="58">
        <v>2.0566674424016758</v>
      </c>
      <c r="E79" s="58">
        <v>2.7278037383177569</v>
      </c>
      <c r="F79" s="58">
        <v>2.3449074074074074</v>
      </c>
      <c r="G79" s="58">
        <v>2.6395520047522396</v>
      </c>
      <c r="H79" s="58">
        <v>2.4104238397498516</v>
      </c>
      <c r="I79" s="58">
        <f t="shared" ref="I79:N79" si="108">I78/I80</f>
        <v>4.3591034019903718</v>
      </c>
      <c r="J79" s="58">
        <f t="shared" si="108"/>
        <v>4.8332718305579414</v>
      </c>
      <c r="K79" s="58">
        <f t="shared" si="108"/>
        <v>5.1590452496960513</v>
      </c>
      <c r="L79" s="58">
        <f t="shared" si="108"/>
        <v>5.3120776031701817</v>
      </c>
      <c r="M79" s="58">
        <f t="shared" si="108"/>
        <v>6.9873181393074386</v>
      </c>
      <c r="N79" s="58">
        <f t="shared" si="108"/>
        <v>6.1340468350880464</v>
      </c>
      <c r="O79" s="58">
        <f t="shared" ref="O79:T79" si="109">O78/O80</f>
        <v>5.2228087303102724</v>
      </c>
      <c r="P79" s="58">
        <f t="shared" si="109"/>
        <v>7.1646965490160897</v>
      </c>
      <c r="Q79" s="58">
        <f t="shared" si="109"/>
        <v>5.9856518256585876</v>
      </c>
      <c r="R79" s="58">
        <f t="shared" si="109"/>
        <v>5.5138020691133525</v>
      </c>
      <c r="S79" s="58">
        <f t="shared" si="109"/>
        <v>6.5537264711307364</v>
      </c>
      <c r="T79" s="58">
        <f t="shared" si="109"/>
        <v>3.4119258808663999</v>
      </c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A79" s="107"/>
      <c r="DB79" s="107"/>
      <c r="DC79" s="107"/>
      <c r="DD79" s="107"/>
      <c r="DE79" s="107"/>
      <c r="DF79" s="107"/>
      <c r="DG79" s="107"/>
      <c r="DH79" s="107"/>
      <c r="DI79" s="41"/>
      <c r="DJ79" s="58"/>
      <c r="DK79" s="58">
        <v>5.3184322359227147</v>
      </c>
      <c r="DL79" s="58">
        <v>3.9639115250291037</v>
      </c>
      <c r="DM79" s="58">
        <v>5.0502424081454445</v>
      </c>
      <c r="DN79" s="58">
        <v>6.1026426057431324</v>
      </c>
      <c r="DO79" s="58">
        <f t="shared" ref="DO79:DW79" si="110">DO78/DO80</f>
        <v>11.873919426379091</v>
      </c>
      <c r="DP79" s="58">
        <f t="shared" si="110"/>
        <v>13.121364974395485</v>
      </c>
      <c r="DQ79" s="58">
        <f>DQ78/DQ80</f>
        <v>11.345262205286643</v>
      </c>
      <c r="DR79" s="58">
        <f>DR78/DR80</f>
        <v>11.499453894771941</v>
      </c>
      <c r="DS79" s="58">
        <f>DS78/DS80</f>
        <v>9.8763834791372265</v>
      </c>
      <c r="DT79" s="58">
        <f t="shared" si="110"/>
        <v>10.831676352339372</v>
      </c>
      <c r="DU79" s="58">
        <f t="shared" si="110"/>
        <v>-9.1228526343650156</v>
      </c>
      <c r="DV79" s="58">
        <f t="shared" si="110"/>
        <v>-9.3788819609287533</v>
      </c>
      <c r="DW79" s="58">
        <f t="shared" si="110"/>
        <v>-9.6455467926373348</v>
      </c>
      <c r="DX79" s="58"/>
      <c r="DY79" s="58"/>
      <c r="DZ79" s="58"/>
      <c r="EA79" s="58"/>
      <c r="EB79" s="58"/>
      <c r="EC79" s="58"/>
      <c r="ED79" s="56"/>
      <c r="EE79" s="135"/>
      <c r="EF79" s="56"/>
      <c r="EG79" s="56"/>
    </row>
    <row r="80" spans="2:210" s="22" customFormat="1">
      <c r="B80" s="20" t="s">
        <v>42</v>
      </c>
      <c r="C80" s="30">
        <v>858.56269999999995</v>
      </c>
      <c r="D80" s="30">
        <v>859.4</v>
      </c>
      <c r="E80" s="30">
        <v>856</v>
      </c>
      <c r="F80" s="30">
        <v>864</v>
      </c>
      <c r="G80" s="30">
        <v>860.56269999999995</v>
      </c>
      <c r="H80" s="30">
        <v>858.56269999999995</v>
      </c>
      <c r="I80" s="30">
        <v>862.56269999999995</v>
      </c>
      <c r="J80" s="30">
        <v>862.56269999999995</v>
      </c>
      <c r="K80" s="30">
        <v>862.56269999999995</v>
      </c>
      <c r="L80" s="30">
        <v>862.56269999999995</v>
      </c>
      <c r="M80" s="30">
        <v>862.56269999999995</v>
      </c>
      <c r="N80" s="30">
        <v>862.56269999999995</v>
      </c>
      <c r="O80" s="30">
        <v>862.56269999999995</v>
      </c>
      <c r="P80" s="30">
        <f>O80</f>
        <v>862.56269999999995</v>
      </c>
      <c r="Q80" s="30">
        <f>P80</f>
        <v>862.56269999999995</v>
      </c>
      <c r="R80" s="30">
        <f>+Q80</f>
        <v>862.56269999999995</v>
      </c>
      <c r="S80" s="30">
        <f>+R80</f>
        <v>862.56269999999995</v>
      </c>
      <c r="T80" s="30">
        <f>+S80</f>
        <v>862.56269999999995</v>
      </c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111"/>
      <c r="AF80" s="111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/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/>
      <c r="CZ80" s="108"/>
      <c r="DA80" s="108"/>
      <c r="DB80" s="108"/>
      <c r="DC80" s="108"/>
      <c r="DD80" s="108"/>
      <c r="DE80" s="108"/>
      <c r="DF80" s="108"/>
      <c r="DG80" s="108"/>
      <c r="DH80" s="108"/>
      <c r="DI80" s="5"/>
      <c r="DJ80" s="30"/>
      <c r="DK80" s="30">
        <v>838.56269999999995</v>
      </c>
      <c r="DL80" s="30">
        <v>859</v>
      </c>
      <c r="DM80" s="30">
        <v>859.56269999999995</v>
      </c>
      <c r="DN80" s="30">
        <v>858</v>
      </c>
      <c r="DO80" s="30">
        <f>AVERAGE(M80:N80)</f>
        <v>862.56269999999995</v>
      </c>
      <c r="DP80" s="30">
        <f t="shared" ref="DP80:DW80" si="111">DO80</f>
        <v>862.56269999999995</v>
      </c>
      <c r="DQ80" s="30">
        <f t="shared" si="111"/>
        <v>862.56269999999995</v>
      </c>
      <c r="DR80" s="30">
        <f t="shared" si="111"/>
        <v>862.56269999999995</v>
      </c>
      <c r="DS80" s="30">
        <f>DR80</f>
        <v>862.56269999999995</v>
      </c>
      <c r="DT80" s="30">
        <f t="shared" si="111"/>
        <v>862.56269999999995</v>
      </c>
      <c r="DU80" s="30">
        <f t="shared" si="111"/>
        <v>862.56269999999995</v>
      </c>
      <c r="DV80" s="30">
        <f t="shared" si="111"/>
        <v>862.56269999999995</v>
      </c>
      <c r="DW80" s="30">
        <f t="shared" si="111"/>
        <v>862.56269999999995</v>
      </c>
      <c r="DX80" s="30"/>
      <c r="DY80" s="30"/>
      <c r="DZ80" s="30"/>
      <c r="EA80" s="30"/>
      <c r="EB80" s="30"/>
      <c r="EC80" s="30"/>
      <c r="ED80" s="56"/>
      <c r="EE80" s="135"/>
      <c r="EF80" s="56"/>
      <c r="EG80" s="56"/>
    </row>
    <row r="81" spans="2:139" s="22" customFormat="1">
      <c r="B81" s="2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111"/>
      <c r="AF81" s="111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8"/>
      <c r="CN81" s="108"/>
      <c r="CO81" s="108"/>
      <c r="CP81" s="108"/>
      <c r="CQ81" s="108"/>
      <c r="CR81" s="108"/>
      <c r="CS81" s="108"/>
      <c r="CT81" s="108"/>
      <c r="CU81" s="108"/>
      <c r="CV81" s="108"/>
      <c r="CW81" s="108"/>
      <c r="CX81" s="108"/>
      <c r="CY81" s="108"/>
      <c r="CZ81" s="108"/>
      <c r="DA81" s="108"/>
      <c r="DB81" s="108"/>
      <c r="DC81" s="108"/>
      <c r="DD81" s="108"/>
      <c r="DE81" s="108"/>
      <c r="DF81" s="108"/>
      <c r="DG81" s="108"/>
      <c r="DH81" s="108"/>
      <c r="DI81" s="5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56"/>
      <c r="EE81" s="135"/>
      <c r="EF81" s="56"/>
      <c r="EG81" s="56"/>
    </row>
    <row r="82" spans="2:139" s="20" customFormat="1">
      <c r="B82" s="20" t="s">
        <v>182</v>
      </c>
      <c r="C82" s="59"/>
      <c r="D82" s="59"/>
      <c r="E82" s="59"/>
      <c r="F82" s="59"/>
      <c r="G82" s="59"/>
      <c r="H82" s="59"/>
      <c r="I82" s="59"/>
      <c r="J82" s="59"/>
      <c r="K82" s="59"/>
      <c r="L82" s="30">
        <v>16088</v>
      </c>
      <c r="M82" s="30">
        <v>15626</v>
      </c>
      <c r="N82" s="30">
        <v>17336</v>
      </c>
      <c r="O82" s="30">
        <v>11171</v>
      </c>
      <c r="P82" s="30"/>
      <c r="Q82" s="30">
        <v>-31000</v>
      </c>
      <c r="R82" s="30">
        <f>Q82+R78</f>
        <v>-26244</v>
      </c>
      <c r="S82" s="30">
        <v>-27520</v>
      </c>
      <c r="T82" s="30">
        <v>-19200</v>
      </c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7"/>
      <c r="DJ82" s="30"/>
      <c r="DK82" s="30"/>
      <c r="DL82" s="30"/>
      <c r="DM82" s="30"/>
      <c r="DN82" s="30"/>
      <c r="DO82" s="30"/>
      <c r="DP82" s="30"/>
      <c r="DQ82" s="30">
        <f>N82</f>
        <v>17336</v>
      </c>
      <c r="DR82" s="30">
        <f>Q82+4000</f>
        <v>-27000</v>
      </c>
      <c r="DS82" s="30">
        <f>+T82</f>
        <v>-19200</v>
      </c>
      <c r="DT82" s="30">
        <f>DS82+DS78</f>
        <v>-10681</v>
      </c>
      <c r="DU82" s="30">
        <f t="shared" ref="DU82:DV82" si="112">DT82+DT78</f>
        <v>-1338</v>
      </c>
      <c r="DV82" s="30">
        <f t="shared" si="112"/>
        <v>-9207.0324000000001</v>
      </c>
      <c r="DW82" s="30">
        <f t="shared" ref="DW82:EB82" si="113">DV82+DV78</f>
        <v>-17296.906147199999</v>
      </c>
      <c r="DX82" s="30">
        <f t="shared" si="113"/>
        <v>-25616.795031633599</v>
      </c>
      <c r="DY82" s="30">
        <f t="shared" si="113"/>
        <v>-34176.21362916728</v>
      </c>
      <c r="DZ82" s="30">
        <f t="shared" si="113"/>
        <v>-42985.030329543923</v>
      </c>
      <c r="EA82" s="30">
        <f t="shared" si="113"/>
        <v>-52053.480858710194</v>
      </c>
      <c r="EB82" s="30">
        <f t="shared" si="113"/>
        <v>-61392.182314218349</v>
      </c>
      <c r="EC82" s="30"/>
      <c r="ED82" s="30"/>
      <c r="EE82" s="21"/>
    </row>
    <row r="83" spans="2:139" s="20" customFormat="1">
      <c r="C83" s="59"/>
      <c r="D83" s="59"/>
      <c r="E83" s="59"/>
      <c r="F83" s="59"/>
      <c r="G83" s="59"/>
      <c r="H83" s="59"/>
      <c r="I83" s="59"/>
      <c r="J83" s="59"/>
      <c r="K83" s="5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7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52"/>
      <c r="EE83" s="21"/>
    </row>
    <row r="84" spans="2:139" s="22" customFormat="1">
      <c r="B84" s="22" t="s">
        <v>8</v>
      </c>
      <c r="C84" s="34">
        <v>0.77400468384074939</v>
      </c>
      <c r="D84" s="34">
        <v>0.77732962447844223</v>
      </c>
      <c r="E84" s="34">
        <v>0.7801872504474735</v>
      </c>
      <c r="F84" s="34">
        <v>0.77574019738596955</v>
      </c>
      <c r="G84" s="34">
        <v>0.74115379319840291</v>
      </c>
      <c r="H84" s="34">
        <v>0.73606295012003198</v>
      </c>
      <c r="I84" s="85">
        <v>0.73841896282035857</v>
      </c>
      <c r="J84" s="85">
        <v>0.74</v>
      </c>
      <c r="K84" s="34">
        <f t="shared" ref="K84:P84" si="114">K65/K62</f>
        <v>0.78804977580734548</v>
      </c>
      <c r="L84" s="34">
        <f t="shared" si="114"/>
        <v>0.77726207642393652</v>
      </c>
      <c r="M84" s="34">
        <f t="shared" si="114"/>
        <v>0.77973452490471806</v>
      </c>
      <c r="N84" s="34">
        <f t="shared" si="114"/>
        <v>0.6776366600875311</v>
      </c>
      <c r="O84" s="34">
        <f t="shared" si="114"/>
        <v>0.75477185966187965</v>
      </c>
      <c r="P84" s="34">
        <f t="shared" si="114"/>
        <v>0.74683437089738702</v>
      </c>
      <c r="Q84" s="34">
        <f>Q65/Q62</f>
        <v>0.75072898442056157</v>
      </c>
      <c r="R84" s="34">
        <f>R65/R62</f>
        <v>0.74099777918781728</v>
      </c>
      <c r="S84" s="34">
        <f>S65/S62</f>
        <v>0.75677869784055851</v>
      </c>
      <c r="T84" s="34">
        <f>T65/T62</f>
        <v>0.75372249308209249</v>
      </c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56"/>
      <c r="AF84" s="56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9"/>
      <c r="DJ84" s="34"/>
      <c r="DK84" s="34">
        <f t="shared" ref="DK84:DQ84" si="115">DK65/DK62</f>
        <v>0.77042891122535107</v>
      </c>
      <c r="DL84" s="34">
        <f t="shared" si="115"/>
        <v>0.77576314821625603</v>
      </c>
      <c r="DM84" s="34">
        <f t="shared" si="115"/>
        <v>0.73856784770679496</v>
      </c>
      <c r="DN84" s="34">
        <f t="shared" si="115"/>
        <v>0.77874461434485087</v>
      </c>
      <c r="DO84" s="34">
        <f t="shared" si="115"/>
        <v>0.78235531980685524</v>
      </c>
      <c r="DP84" s="34">
        <f t="shared" si="115"/>
        <v>0.72815555025686607</v>
      </c>
      <c r="DQ84" s="34">
        <f t="shared" si="115"/>
        <v>0.75520306480425281</v>
      </c>
      <c r="DR84" s="137">
        <v>0.75800000000000001</v>
      </c>
      <c r="DS84" s="137">
        <f>+DR84+0.25%</f>
        <v>0.76049999999999995</v>
      </c>
      <c r="DT84" s="34">
        <f t="shared" ref="DT84" si="116">DT65/DT62</f>
        <v>0.75641296936352309</v>
      </c>
      <c r="DU84" s="34"/>
      <c r="DV84" s="34"/>
      <c r="DW84" s="34"/>
      <c r="DX84" s="34"/>
      <c r="DY84" s="34"/>
      <c r="DZ84" s="34"/>
      <c r="EA84" s="34"/>
      <c r="EB84" s="34"/>
      <c r="EC84" s="34">
        <f>EC65/EC62</f>
        <v>0.78487046276769024</v>
      </c>
      <c r="ED84" s="34">
        <f t="shared" ref="ED84" si="117">ED65/ED62</f>
        <v>0.75973312526870596</v>
      </c>
      <c r="EE84" s="135"/>
      <c r="EF84" s="101" t="s">
        <v>685</v>
      </c>
      <c r="EG84" s="60">
        <v>0.05</v>
      </c>
    </row>
    <row r="85" spans="2:139" s="20" customFormat="1">
      <c r="B85" s="20" t="s">
        <v>186</v>
      </c>
      <c r="C85" s="33">
        <v>0.2855581576893052</v>
      </c>
      <c r="D85" s="33">
        <v>0.289221140472879</v>
      </c>
      <c r="E85" s="33">
        <v>0.27419798981137272</v>
      </c>
      <c r="F85" s="33">
        <v>0.28620965590824221</v>
      </c>
      <c r="G85" s="33">
        <v>0.27536830510808208</v>
      </c>
      <c r="H85" s="33">
        <v>0.28927714057081888</v>
      </c>
      <c r="I85" s="33">
        <f t="shared" ref="I85:Q85" si="118">I66/I62</f>
        <v>0.26525087233786548</v>
      </c>
      <c r="J85" s="33">
        <f t="shared" si="118"/>
        <v>0.27613955212028163</v>
      </c>
      <c r="K85" s="33">
        <f t="shared" si="118"/>
        <v>0.26238097637160562</v>
      </c>
      <c r="L85" s="33">
        <f t="shared" si="118"/>
        <v>0.25450612833453495</v>
      </c>
      <c r="M85" s="33">
        <f t="shared" si="118"/>
        <v>0.24322074736058177</v>
      </c>
      <c r="N85" s="33">
        <f t="shared" si="118"/>
        <v>0.16197545696387197</v>
      </c>
      <c r="O85" s="33">
        <f t="shared" si="118"/>
        <v>0.19864570078167607</v>
      </c>
      <c r="P85" s="33">
        <f t="shared" si="118"/>
        <v>0.20323550586541311</v>
      </c>
      <c r="Q85" s="33">
        <f t="shared" si="118"/>
        <v>0.19024410564025659</v>
      </c>
      <c r="R85" s="33">
        <f>R66/R62</f>
        <v>0.19463832487309646</v>
      </c>
      <c r="S85" s="33">
        <f>S66/S62</f>
        <v>0.1845267088813119</v>
      </c>
      <c r="T85" s="33">
        <f>T66/T62</f>
        <v>0.21706856414986603</v>
      </c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107"/>
      <c r="AF85" s="107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5"/>
      <c r="DJ85" s="33"/>
      <c r="DK85" s="33">
        <v>0.3015038747794061</v>
      </c>
      <c r="DL85" s="33">
        <v>0.2874954027215888</v>
      </c>
      <c r="DM85" s="33">
        <v>0.28243343946887067</v>
      </c>
      <c r="DN85" s="33">
        <v>0.27400024467646372</v>
      </c>
      <c r="DO85" s="33">
        <v>0.27083787651550573</v>
      </c>
      <c r="DP85" s="33">
        <v>0.25664542132384005</v>
      </c>
      <c r="DQ85" s="33">
        <f>DQ66/DQ62</f>
        <v>0.19736134128231064</v>
      </c>
      <c r="DR85" s="33">
        <f>DR66/DR62</f>
        <v>0.19104748462546628</v>
      </c>
      <c r="DS85" s="33">
        <f t="shared" ref="DS85:EC85" si="119">DS66/DS62</f>
        <v>0.20048176478045895</v>
      </c>
      <c r="DT85" s="33">
        <f t="shared" si="119"/>
        <v>0.18925019397615855</v>
      </c>
      <c r="DU85" s="33">
        <f t="shared" si="119"/>
        <v>0.2618464116719243</v>
      </c>
      <c r="DV85" s="33">
        <f t="shared" si="119"/>
        <v>0.16863670158187261</v>
      </c>
      <c r="DW85" s="33">
        <f t="shared" si="119"/>
        <v>0.16455136005646626</v>
      </c>
      <c r="DX85" s="33">
        <f t="shared" si="119"/>
        <v>0.16249841921123978</v>
      </c>
      <c r="DY85" s="33">
        <f t="shared" si="119"/>
        <v>0.15897565705715799</v>
      </c>
      <c r="DZ85" s="33">
        <f t="shared" si="119"/>
        <v>0.1680111236814617</v>
      </c>
      <c r="EA85" s="33">
        <f t="shared" si="119"/>
        <v>0.16212897338195845</v>
      </c>
      <c r="EB85" s="33">
        <f t="shared" si="119"/>
        <v>0.14327935732103186</v>
      </c>
      <c r="EC85" s="33">
        <f t="shared" si="119"/>
        <v>0.16050271762426488</v>
      </c>
      <c r="ED85" s="33">
        <f t="shared" ref="ED85" si="120">ED66/ED62</f>
        <v>0.1503797710227544</v>
      </c>
      <c r="EE85" s="21"/>
      <c r="EF85" s="101" t="s">
        <v>288</v>
      </c>
      <c r="EG85" s="60">
        <v>0.01</v>
      </c>
      <c r="EI85" s="124" t="s">
        <v>684</v>
      </c>
    </row>
    <row r="86" spans="2:139" s="22" customFormat="1">
      <c r="B86" s="20" t="s">
        <v>185</v>
      </c>
      <c r="C86" s="33">
        <v>0.33497267759562843</v>
      </c>
      <c r="D86" s="33">
        <v>0.33977746870653686</v>
      </c>
      <c r="E86" s="33">
        <v>0.3208040754509156</v>
      </c>
      <c r="F86" s="33">
        <v>0.33428914377167246</v>
      </c>
      <c r="G86" s="33">
        <v>0.34827206388544679</v>
      </c>
      <c r="H86" s="33">
        <v>0.35769538543611629</v>
      </c>
      <c r="I86" s="33">
        <v>0.33413548309469376</v>
      </c>
      <c r="J86" s="33">
        <v>0.35242098296664276</v>
      </c>
      <c r="K86" s="33">
        <f t="shared" ref="K86:Q86" si="121">K67/K62</f>
        <v>5.40077585772583E-2</v>
      </c>
      <c r="L86" s="33">
        <f t="shared" si="121"/>
        <v>6.6240086517664026E-2</v>
      </c>
      <c r="M86" s="33">
        <f t="shared" si="121"/>
        <v>5.4190213343847202E-2</v>
      </c>
      <c r="N86" s="33">
        <f t="shared" si="121"/>
        <v>5.2175405474984983E-2</v>
      </c>
      <c r="O86" s="33">
        <f t="shared" si="121"/>
        <v>4.9491001636066172E-2</v>
      </c>
      <c r="P86" s="33">
        <f t="shared" si="121"/>
        <v>5.2640494642781518E-2</v>
      </c>
      <c r="Q86" s="33">
        <f t="shared" si="121"/>
        <v>4.0281596267599765E-2</v>
      </c>
      <c r="R86" s="33">
        <f>R67/R62</f>
        <v>4.7906091370558374E-2</v>
      </c>
      <c r="S86" s="33">
        <f>S67/S62</f>
        <v>3.5354765383990905E-2</v>
      </c>
      <c r="T86" s="33">
        <f>T67/T62</f>
        <v>8.7978214081785036E-2</v>
      </c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107"/>
      <c r="AF86" s="107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8"/>
      <c r="CN86" s="108"/>
      <c r="CO86" s="108"/>
      <c r="CP86" s="108"/>
      <c r="CQ86" s="108"/>
      <c r="CR86" s="108"/>
      <c r="CS86" s="108"/>
      <c r="CT86" s="108"/>
      <c r="CU86" s="108"/>
      <c r="CV86" s="108"/>
      <c r="CW86" s="108"/>
      <c r="CX86" s="108"/>
      <c r="CY86" s="108"/>
      <c r="CZ86" s="108"/>
      <c r="DA86" s="108"/>
      <c r="DB86" s="108"/>
      <c r="DC86" s="108"/>
      <c r="DD86" s="108"/>
      <c r="DE86" s="108"/>
      <c r="DF86" s="108"/>
      <c r="DG86" s="108"/>
      <c r="DH86" s="108"/>
      <c r="DI86" s="5"/>
      <c r="DJ86" s="33"/>
      <c r="DK86" s="33">
        <v>0.34727230875469961</v>
      </c>
      <c r="DL86" s="33">
        <v>0.33751379183523356</v>
      </c>
      <c r="DM86" s="33">
        <v>0.35305873585800418</v>
      </c>
      <c r="DN86" s="33">
        <v>0.34502251241079884</v>
      </c>
      <c r="DO86" s="33">
        <v>0.33891166000207307</v>
      </c>
      <c r="DP86" s="33">
        <v>0.32326238327340828</v>
      </c>
      <c r="DQ86" s="33">
        <f>DQ67/DQ62</f>
        <v>5.019047414071412E-2</v>
      </c>
      <c r="DR86" s="33">
        <f>DR67/DR62</f>
        <v>4.3855227341465873E-2</v>
      </c>
      <c r="DS86" s="33">
        <f t="shared" ref="DS86:EC86" si="122">DS67/DS62</f>
        <v>6.0727718378903776E-2</v>
      </c>
      <c r="DT86" s="33">
        <f t="shared" si="122"/>
        <v>5.5065716771296229E-2</v>
      </c>
      <c r="DU86" s="33">
        <f t="shared" si="122"/>
        <v>7.6188880126182967E-2</v>
      </c>
      <c r="DV86" s="33">
        <f t="shared" si="122"/>
        <v>4.9067853783668229E-2</v>
      </c>
      <c r="DW86" s="33">
        <f t="shared" si="122"/>
        <v>4.787915085752812E-2</v>
      </c>
      <c r="DX86" s="33">
        <f t="shared" si="122"/>
        <v>4.7281811130913592E-2</v>
      </c>
      <c r="DY86" s="33">
        <f t="shared" si="122"/>
        <v>4.6256800699200393E-2</v>
      </c>
      <c r="DZ86" s="33">
        <f t="shared" si="122"/>
        <v>4.8885830744438225E-2</v>
      </c>
      <c r="EA86" s="33">
        <f t="shared" si="122"/>
        <v>4.7174314282587483E-2</v>
      </c>
      <c r="EB86" s="33">
        <f t="shared" si="122"/>
        <v>4.1689682550112642E-2</v>
      </c>
      <c r="EC86" s="33">
        <f t="shared" si="122"/>
        <v>4.6739708176877046E-2</v>
      </c>
      <c r="ED86" s="33">
        <f t="shared" ref="ED86" si="123">ED67/ED62</f>
        <v>4.2403783379245552E-2</v>
      </c>
      <c r="EE86" s="135"/>
      <c r="EF86" s="101" t="s">
        <v>289</v>
      </c>
      <c r="EG86" s="60">
        <v>0.11</v>
      </c>
      <c r="EI86" s="62" t="s">
        <v>680</v>
      </c>
    </row>
    <row r="87" spans="2:139" s="20" customFormat="1">
      <c r="B87" s="35" t="s">
        <v>1</v>
      </c>
      <c r="C87" s="33">
        <v>0.16963309914129587</v>
      </c>
      <c r="D87" s="33">
        <v>0.17044506258692629</v>
      </c>
      <c r="E87" s="33">
        <v>0.16060856395428885</v>
      </c>
      <c r="F87" s="33">
        <v>0.18138170178714325</v>
      </c>
      <c r="G87" s="33">
        <v>0.16253614209004544</v>
      </c>
      <c r="H87" s="33">
        <v>0.18624966657775407</v>
      </c>
      <c r="I87" s="33">
        <v>0.1539525929491036</v>
      </c>
      <c r="J87" s="33">
        <v>0.18283130835135153</v>
      </c>
      <c r="K87" s="33">
        <f t="shared" ref="K87:Q87" si="124">K68/K62</f>
        <v>0.15431507884528187</v>
      </c>
      <c r="L87" s="33">
        <f t="shared" si="124"/>
        <v>0.15888608507570295</v>
      </c>
      <c r="M87" s="33">
        <f t="shared" si="124"/>
        <v>0.15924124939764314</v>
      </c>
      <c r="N87" s="33">
        <f t="shared" si="124"/>
        <v>0.20381017763666009</v>
      </c>
      <c r="O87" s="33">
        <f t="shared" si="124"/>
        <v>0.18664788220323578</v>
      </c>
      <c r="P87" s="33">
        <f t="shared" si="124"/>
        <v>0.20065218311946809</v>
      </c>
      <c r="Q87" s="33">
        <f t="shared" si="124"/>
        <v>0.18820294926268433</v>
      </c>
      <c r="R87" s="33">
        <f>R68/R62</f>
        <v>0.21240482233502539</v>
      </c>
      <c r="S87" s="33">
        <f>S68/S62</f>
        <v>0.18148238350381554</v>
      </c>
      <c r="T87" s="33">
        <f>T68/T62</f>
        <v>0.24399349936311326</v>
      </c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107"/>
      <c r="AF87" s="107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5"/>
      <c r="DJ87" s="33"/>
      <c r="DK87" s="33">
        <v>0.15852067827821684</v>
      </c>
      <c r="DL87" s="33">
        <v>0.17006252298639205</v>
      </c>
      <c r="DM87" s="33">
        <v>0.17458166790867827</v>
      </c>
      <c r="DN87" s="33">
        <v>0.16883613144566781</v>
      </c>
      <c r="DO87" s="33">
        <v>0.17008854048286479</v>
      </c>
      <c r="DP87" s="33">
        <v>0.16445100677776556</v>
      </c>
      <c r="DQ87" s="33">
        <f>DQ68/DQ62</f>
        <v>0.19036652820523858</v>
      </c>
      <c r="DR87" s="33">
        <f>DR68/DR62</f>
        <v>0.19909265046879726</v>
      </c>
      <c r="DS87" s="33">
        <f t="shared" ref="DS87:EC87" si="125">DS68/DS62</f>
        <v>0.21184972319655157</v>
      </c>
      <c r="DT87" s="33">
        <f t="shared" si="125"/>
        <v>0.19576309045167054</v>
      </c>
      <c r="DU87" s="33">
        <f t="shared" si="125"/>
        <v>0</v>
      </c>
      <c r="DV87" s="33">
        <f t="shared" si="125"/>
        <v>0</v>
      </c>
      <c r="DW87" s="33">
        <f t="shared" si="125"/>
        <v>0</v>
      </c>
      <c r="DX87" s="33">
        <f t="shared" si="125"/>
        <v>0</v>
      </c>
      <c r="DY87" s="33">
        <f t="shared" si="125"/>
        <v>0</v>
      </c>
      <c r="DZ87" s="33">
        <f t="shared" si="125"/>
        <v>0</v>
      </c>
      <c r="EA87" s="33">
        <f t="shared" si="125"/>
        <v>0</v>
      </c>
      <c r="EB87" s="33">
        <f t="shared" si="125"/>
        <v>0</v>
      </c>
      <c r="EC87" s="33">
        <f t="shared" si="125"/>
        <v>0.20837405483257035</v>
      </c>
      <c r="ED87" s="33">
        <f t="shared" ref="ED87" si="126">ED68/ED62</f>
        <v>0.21827677903218101</v>
      </c>
      <c r="EE87" s="21"/>
      <c r="EF87" s="138" t="s">
        <v>709</v>
      </c>
      <c r="EG87" s="30">
        <f>NPV(EG86,DV78:HE78)+Main!K5-Main!K6+DU78</f>
        <v>13928.006012798654</v>
      </c>
      <c r="EI87" s="62" t="s">
        <v>681</v>
      </c>
    </row>
    <row r="88" spans="2:139" s="22" customFormat="1">
      <c r="B88" s="22" t="s">
        <v>149</v>
      </c>
      <c r="C88" s="34">
        <v>0.22115534738485559</v>
      </c>
      <c r="D88" s="34">
        <v>0.20584144645340752</v>
      </c>
      <c r="E88" s="34">
        <v>0.25478452430125292</v>
      </c>
      <c r="F88" s="34">
        <v>0.21665777540677514</v>
      </c>
      <c r="G88" s="34">
        <v>0.24280600302905136</v>
      </c>
      <c r="H88" s="34">
        <v>0.21599093091491064</v>
      </c>
      <c r="I88" s="34">
        <v>0.26308506798219228</v>
      </c>
      <c r="J88" s="34">
        <v>0.22392567642135672</v>
      </c>
      <c r="K88" s="34">
        <f t="shared" ref="K88:R88" si="127">K71/K62</f>
        <v>0.31734596201319965</v>
      </c>
      <c r="L88" s="34">
        <f t="shared" si="127"/>
        <v>0.29762977649603461</v>
      </c>
      <c r="M88" s="34">
        <f t="shared" si="127"/>
        <v>0.37608971831602928</v>
      </c>
      <c r="N88" s="34">
        <f t="shared" si="127"/>
        <v>0.31931691409937357</v>
      </c>
      <c r="O88" s="34">
        <f t="shared" si="127"/>
        <v>0.31998727504090163</v>
      </c>
      <c r="P88" s="34">
        <f t="shared" si="127"/>
        <v>0.29030618726972429</v>
      </c>
      <c r="Q88" s="34">
        <f t="shared" si="127"/>
        <v>0.33200033325002082</v>
      </c>
      <c r="R88" s="34">
        <f t="shared" si="127"/>
        <v>0.28604854060913704</v>
      </c>
      <c r="S88" s="34">
        <f t="shared" ref="S88:T88" si="128">S71/S62</f>
        <v>0.35541484007144014</v>
      </c>
      <c r="T88" s="34">
        <f t="shared" si="128"/>
        <v>0.20468221548732815</v>
      </c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107"/>
      <c r="AF88" s="107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/>
      <c r="CA88" s="108"/>
      <c r="CB88" s="108"/>
      <c r="CC88" s="108"/>
      <c r="CD88" s="108"/>
      <c r="CE88" s="108"/>
      <c r="CF88" s="108"/>
      <c r="CG88" s="108"/>
      <c r="CH88" s="108"/>
      <c r="CI88" s="108"/>
      <c r="CJ88" s="108"/>
      <c r="CK88" s="108"/>
      <c r="CL88" s="108"/>
      <c r="CM88" s="108"/>
      <c r="CN88" s="108"/>
      <c r="CO88" s="108"/>
      <c r="CP88" s="108"/>
      <c r="CQ88" s="108"/>
      <c r="CR88" s="108"/>
      <c r="CS88" s="108"/>
      <c r="CT88" s="108"/>
      <c r="CU88" s="108"/>
      <c r="CV88" s="108"/>
      <c r="CW88" s="108"/>
      <c r="CX88" s="108"/>
      <c r="CY88" s="108"/>
      <c r="CZ88" s="108"/>
      <c r="DA88" s="108"/>
      <c r="DB88" s="108"/>
      <c r="DC88" s="108"/>
      <c r="DD88" s="108"/>
      <c r="DE88" s="108"/>
      <c r="DF88" s="108"/>
      <c r="DG88" s="108"/>
      <c r="DH88" s="108"/>
      <c r="DI88" s="5"/>
      <c r="DJ88" s="34"/>
      <c r="DK88" s="34">
        <v>0.20037596869485153</v>
      </c>
      <c r="DL88" s="34">
        <v>0.21305627068775285</v>
      </c>
      <c r="DM88" s="34">
        <v>0.22918501456540885</v>
      </c>
      <c r="DN88" s="34">
        <v>0.2429030652968388</v>
      </c>
      <c r="DO88" s="34">
        <f>DO71/DO62</f>
        <v>0.33571989248590661</v>
      </c>
      <c r="DP88" s="34">
        <f>DP71/DP62</f>
        <v>0.34740857954175969</v>
      </c>
      <c r="DQ88" s="34">
        <f>DQ71/DQ62</f>
        <v>0.31728472117598949</v>
      </c>
      <c r="DR88" s="34">
        <f>DR71/DR62</f>
        <v>0.30613973182780524</v>
      </c>
      <c r="DS88" s="34">
        <f t="shared" ref="DS88:EC88" si="129">DS71/DS62</f>
        <v>0.28185352660271312</v>
      </c>
      <c r="DT88" s="34">
        <f t="shared" si="129"/>
        <v>0.31633396816439774</v>
      </c>
      <c r="DU88" s="34">
        <f t="shared" si="129"/>
        <v>-0.33803529179810726</v>
      </c>
      <c r="DV88" s="34">
        <f t="shared" si="129"/>
        <v>-0.21770455536554084</v>
      </c>
      <c r="DW88" s="34">
        <f t="shared" si="129"/>
        <v>-0.21243051091399437</v>
      </c>
      <c r="DX88" s="34">
        <f t="shared" si="129"/>
        <v>-0.20978023034215337</v>
      </c>
      <c r="DY88" s="34">
        <f t="shared" si="129"/>
        <v>-0.20523245775635837</v>
      </c>
      <c r="DZ88" s="34">
        <f t="shared" si="129"/>
        <v>-0.21689695442589996</v>
      </c>
      <c r="EA88" s="34">
        <f t="shared" si="129"/>
        <v>-0.20930328766454592</v>
      </c>
      <c r="EB88" s="34">
        <f t="shared" si="129"/>
        <v>-0.18496903987114449</v>
      </c>
      <c r="EC88" s="34">
        <f t="shared" si="129"/>
        <v>0.36925398213397803</v>
      </c>
      <c r="ED88" s="34">
        <f t="shared" ref="ED88" si="130">ED71/ED62</f>
        <v>0.34867279183452493</v>
      </c>
      <c r="EE88" s="135"/>
      <c r="EF88" s="138" t="s">
        <v>710</v>
      </c>
      <c r="EG88" s="59">
        <f>EG87/Main!K3</f>
        <v>17.401241640521906</v>
      </c>
      <c r="EI88" s="62" t="s">
        <v>682</v>
      </c>
    </row>
    <row r="89" spans="2:139" s="20" customFormat="1">
      <c r="B89" s="20" t="s">
        <v>10</v>
      </c>
      <c r="C89" s="33">
        <v>0.1923497267759563</v>
      </c>
      <c r="D89" s="33">
        <v>0.18463143254520167</v>
      </c>
      <c r="E89" s="33">
        <v>0.23647253201156546</v>
      </c>
      <c r="F89" s="33">
        <v>0.20892237930114696</v>
      </c>
      <c r="G89" s="33">
        <v>0.22924411400247832</v>
      </c>
      <c r="H89" s="33">
        <v>0.20905574819951986</v>
      </c>
      <c r="I89" s="33">
        <v>0.26633377451570206</v>
      </c>
      <c r="J89" s="33">
        <v>0.21662116376542248</v>
      </c>
      <c r="K89" s="33"/>
      <c r="L89" s="33"/>
      <c r="M89" s="33"/>
      <c r="N89" s="33"/>
      <c r="O89" s="33"/>
      <c r="P89" s="33"/>
      <c r="Q89" s="33"/>
      <c r="R89" s="33">
        <f>R74/R62</f>
        <v>0.24175126903553298</v>
      </c>
      <c r="S89" s="33">
        <f>S74/S62</f>
        <v>0.30646208800129893</v>
      </c>
      <c r="T89" s="33">
        <f>T74/T62</f>
        <v>0.15772829094742391</v>
      </c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107"/>
      <c r="AF89" s="107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  <c r="CV89" s="108"/>
      <c r="CW89" s="108"/>
      <c r="CX89" s="108"/>
      <c r="CY89" s="108"/>
      <c r="CZ89" s="108"/>
      <c r="DA89" s="108"/>
      <c r="DB89" s="108"/>
      <c r="DC89" s="108"/>
      <c r="DD89" s="108"/>
      <c r="DE89" s="108"/>
      <c r="DF89" s="108"/>
      <c r="DG89" s="108"/>
      <c r="DH89" s="108"/>
      <c r="DI89" s="5"/>
      <c r="DJ89" s="33"/>
      <c r="DK89" s="33">
        <v>0.23098438178172287</v>
      </c>
      <c r="DL89" s="33">
        <v>0.18826774549466715</v>
      </c>
      <c r="DM89" s="33">
        <v>0.2189892283720615</v>
      </c>
      <c r="DN89" s="33">
        <v>0.24071284416750166</v>
      </c>
      <c r="DO89" s="33">
        <v>0.27114359566035856</v>
      </c>
      <c r="DP89" s="33">
        <v>0.30398791565649136</v>
      </c>
      <c r="DQ89" s="33">
        <f t="shared" ref="DQ89:EC89" si="131">DQ74/DQ62</f>
        <v>0.32236403159503263</v>
      </c>
      <c r="DR89" s="33">
        <f t="shared" si="131"/>
        <v>0.2725073092045569</v>
      </c>
      <c r="DS89" s="33">
        <f t="shared" si="131"/>
        <v>0.23378269872797194</v>
      </c>
      <c r="DT89" s="33">
        <f t="shared" si="131"/>
        <v>0.27944322964425949</v>
      </c>
      <c r="DU89" s="33">
        <f t="shared" si="131"/>
        <v>-0.34023363564668768</v>
      </c>
      <c r="DV89" s="33">
        <f t="shared" si="131"/>
        <v>-0.2275453339033775</v>
      </c>
      <c r="DW89" s="33">
        <f t="shared" si="131"/>
        <v>-0.23065235802031098</v>
      </c>
      <c r="DX89" s="33">
        <f t="shared" si="131"/>
        <v>-0.23669937352076836</v>
      </c>
      <c r="DY89" s="33">
        <f t="shared" si="131"/>
        <v>-0.24072251323951199</v>
      </c>
      <c r="DZ89" s="33">
        <f t="shared" si="131"/>
        <v>-0.26454797243931771</v>
      </c>
      <c r="EA89" s="33">
        <f t="shared" si="131"/>
        <v>-0.26554935001052543</v>
      </c>
      <c r="EB89" s="33">
        <f t="shared" si="131"/>
        <v>-0.24418560556188507</v>
      </c>
      <c r="EC89" s="33">
        <f t="shared" si="131"/>
        <v>0.35958369768358966</v>
      </c>
      <c r="ED89" s="33">
        <f t="shared" ref="ED89" si="132">ED74/ED62</f>
        <v>0.33671438352892469</v>
      </c>
      <c r="EE89" s="21"/>
      <c r="EF89" s="138" t="s">
        <v>711</v>
      </c>
      <c r="EG89" s="125">
        <f>EG88/Main!K2-1</f>
        <v>-0.94618450087978379</v>
      </c>
      <c r="EI89" s="62" t="s">
        <v>683</v>
      </c>
    </row>
    <row r="90" spans="2:139" s="20" customFormat="1">
      <c r="B90" s="20" t="s">
        <v>11</v>
      </c>
      <c r="C90" s="33">
        <v>0.26704545454545453</v>
      </c>
      <c r="D90" s="33">
        <v>0.24896421845574387</v>
      </c>
      <c r="E90" s="33">
        <v>0.2430858806404658</v>
      </c>
      <c r="F90" s="33">
        <v>0.25853814235556977</v>
      </c>
      <c r="G90" s="33">
        <v>0.24204204204204205</v>
      </c>
      <c r="H90" s="33">
        <v>0.25486443381180224</v>
      </c>
      <c r="I90" s="33">
        <v>0.24734583239213914</v>
      </c>
      <c r="J90" s="33">
        <v>0.25700000000000001</v>
      </c>
      <c r="K90" s="33">
        <f t="shared" ref="K90:R90" si="133">K75/K74</f>
        <v>0.25301204819277107</v>
      </c>
      <c r="L90" s="33">
        <f t="shared" si="133"/>
        <v>0.24658897100625354</v>
      </c>
      <c r="M90" s="33">
        <f t="shared" si="133"/>
        <v>0.23280132085855806</v>
      </c>
      <c r="N90" s="33">
        <f t="shared" si="133"/>
        <v>0.22530864197530864</v>
      </c>
      <c r="O90" s="33">
        <f t="shared" si="133"/>
        <v>0.25570211596592468</v>
      </c>
      <c r="P90" s="33">
        <f t="shared" si="133"/>
        <v>0</v>
      </c>
      <c r="Q90" s="33">
        <f t="shared" si="133"/>
        <v>0.2261760345059981</v>
      </c>
      <c r="R90" s="33">
        <f t="shared" si="133"/>
        <v>0.19553805774278216</v>
      </c>
      <c r="S90" s="33">
        <f t="shared" ref="S90:T90" si="134">S75/S74</f>
        <v>0.23841059602649006</v>
      </c>
      <c r="T90" s="33">
        <f t="shared" si="134"/>
        <v>0.14480646059593427</v>
      </c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107"/>
      <c r="AF90" s="107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  <c r="DH90" s="108"/>
      <c r="DI90" s="5"/>
      <c r="DJ90" s="33"/>
      <c r="DK90" s="33">
        <v>0.2649132500765265</v>
      </c>
      <c r="DL90" s="33">
        <v>0.25766751318616915</v>
      </c>
      <c r="DM90" s="33">
        <v>0.24825986078886311</v>
      </c>
      <c r="DN90" s="33">
        <v>0.25182342708389949</v>
      </c>
      <c r="DO90" s="33">
        <v>0.27200000000000002</v>
      </c>
      <c r="DP90" s="33">
        <v>0.28000000000000003</v>
      </c>
      <c r="DQ90" s="33">
        <f>DQ75/DQ74</f>
        <v>0.22145813860328481</v>
      </c>
      <c r="DR90" s="33">
        <f>DR75/DR74</f>
        <v>0.21235664076951535</v>
      </c>
      <c r="DS90" s="33">
        <f>DS75/DS74</f>
        <v>0.2096890817064353</v>
      </c>
      <c r="DT90" s="33">
        <f t="shared" ref="DT90:EB90" si="135">DT75/DT74</f>
        <v>0.19697097181320994</v>
      </c>
      <c r="DU90" s="33">
        <f t="shared" si="135"/>
        <v>0.24</v>
      </c>
      <c r="DV90" s="33">
        <f t="shared" si="135"/>
        <v>0.24</v>
      </c>
      <c r="DW90" s="33">
        <f t="shared" si="135"/>
        <v>0.24</v>
      </c>
      <c r="DX90" s="33">
        <f t="shared" si="135"/>
        <v>0.23999999999999996</v>
      </c>
      <c r="DY90" s="33">
        <f t="shared" si="135"/>
        <v>0.24</v>
      </c>
      <c r="DZ90" s="33">
        <f t="shared" si="135"/>
        <v>0.24</v>
      </c>
      <c r="EA90" s="33">
        <f t="shared" si="135"/>
        <v>0.24</v>
      </c>
      <c r="EB90" s="33">
        <f t="shared" si="135"/>
        <v>0.24</v>
      </c>
      <c r="EC90" s="33">
        <f>EC75/EC74</f>
        <v>0.17137135227922945</v>
      </c>
      <c r="ED90" s="33">
        <f t="shared" ref="ED90" si="136">ED75/ED74</f>
        <v>0.14541757306346353</v>
      </c>
      <c r="EE90" s="21"/>
      <c r="EF90" s="52"/>
      <c r="EG90" s="52"/>
    </row>
    <row r="91" spans="2:139" s="22" customFormat="1">
      <c r="B91" s="22" t="s">
        <v>20</v>
      </c>
      <c r="C91" s="34">
        <v>0.12782982045277128</v>
      </c>
      <c r="D91" s="34">
        <v>0.12291376912378303</v>
      </c>
      <c r="E91" s="34">
        <v>0.1607462481068429</v>
      </c>
      <c r="F91" s="34">
        <v>0.13510269405174713</v>
      </c>
      <c r="G91" s="34">
        <v>0.15637477626325211</v>
      </c>
      <c r="H91" s="34">
        <v>0.1380034675913577</v>
      </c>
      <c r="I91" s="34">
        <v>0.17350499338226447</v>
      </c>
      <c r="J91" s="34">
        <v>0.1330572899949157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107"/>
      <c r="AF91" s="107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8"/>
      <c r="CN91" s="108"/>
      <c r="CO91" s="108"/>
      <c r="CP91" s="108"/>
      <c r="CQ91" s="108"/>
      <c r="CR91" s="108"/>
      <c r="CS91" s="108"/>
      <c r="CT91" s="108"/>
      <c r="CU91" s="108"/>
      <c r="CV91" s="108"/>
      <c r="CW91" s="108"/>
      <c r="CX91" s="108"/>
      <c r="CY91" s="108"/>
      <c r="CZ91" s="108"/>
      <c r="DA91" s="108"/>
      <c r="DB91" s="108"/>
      <c r="DC91" s="108"/>
      <c r="DD91" s="108"/>
      <c r="DE91" s="108"/>
      <c r="DF91" s="108"/>
      <c r="DG91" s="108"/>
      <c r="DH91" s="108"/>
      <c r="DI91" s="5"/>
      <c r="DJ91" s="34"/>
      <c r="DK91" s="34">
        <v>0.17109793967322903</v>
      </c>
      <c r="DL91" s="34">
        <v>0.12522986392055904</v>
      </c>
      <c r="DM91" s="34">
        <v>0.14704288327349097</v>
      </c>
      <c r="DN91" s="34">
        <v>0.15265901938106788</v>
      </c>
      <c r="DO91" s="34">
        <v>0.16483039249577047</v>
      </c>
      <c r="DP91" s="34">
        <v>0.17561949193815188</v>
      </c>
      <c r="DQ91" s="34">
        <f t="shared" ref="DQ91:EB91" si="137">DQ78/DQ62</f>
        <v>0.2106192023760842</v>
      </c>
      <c r="DR91" s="34">
        <f t="shared" si="137"/>
        <v>0.2</v>
      </c>
      <c r="DS91" s="34">
        <f t="shared" si="137"/>
        <v>0.1800067616109538</v>
      </c>
      <c r="DT91" s="34">
        <f t="shared" si="137"/>
        <v>0.21967506054407374</v>
      </c>
      <c r="DU91" s="34">
        <f t="shared" si="137"/>
        <v>-0.25857756309148267</v>
      </c>
      <c r="DV91" s="34">
        <f t="shared" si="137"/>
        <v>-0.17293445376656688</v>
      </c>
      <c r="DW91" s="34">
        <f t="shared" si="137"/>
        <v>-0.17529579209543633</v>
      </c>
      <c r="DX91" s="34">
        <f t="shared" si="137"/>
        <v>-0.17989152387578397</v>
      </c>
      <c r="DY91" s="34">
        <f t="shared" si="137"/>
        <v>-0.1829491100620291</v>
      </c>
      <c r="DZ91" s="34">
        <f t="shared" si="137"/>
        <v>-0.20105645905388148</v>
      </c>
      <c r="EA91" s="34">
        <f t="shared" si="137"/>
        <v>-0.20181750600799933</v>
      </c>
      <c r="EB91" s="34">
        <f t="shared" si="137"/>
        <v>-0.18558106022703266</v>
      </c>
      <c r="EC91" s="34">
        <f>EC78/EC62</f>
        <v>0.28422749172710593</v>
      </c>
      <c r="ED91" s="34">
        <f>ED78/ED62</f>
        <v>0.27130141239789174</v>
      </c>
      <c r="EE91" s="135"/>
      <c r="EF91" s="56"/>
      <c r="EG91" s="56"/>
    </row>
    <row r="92" spans="2:139" s="20" customFormat="1">
      <c r="B92" s="20" t="s">
        <v>7</v>
      </c>
      <c r="C92" s="33">
        <v>0.11280249804839969</v>
      </c>
      <c r="D92" s="33">
        <v>0.11328233657858136</v>
      </c>
      <c r="E92" s="33">
        <v>0.19454770755885997</v>
      </c>
      <c r="F92" s="33">
        <v>0.10089357161909843</v>
      </c>
      <c r="G92" s="33">
        <v>0.18718160539721879</v>
      </c>
      <c r="H92" s="33">
        <v>9.8826353694318483E-2</v>
      </c>
      <c r="I92" s="33">
        <v>0.16827096618938756</v>
      </c>
      <c r="J92" s="33">
        <v>0.13251987160344253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107"/>
      <c r="AF92" s="107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/>
      <c r="CA92" s="108"/>
      <c r="CB92" s="108"/>
      <c r="CC92" s="108"/>
      <c r="CD92" s="108"/>
      <c r="CE92" s="108"/>
      <c r="CF92" s="108"/>
      <c r="CG92" s="108"/>
      <c r="CH92" s="108"/>
      <c r="CI92" s="108"/>
      <c r="CJ92" s="108"/>
      <c r="CK92" s="108"/>
      <c r="CL92" s="108"/>
      <c r="CM92" s="108"/>
      <c r="CN92" s="108"/>
      <c r="CO92" s="108"/>
      <c r="CP92" s="108"/>
      <c r="CQ92" s="108"/>
      <c r="CR92" s="108"/>
      <c r="CS92" s="108"/>
      <c r="CT92" s="108"/>
      <c r="CU92" s="108"/>
      <c r="CV92" s="108"/>
      <c r="CW92" s="108"/>
      <c r="CX92" s="108"/>
      <c r="CY92" s="108"/>
      <c r="CZ92" s="108"/>
      <c r="DA92" s="108"/>
      <c r="DB92" s="108"/>
      <c r="DC92" s="108"/>
      <c r="DD92" s="108"/>
      <c r="DE92" s="108"/>
      <c r="DF92" s="108"/>
      <c r="DG92" s="108"/>
      <c r="DH92" s="108"/>
      <c r="DI92" s="5"/>
      <c r="DJ92" s="33"/>
      <c r="DK92" s="33">
        <v>-4.0346087028221136E-2</v>
      </c>
      <c r="DL92" s="33">
        <v>0.11305627068775286</v>
      </c>
      <c r="DM92" s="33">
        <v>0.14230065713705034</v>
      </c>
      <c r="DN92" s="33">
        <v>0.15410220583112316</v>
      </c>
      <c r="DO92" s="33">
        <v>0.16469033218166365</v>
      </c>
      <c r="DP92" s="33">
        <v>0.17550225150897455</v>
      </c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52"/>
      <c r="EE92" s="21"/>
      <c r="EF92" s="52"/>
      <c r="EG92" s="52"/>
    </row>
    <row r="93" spans="2:139" s="20" customFormat="1">
      <c r="C93" s="28"/>
      <c r="D93" s="28"/>
      <c r="E93" s="28"/>
      <c r="F93" s="28"/>
      <c r="G93" s="28"/>
      <c r="H93" s="28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107"/>
      <c r="AF93" s="107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  <c r="BW93" s="108"/>
      <c r="BX93" s="108"/>
      <c r="BY93" s="108"/>
      <c r="BZ93" s="108"/>
      <c r="CA93" s="108"/>
      <c r="CB93" s="108"/>
      <c r="CC93" s="108"/>
      <c r="CD93" s="108"/>
      <c r="CE93" s="108"/>
      <c r="CF93" s="108"/>
      <c r="CG93" s="108"/>
      <c r="CH93" s="108"/>
      <c r="CI93" s="108"/>
      <c r="CJ93" s="108"/>
      <c r="CK93" s="108"/>
      <c r="CL93" s="108"/>
      <c r="CM93" s="108"/>
      <c r="CN93" s="108"/>
      <c r="CO93" s="108"/>
      <c r="CP93" s="108"/>
      <c r="CQ93" s="108"/>
      <c r="CR93" s="108"/>
      <c r="CS93" s="108"/>
      <c r="CT93" s="108"/>
      <c r="CU93" s="108"/>
      <c r="CV93" s="108"/>
      <c r="CW93" s="108"/>
      <c r="CX93" s="108"/>
      <c r="CY93" s="108"/>
      <c r="CZ93" s="108"/>
      <c r="DA93" s="108"/>
      <c r="DB93" s="108"/>
      <c r="DC93" s="108"/>
      <c r="DD93" s="108"/>
      <c r="DE93" s="108"/>
      <c r="DF93" s="108"/>
      <c r="DG93" s="108"/>
      <c r="DH93" s="108"/>
      <c r="DI93" s="5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52"/>
      <c r="EE93" s="21"/>
      <c r="EF93" s="52"/>
      <c r="EG93" s="52"/>
    </row>
    <row r="94" spans="2:139" s="22" customFormat="1">
      <c r="B94" s="22" t="s">
        <v>184</v>
      </c>
      <c r="C94" s="87" t="s">
        <v>12</v>
      </c>
      <c r="D94" s="87" t="s">
        <v>12</v>
      </c>
      <c r="E94" s="34">
        <v>0.13395784543325528</v>
      </c>
      <c r="F94" s="34">
        <v>4.2837273991655156E-2</v>
      </c>
      <c r="G94" s="87" t="s">
        <v>12</v>
      </c>
      <c r="H94" s="87" t="s">
        <v>12</v>
      </c>
      <c r="I94" s="34">
        <v>0.14429299187663491</v>
      </c>
      <c r="J94" s="34">
        <v>7.3267007224671055E-2</v>
      </c>
      <c r="K94" s="34">
        <f t="shared" ref="K94:T94" si="138">K62/I62-1</f>
        <v>0.19414029599326188</v>
      </c>
      <c r="L94" s="34">
        <f t="shared" si="138"/>
        <v>0.17486367727248653</v>
      </c>
      <c r="M94" s="34">
        <f t="shared" si="138"/>
        <v>0.1500327472416747</v>
      </c>
      <c r="N94" s="34">
        <f t="shared" si="138"/>
        <v>5.0198269646719584E-2</v>
      </c>
      <c r="O94" s="34">
        <f t="shared" si="138"/>
        <v>-3.6053795943400413E-2</v>
      </c>
      <c r="P94" s="34">
        <f t="shared" si="138"/>
        <v>1.3172573586200942E-2</v>
      </c>
      <c r="Q94" s="34">
        <f t="shared" si="138"/>
        <v>9.0983457553172054E-2</v>
      </c>
      <c r="R94" s="34">
        <f t="shared" si="138"/>
        <v>6.7886333799178411E-2</v>
      </c>
      <c r="S94" s="34">
        <f t="shared" si="138"/>
        <v>2.6243439140214875E-2</v>
      </c>
      <c r="T94" s="34">
        <f t="shared" si="138"/>
        <v>-9.7120875634517767E-2</v>
      </c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56"/>
      <c r="AF94" s="56"/>
      <c r="AG94" s="112"/>
      <c r="AH94" s="112"/>
      <c r="AI94" s="112"/>
      <c r="AJ94" s="112"/>
      <c r="AK94" s="112"/>
      <c r="AL94" s="112"/>
      <c r="AM94" s="112"/>
      <c r="AN94" s="112"/>
      <c r="AO94" s="91"/>
      <c r="AP94" s="91"/>
      <c r="AQ94" s="91"/>
      <c r="AR94" s="91"/>
      <c r="AS94" s="91"/>
      <c r="AT94" s="91"/>
      <c r="AU94" s="91"/>
      <c r="AV94" s="91"/>
      <c r="AW94" s="91"/>
      <c r="AX94" s="91">
        <f t="shared" ref="AX94:AY94" si="139">AX62/AT62-1</f>
        <v>2.3527361449982021E-3</v>
      </c>
      <c r="AY94" s="91">
        <f t="shared" si="139"/>
        <v>-1.7546658159196538E-3</v>
      </c>
      <c r="AZ94" s="91">
        <f t="shared" ref="AZ94:BE94" si="140">AZ62/AV62-1</f>
        <v>6.0909583107742193E-2</v>
      </c>
      <c r="BA94" s="91">
        <f t="shared" si="140"/>
        <v>0.1108959690195388</v>
      </c>
      <c r="BB94" s="91">
        <f t="shared" si="140"/>
        <v>9.2236807789272346E-2</v>
      </c>
      <c r="BC94" s="91">
        <f t="shared" si="140"/>
        <v>1.0866091403004097E-2</v>
      </c>
      <c r="BD94" s="91">
        <f t="shared" si="140"/>
        <v>-6.1835502253976382E-2</v>
      </c>
      <c r="BE94" s="91">
        <f t="shared" si="140"/>
        <v>-1.8301378545396929E-2</v>
      </c>
      <c r="BF94" s="91">
        <f t="shared" ref="BF94" si="141">BF62/BB62-1</f>
        <v>-8.5402737981534527E-2</v>
      </c>
      <c r="BG94" s="91">
        <f t="shared" ref="BG94" si="142">BG62/BC62-1</f>
        <v>-0.10322478659500478</v>
      </c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9"/>
      <c r="DJ94" s="34"/>
      <c r="DK94" s="34"/>
      <c r="DL94" s="34">
        <v>4.3121307450318502E-2</v>
      </c>
      <c r="DM94" s="34"/>
      <c r="DN94" s="34">
        <f t="shared" ref="DN94:DO94" si="143">DN62/DM62-1</f>
        <v>0.20286565950816349</v>
      </c>
      <c r="DO94" s="34">
        <f t="shared" si="143"/>
        <v>0.18388668299963395</v>
      </c>
      <c r="DP94" s="34">
        <f>DP62/DO62-1</f>
        <v>9.733355533883592E-2</v>
      </c>
      <c r="DQ94" s="34">
        <f>DQ62/DP62-1</f>
        <v>7.1532308759456598E-3</v>
      </c>
      <c r="DR94" s="34">
        <f>DR62/DQ62-1</f>
        <v>6.7408475561199221E-2</v>
      </c>
      <c r="DS94" s="34">
        <f>DS62/DR62-1</f>
        <v>-4.5750579695533866E-2</v>
      </c>
      <c r="DT94" s="34">
        <f t="shared" ref="DT94:DV94" si="144">DT62/DS62-1</f>
        <v>-0.10131851413599291</v>
      </c>
      <c r="DU94" s="34">
        <f t="shared" si="144"/>
        <v>-0.28447485363617131</v>
      </c>
      <c r="DV94" s="34">
        <f t="shared" si="144"/>
        <v>0.53719768664563627</v>
      </c>
      <c r="DW94" s="34">
        <f t="shared" ref="DW94" si="145">DW62/DV62-1</f>
        <v>1.4578879863189398E-2</v>
      </c>
      <c r="DX94" s="34">
        <f t="shared" ref="DX94" si="146">DX62/DW62-1</f>
        <v>2.5072689730731845E-3</v>
      </c>
      <c r="DY94" s="34">
        <f t="shared" ref="DY94" si="147">DY62/DX62-1</f>
        <v>1.1937538092936295E-2</v>
      </c>
      <c r="DZ94" s="34">
        <f t="shared" ref="DZ94" si="148">DZ62/DY62-1</f>
        <v>-6.3241188809736393E-2</v>
      </c>
      <c r="EA94" s="34">
        <f t="shared" ref="EA94" si="149">EA62/DZ62-1</f>
        <v>2.5917878680383089E-2</v>
      </c>
      <c r="EB94" s="34">
        <f t="shared" ref="EB94" si="150">EB62/EA62-1</f>
        <v>0.12024290623041511</v>
      </c>
      <c r="EC94" s="34">
        <f t="shared" ref="EC94" si="151">EC62/EB62-1</f>
        <v>0.12512298165403091</v>
      </c>
      <c r="ED94" s="34">
        <f t="shared" ref="ED94" si="152">ED62/EC62-1</f>
        <v>7.6779315192976982E-2</v>
      </c>
      <c r="EE94" s="135"/>
      <c r="EF94" s="56"/>
      <c r="EG94" s="56"/>
    </row>
    <row r="95" spans="2:139" s="22" customFormat="1">
      <c r="B95" s="22" t="s">
        <v>338</v>
      </c>
      <c r="C95" s="87"/>
      <c r="D95" s="87"/>
      <c r="E95" s="34"/>
      <c r="F95" s="34"/>
      <c r="G95" s="87"/>
      <c r="H95" s="87"/>
      <c r="I95" s="34"/>
      <c r="J95" s="34"/>
      <c r="K95" s="34"/>
      <c r="L95" s="34"/>
      <c r="M95" s="34"/>
      <c r="N95" s="34"/>
      <c r="O95" s="34"/>
      <c r="P95" s="34"/>
      <c r="Q95" s="34">
        <v>0.1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56"/>
      <c r="AF95" s="56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91"/>
      <c r="BA95" s="112"/>
      <c r="BB95" s="91">
        <v>0.14000000000000001</v>
      </c>
      <c r="BC95" s="112"/>
      <c r="BD95" s="91">
        <v>0.09</v>
      </c>
      <c r="BE95" s="91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9"/>
      <c r="DJ95" s="34"/>
      <c r="DK95" s="34"/>
      <c r="DL95" s="34"/>
      <c r="DM95" s="34"/>
      <c r="DN95" s="34"/>
      <c r="DO95" s="34">
        <v>0.17399999999999999</v>
      </c>
      <c r="DP95" s="34">
        <v>0.10199999999999999</v>
      </c>
      <c r="DQ95" s="34">
        <v>5.8999999999999997E-2</v>
      </c>
      <c r="DR95" s="34">
        <v>0.1</v>
      </c>
      <c r="DS95" s="34">
        <v>0</v>
      </c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56"/>
      <c r="EE95" s="135"/>
      <c r="EF95" s="56"/>
      <c r="EG95" s="56"/>
    </row>
    <row r="96" spans="2:139" s="22" customFormat="1">
      <c r="B96" s="22" t="s">
        <v>339</v>
      </c>
      <c r="C96" s="87"/>
      <c r="D96" s="87"/>
      <c r="E96" s="34"/>
      <c r="F96" s="34"/>
      <c r="G96" s="87"/>
      <c r="H96" s="87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56"/>
      <c r="AF96" s="56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91"/>
      <c r="BA96" s="112"/>
      <c r="BB96" s="91">
        <v>0.15</v>
      </c>
      <c r="BC96" s="112"/>
      <c r="BD96" s="91">
        <v>0.1</v>
      </c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9"/>
      <c r="DJ96" s="34"/>
      <c r="DK96" s="34"/>
      <c r="DL96" s="34"/>
      <c r="DM96" s="34"/>
      <c r="DN96" s="34"/>
      <c r="DO96" s="34"/>
      <c r="DP96" s="34">
        <v>0.114</v>
      </c>
      <c r="DQ96" s="34">
        <v>4.7E-2</v>
      </c>
      <c r="DR96" s="34">
        <v>0.11</v>
      </c>
      <c r="DS96" s="34">
        <v>-0.02</v>
      </c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56"/>
      <c r="EE96" s="135"/>
      <c r="EF96" s="56"/>
      <c r="EG96" s="56"/>
    </row>
    <row r="97" spans="2:137" s="22" customFormat="1">
      <c r="B97" s="22" t="s">
        <v>729</v>
      </c>
      <c r="C97" s="87"/>
      <c r="D97" s="87"/>
      <c r="E97" s="34"/>
      <c r="F97" s="34"/>
      <c r="G97" s="87"/>
      <c r="H97" s="87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56"/>
      <c r="AF97" s="56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91"/>
      <c r="BA97" s="112"/>
      <c r="BB97" s="91"/>
      <c r="BC97" s="112"/>
      <c r="BD97" s="91"/>
      <c r="BE97" s="112"/>
      <c r="BF97" s="112"/>
      <c r="BG97" s="91">
        <v>0.1</v>
      </c>
      <c r="BH97" s="91">
        <v>7.0000000000000007E-2</v>
      </c>
      <c r="BI97" s="91">
        <v>0.06</v>
      </c>
      <c r="BJ97" s="91">
        <v>7.0000000000000007E-2</v>
      </c>
      <c r="BK97" s="91">
        <v>0.1</v>
      </c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9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56"/>
      <c r="EE97" s="135"/>
      <c r="EF97" s="56"/>
      <c r="EG97" s="56"/>
    </row>
    <row r="98" spans="2:137" s="22" customFormat="1">
      <c r="B98" s="22" t="s">
        <v>730</v>
      </c>
      <c r="C98" s="87"/>
      <c r="D98" s="87"/>
      <c r="E98" s="34"/>
      <c r="F98" s="34"/>
      <c r="G98" s="87"/>
      <c r="H98" s="87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56"/>
      <c r="AF98" s="56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91"/>
      <c r="BA98" s="112"/>
      <c r="BB98" s="91"/>
      <c r="BC98" s="112"/>
      <c r="BD98" s="91"/>
      <c r="BE98" s="112"/>
      <c r="BF98" s="112"/>
      <c r="BG98" s="91">
        <v>0.02</v>
      </c>
      <c r="BH98" s="91">
        <v>-0.06</v>
      </c>
      <c r="BI98" s="91">
        <v>-0.09</v>
      </c>
      <c r="BJ98" s="91">
        <v>-0.1</v>
      </c>
      <c r="BK98" s="91">
        <v>-0.02</v>
      </c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9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56"/>
      <c r="EE98" s="135"/>
      <c r="EF98" s="56"/>
      <c r="EG98" s="56"/>
    </row>
    <row r="99" spans="2:137" s="22" customFormat="1">
      <c r="B99" s="22" t="s">
        <v>731</v>
      </c>
      <c r="C99" s="87"/>
      <c r="D99" s="87"/>
      <c r="E99" s="34"/>
      <c r="F99" s="34"/>
      <c r="G99" s="87"/>
      <c r="H99" s="87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56"/>
      <c r="AF99" s="56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91"/>
      <c r="BA99" s="112"/>
      <c r="BB99" s="91"/>
      <c r="BC99" s="112"/>
      <c r="BD99" s="91"/>
      <c r="BE99" s="112"/>
      <c r="BF99" s="112"/>
      <c r="BG99" s="91">
        <v>0.05</v>
      </c>
      <c r="BH99" s="91">
        <v>0.08</v>
      </c>
      <c r="BI99" s="91">
        <v>0.12</v>
      </c>
      <c r="BJ99" s="91">
        <v>0.04</v>
      </c>
      <c r="BK99" s="91">
        <v>0.14000000000000001</v>
      </c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9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56"/>
      <c r="EE99" s="135"/>
      <c r="EF99" s="56"/>
      <c r="EG99" s="56"/>
    </row>
    <row r="100" spans="2:137" s="22" customFormat="1">
      <c r="B100" s="62" t="s">
        <v>706</v>
      </c>
      <c r="C100" s="87"/>
      <c r="D100" s="87"/>
      <c r="E100" s="34"/>
      <c r="F100" s="34"/>
      <c r="G100" s="87"/>
      <c r="H100" s="87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56"/>
      <c r="AF100" s="56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91"/>
      <c r="BA100" s="112"/>
      <c r="BB100" s="91"/>
      <c r="BC100" s="112"/>
      <c r="BD100" s="91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9"/>
      <c r="DJ100" s="34"/>
      <c r="DK100" s="34"/>
      <c r="DL100" s="34"/>
      <c r="DM100" s="34"/>
      <c r="DN100" s="34"/>
      <c r="DO100" s="34"/>
      <c r="DP100" s="93">
        <f t="shared" ref="DP100:ED100" si="153">DP6/DO6-1</f>
        <v>6.8937921573110739E-2</v>
      </c>
      <c r="DQ100" s="93">
        <f t="shared" si="153"/>
        <v>3.2727272727272716E-2</v>
      </c>
      <c r="DR100" s="93">
        <f t="shared" si="153"/>
        <v>4.1321458160729074E-2</v>
      </c>
      <c r="DS100" s="93">
        <f t="shared" si="153"/>
        <v>3.5803083043262074E-2</v>
      </c>
      <c r="DT100" s="93">
        <f t="shared" si="153"/>
        <v>-6.5098415746519422E-2</v>
      </c>
      <c r="DU100" s="93">
        <f t="shared" si="153"/>
        <v>-1</v>
      </c>
      <c r="DV100" s="93" t="e">
        <f t="shared" si="153"/>
        <v>#DIV/0!</v>
      </c>
      <c r="DW100" s="93" t="e">
        <f t="shared" si="153"/>
        <v>#DIV/0!</v>
      </c>
      <c r="DX100" s="93" t="e">
        <f t="shared" si="153"/>
        <v>#DIV/0!</v>
      </c>
      <c r="DY100" s="93" t="e">
        <f t="shared" si="153"/>
        <v>#DIV/0!</v>
      </c>
      <c r="DZ100" s="93" t="e">
        <f t="shared" si="153"/>
        <v>#DIV/0!</v>
      </c>
      <c r="EA100" s="93">
        <f t="shared" si="153"/>
        <v>6.6230648232469491E-2</v>
      </c>
      <c r="EB100" s="93">
        <f t="shared" si="153"/>
        <v>5.5128503765820014E-3</v>
      </c>
      <c r="EC100" s="93">
        <f t="shared" si="153"/>
        <v>6.4942084942084977E-2</v>
      </c>
      <c r="ED100" s="93">
        <f t="shared" si="153"/>
        <v>0.2877963889493147</v>
      </c>
      <c r="EE100" s="135"/>
      <c r="EF100" s="56"/>
      <c r="EG100" s="56"/>
    </row>
    <row r="101" spans="2:137" s="62" customFormat="1">
      <c r="B101" s="62" t="s">
        <v>340</v>
      </c>
      <c r="C101" s="92"/>
      <c r="D101" s="92"/>
      <c r="E101" s="93"/>
      <c r="F101" s="93"/>
      <c r="G101" s="92"/>
      <c r="H101" s="92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61"/>
      <c r="AF101" s="61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94"/>
      <c r="BA101" s="113"/>
      <c r="BB101" s="94">
        <v>0.1</v>
      </c>
      <c r="BC101" s="113"/>
      <c r="BD101" s="94">
        <v>0.09</v>
      </c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13"/>
      <c r="CC101" s="113"/>
      <c r="CD101" s="113"/>
      <c r="CE101" s="113"/>
      <c r="CF101" s="113"/>
      <c r="CG101" s="113"/>
      <c r="CH101" s="113"/>
      <c r="CI101" s="113"/>
      <c r="CJ101" s="113"/>
      <c r="CK101" s="113"/>
      <c r="CL101" s="113"/>
      <c r="CM101" s="113"/>
      <c r="CN101" s="113"/>
      <c r="CO101" s="113"/>
      <c r="CP101" s="113"/>
      <c r="CQ101" s="113"/>
      <c r="CR101" s="113"/>
      <c r="CS101" s="113"/>
      <c r="CT101" s="113"/>
      <c r="CU101" s="113"/>
      <c r="CV101" s="113"/>
      <c r="CW101" s="113"/>
      <c r="CX101" s="113"/>
      <c r="CY101" s="113"/>
      <c r="CZ101" s="113"/>
      <c r="DA101" s="113"/>
      <c r="DB101" s="113"/>
      <c r="DC101" s="113"/>
      <c r="DD101" s="113"/>
      <c r="DE101" s="113"/>
      <c r="DF101" s="113"/>
      <c r="DG101" s="113"/>
      <c r="DH101" s="113"/>
      <c r="DI101" s="3"/>
      <c r="DJ101" s="93"/>
      <c r="DK101" s="93"/>
      <c r="DL101" s="93"/>
      <c r="DM101" s="93"/>
      <c r="DN101" s="93"/>
      <c r="DO101" s="93"/>
      <c r="DP101" s="93">
        <v>5.6000000000000001E-2</v>
      </c>
      <c r="DQ101" s="93">
        <v>0.105</v>
      </c>
      <c r="DR101" s="93">
        <v>0.09</v>
      </c>
      <c r="DS101" s="93">
        <v>0.08</v>
      </c>
      <c r="DT101" s="93"/>
      <c r="DU101" s="93"/>
      <c r="DV101" s="93"/>
      <c r="DW101" s="93"/>
      <c r="DX101" s="93"/>
      <c r="DY101" s="93"/>
      <c r="DZ101" s="93"/>
      <c r="EA101" s="93"/>
      <c r="EB101" s="93"/>
      <c r="EC101" s="93"/>
      <c r="ED101" s="61"/>
      <c r="EE101" s="106"/>
      <c r="EF101" s="61"/>
      <c r="EG101" s="61"/>
    </row>
    <row r="102" spans="2:137" s="20" customFormat="1">
      <c r="B102" s="20" t="s">
        <v>187</v>
      </c>
      <c r="C102" s="86" t="s">
        <v>12</v>
      </c>
      <c r="D102" s="86" t="s">
        <v>12</v>
      </c>
      <c r="E102" s="33">
        <v>8.8846364133406297E-2</v>
      </c>
      <c r="F102" s="33">
        <v>3.1978841067564323E-2</v>
      </c>
      <c r="G102" s="86" t="s">
        <v>12</v>
      </c>
      <c r="H102" s="86" t="s">
        <v>12</v>
      </c>
      <c r="I102" s="33">
        <v>0.10224999999999995</v>
      </c>
      <c r="J102" s="33">
        <v>6.1689216876127606E-2</v>
      </c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107"/>
      <c r="AF102" s="107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5"/>
      <c r="DJ102" s="33"/>
      <c r="DK102" s="33"/>
      <c r="DL102" s="33">
        <v>-5.3441913729481705E-3</v>
      </c>
      <c r="DM102" s="33"/>
      <c r="DN102" s="33">
        <f t="shared" ref="DN102:DP104" si="154">DN66/DM66-1</f>
        <v>0.14020148716718639</v>
      </c>
      <c r="DO102" s="33">
        <f t="shared" si="154"/>
        <v>0.14189544546123911</v>
      </c>
      <c r="DP102" s="33">
        <f t="shared" si="154"/>
        <v>-0.14084377302873985</v>
      </c>
      <c r="DQ102" s="33">
        <v>0.10866670124251376</v>
      </c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52"/>
      <c r="EE102" s="21"/>
      <c r="EF102" s="52"/>
      <c r="EG102" s="52"/>
    </row>
    <row r="103" spans="2:137" s="22" customFormat="1">
      <c r="B103" s="20" t="s">
        <v>188</v>
      </c>
      <c r="C103" s="87" t="s">
        <v>12</v>
      </c>
      <c r="D103" s="87" t="s">
        <v>12</v>
      </c>
      <c r="E103" s="34">
        <v>8.599394080633882E-2</v>
      </c>
      <c r="F103" s="34">
        <v>2.5992632009824046E-2</v>
      </c>
      <c r="G103" s="87" t="s">
        <v>12</v>
      </c>
      <c r="H103" s="87" t="s">
        <v>12</v>
      </c>
      <c r="I103" s="34">
        <v>9.7845423996837377E-2</v>
      </c>
      <c r="J103" s="34">
        <v>5.8237668615354954E-2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107"/>
      <c r="AF103" s="107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5"/>
      <c r="DJ103" s="33"/>
      <c r="DK103" s="33"/>
      <c r="DL103" s="33">
        <v>1.3809102960671726E-2</v>
      </c>
      <c r="DM103" s="33"/>
      <c r="DN103" s="33">
        <f t="shared" si="154"/>
        <v>0.10743405275779372</v>
      </c>
      <c r="DO103" s="33">
        <f t="shared" si="154"/>
        <v>0.10090948462537885</v>
      </c>
      <c r="DP103" s="33">
        <f t="shared" si="154"/>
        <v>-3.5011801730920555E-2</v>
      </c>
      <c r="DQ103" s="34">
        <v>0.11175549765689508</v>
      </c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56"/>
      <c r="EE103" s="135"/>
      <c r="EF103" s="56"/>
      <c r="EG103" s="56"/>
    </row>
    <row r="104" spans="2:137" s="22" customFormat="1">
      <c r="B104" s="35" t="s">
        <v>189</v>
      </c>
      <c r="C104" s="87" t="s">
        <v>12</v>
      </c>
      <c r="D104" s="87" t="s">
        <v>12</v>
      </c>
      <c r="E104" s="34">
        <v>7.3630924988495217E-2</v>
      </c>
      <c r="F104" s="34">
        <v>0.1097511219910241</v>
      </c>
      <c r="G104" s="87" t="s">
        <v>12</v>
      </c>
      <c r="H104" s="87" t="s">
        <v>12</v>
      </c>
      <c r="I104" s="34">
        <v>8.3862770012706589E-2</v>
      </c>
      <c r="J104" s="34">
        <v>5.0101322750746524E-2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107"/>
      <c r="AF104" s="107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5"/>
      <c r="DJ104" s="33"/>
      <c r="DK104" s="33"/>
      <c r="DL104" s="33">
        <v>0.11907066795740562</v>
      </c>
      <c r="DM104" s="33"/>
      <c r="DN104" s="33">
        <f t="shared" si="154"/>
        <v>0.10690725649980592</v>
      </c>
      <c r="DO104" s="33">
        <f t="shared" si="154"/>
        <v>0.15495179666958814</v>
      </c>
      <c r="DP104" s="33">
        <f t="shared" si="154"/>
        <v>0.2725755046289271</v>
      </c>
      <c r="DQ104" s="34">
        <v>0.11157806678724591</v>
      </c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56"/>
      <c r="EE104" s="135"/>
      <c r="EF104" s="56"/>
      <c r="EG104" s="56"/>
    </row>
    <row r="105" spans="2:137" s="22" customFormat="1">
      <c r="B105" s="22" t="s">
        <v>149</v>
      </c>
      <c r="C105" s="86" t="s">
        <v>12</v>
      </c>
      <c r="D105" s="86" t="s">
        <v>12</v>
      </c>
      <c r="E105" s="34">
        <v>0.3063889869396399</v>
      </c>
      <c r="F105" s="34">
        <v>9.763513513513522E-2</v>
      </c>
      <c r="G105" s="86" t="s">
        <v>12</v>
      </c>
      <c r="H105" s="86" t="s">
        <v>12</v>
      </c>
      <c r="I105" s="34">
        <v>0.23986390700311877</v>
      </c>
      <c r="J105" s="34">
        <v>0.10487106107533983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107"/>
      <c r="AF105" s="107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5"/>
      <c r="DJ105" s="34"/>
      <c r="DK105" s="34"/>
      <c r="DL105" s="34">
        <v>0.10913268236645601</v>
      </c>
      <c r="DM105" s="34"/>
      <c r="DN105" s="34">
        <f>DN71/DN62</f>
        <v>0.28534820196558813</v>
      </c>
      <c r="DO105" s="34"/>
      <c r="DP105" s="34"/>
      <c r="DQ105" s="34">
        <f>DQ71/DP71-1</f>
        <v>-8.0177200973357454E-2</v>
      </c>
      <c r="DR105" s="34">
        <f>DR71/DQ71-1</f>
        <v>2.9914529914529808E-2</v>
      </c>
      <c r="DS105" s="34">
        <f>DS71/DR71-1</f>
        <v>-0.12145162352631234</v>
      </c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56"/>
      <c r="EE105" s="135"/>
      <c r="EF105" s="56"/>
      <c r="EG105" s="56"/>
    </row>
    <row r="106" spans="2:137" s="20" customFormat="1">
      <c r="B106" s="20" t="s">
        <v>194</v>
      </c>
      <c r="C106" s="86" t="s">
        <v>12</v>
      </c>
      <c r="D106" s="86" t="s">
        <v>12</v>
      </c>
      <c r="E106" s="33">
        <v>0.5</v>
      </c>
      <c r="F106" s="33">
        <v>-0.38461538461538458</v>
      </c>
      <c r="G106" s="86" t="s">
        <v>12</v>
      </c>
      <c r="H106" s="86" t="s">
        <v>12</v>
      </c>
      <c r="I106" s="33" t="s">
        <v>22</v>
      </c>
      <c r="J106" s="33">
        <v>0</v>
      </c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107"/>
      <c r="AF106" s="107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5"/>
      <c r="DJ106" s="33"/>
      <c r="DK106" s="33"/>
      <c r="DL106" s="33">
        <v>0.18918918918918926</v>
      </c>
      <c r="DM106" s="33"/>
      <c r="DN106" s="33">
        <v>-0.62790697674418605</v>
      </c>
      <c r="DO106" s="33">
        <v>0</v>
      </c>
      <c r="DP106" s="33">
        <v>0</v>
      </c>
      <c r="DQ106" s="33">
        <v>0</v>
      </c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52"/>
      <c r="EE106" s="21"/>
      <c r="EF106" s="52"/>
      <c r="EG106" s="52"/>
    </row>
    <row r="107" spans="2:137" s="20" customFormat="1">
      <c r="B107" s="20" t="s">
        <v>14</v>
      </c>
      <c r="C107" s="86" t="s">
        <v>12</v>
      </c>
      <c r="D107" s="86" t="s">
        <v>12</v>
      </c>
      <c r="E107" s="33">
        <v>-0.31908831908831914</v>
      </c>
      <c r="F107" s="33">
        <v>-0.64157706093189959</v>
      </c>
      <c r="G107" s="86" t="s">
        <v>12</v>
      </c>
      <c r="H107" s="86" t="s">
        <v>12</v>
      </c>
      <c r="I107" s="33" t="s">
        <v>12</v>
      </c>
      <c r="J107" s="33">
        <v>-0.58432078257659692</v>
      </c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107"/>
      <c r="AF107" s="107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5"/>
      <c r="DJ107" s="33"/>
      <c r="DK107" s="33"/>
      <c r="DL107" s="33">
        <v>-1.7546366171712531</v>
      </c>
      <c r="DM107" s="33"/>
      <c r="DN107" s="33">
        <v>-0.77084256183093414</v>
      </c>
      <c r="DO107" s="33">
        <v>-0.74361496486317979</v>
      </c>
      <c r="DP107" s="33">
        <v>-2.1573365350255624</v>
      </c>
      <c r="DQ107" s="33">
        <v>1.8537461678109746</v>
      </c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52"/>
      <c r="EE107" s="21"/>
      <c r="EF107" s="52"/>
      <c r="EG107" s="52"/>
    </row>
    <row r="108" spans="2:137" s="20" customFormat="1">
      <c r="B108" s="20" t="s">
        <v>15</v>
      </c>
      <c r="C108" s="86" t="s">
        <v>12</v>
      </c>
      <c r="D108" s="86" t="s">
        <v>12</v>
      </c>
      <c r="E108" s="33">
        <v>0.39407467532467533</v>
      </c>
      <c r="F108" s="33">
        <v>0.18003766478342742</v>
      </c>
      <c r="G108" s="86" t="s">
        <v>12</v>
      </c>
      <c r="H108" s="86" t="s">
        <v>12</v>
      </c>
      <c r="I108" s="33">
        <v>0.32942942942942932</v>
      </c>
      <c r="J108" s="33">
        <v>0.13307229097301021</v>
      </c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107"/>
      <c r="AF108" s="107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5"/>
      <c r="DJ108" s="33"/>
      <c r="DK108" s="33"/>
      <c r="DL108" s="33">
        <v>-0.1497862525757121</v>
      </c>
      <c r="DM108" s="33"/>
      <c r="DN108" s="33">
        <v>0.27706643758613492</v>
      </c>
      <c r="DO108" s="33">
        <v>0.2896293957283107</v>
      </c>
      <c r="DP108" s="33">
        <v>0.33935179791748182</v>
      </c>
      <c r="DQ108" s="33">
        <v>0.22525526811705765</v>
      </c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52"/>
      <c r="EE108" s="21"/>
      <c r="EF108" s="52"/>
      <c r="EG108" s="52"/>
    </row>
    <row r="109" spans="2:137" s="20" customFormat="1">
      <c r="B109" s="20" t="s">
        <v>4</v>
      </c>
      <c r="C109" s="86" t="s">
        <v>12</v>
      </c>
      <c r="D109" s="86" t="s">
        <v>12</v>
      </c>
      <c r="E109" s="33">
        <v>0.47708894878706198</v>
      </c>
      <c r="F109" s="33">
        <v>0.25667351129363447</v>
      </c>
      <c r="G109" s="86" t="s">
        <v>12</v>
      </c>
      <c r="H109" s="86" t="s">
        <v>12</v>
      </c>
      <c r="I109" s="33">
        <v>0.69465648854961826</v>
      </c>
      <c r="J109" s="33">
        <v>-0.10639136046998865</v>
      </c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107"/>
      <c r="AF109" s="107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5"/>
      <c r="DJ109" s="33"/>
      <c r="DK109" s="33"/>
      <c r="DL109" s="33">
        <v>-13.617647058823529</v>
      </c>
      <c r="DM109" s="33"/>
      <c r="DN109" s="33">
        <v>0.75939385108773849</v>
      </c>
      <c r="DO109" s="33">
        <v>0.35668583556657008</v>
      </c>
      <c r="DP109" s="33">
        <v>0.5843113747061166</v>
      </c>
      <c r="DQ109" s="33">
        <v>0.29449709369533661</v>
      </c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52"/>
      <c r="EE109" s="21"/>
      <c r="EF109" s="52"/>
      <c r="EG109" s="52"/>
    </row>
    <row r="110" spans="2:137" s="22" customFormat="1">
      <c r="B110" s="22" t="s">
        <v>20</v>
      </c>
      <c r="C110" s="86" t="s">
        <v>12</v>
      </c>
      <c r="D110" s="86" t="s">
        <v>12</v>
      </c>
      <c r="E110" s="34">
        <v>0.42595419847328242</v>
      </c>
      <c r="F110" s="34">
        <v>0.14625176803394635</v>
      </c>
      <c r="G110" s="86" t="s">
        <v>12</v>
      </c>
      <c r="H110" s="86" t="s">
        <v>12</v>
      </c>
      <c r="I110" s="34">
        <v>0.26964560862865938</v>
      </c>
      <c r="J110" s="34">
        <v>0.14267721422019086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107"/>
      <c r="AF110" s="107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  <c r="BI110" s="108"/>
      <c r="BJ110" s="108"/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5"/>
      <c r="DJ110" s="34"/>
      <c r="DK110" s="34"/>
      <c r="DL110" s="34">
        <v>-0.23651950669819721</v>
      </c>
      <c r="DM110" s="34"/>
      <c r="DN110" s="34">
        <v>0.20618920887528391</v>
      </c>
      <c r="DO110" s="34">
        <v>0.23617416138624936</v>
      </c>
      <c r="DP110" s="34">
        <v>0.27283796353628231</v>
      </c>
      <c r="DQ110" s="34">
        <v>0.19103888723838436</v>
      </c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56"/>
      <c r="EE110" s="135"/>
      <c r="EF110" s="56"/>
      <c r="EG110" s="56"/>
    </row>
    <row r="111" spans="2:137" s="20" customFormat="1">
      <c r="B111" s="20" t="s">
        <v>16</v>
      </c>
      <c r="C111" s="86" t="s">
        <v>12</v>
      </c>
      <c r="D111" s="86" t="s">
        <v>12</v>
      </c>
      <c r="E111" s="33">
        <v>0.95570934256055362</v>
      </c>
      <c r="F111" s="33">
        <v>-7.1209330877839205E-2</v>
      </c>
      <c r="G111" s="86" t="s">
        <v>12</v>
      </c>
      <c r="H111" s="86" t="s">
        <v>12</v>
      </c>
      <c r="I111" s="33">
        <v>2.8687017285766725E-2</v>
      </c>
      <c r="J111" s="33">
        <v>0.15407772178764811</v>
      </c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107"/>
      <c r="AF111" s="107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108"/>
      <c r="DH111" s="108"/>
      <c r="DI111" s="5"/>
      <c r="DJ111" s="33"/>
      <c r="DK111" s="33"/>
      <c r="DL111" s="33">
        <v>-3.9229948572900177</v>
      </c>
      <c r="DM111" s="33"/>
      <c r="DN111" s="33">
        <v>0.25816885401752154</v>
      </c>
      <c r="DO111" s="33">
        <v>0.22355666613924408</v>
      </c>
      <c r="DP111" s="33">
        <v>0.27306999762332884</v>
      </c>
      <c r="DQ111" s="33">
        <v>0.19116650657623802</v>
      </c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52"/>
      <c r="EE111" s="21"/>
      <c r="EF111" s="52"/>
      <c r="EG111" s="52"/>
    </row>
    <row r="112" spans="2:137" s="22" customFormat="1">
      <c r="B112" s="22" t="s">
        <v>21</v>
      </c>
      <c r="C112" s="86" t="s">
        <v>12</v>
      </c>
      <c r="D112" s="86" t="s">
        <v>12</v>
      </c>
      <c r="E112" s="34">
        <v>0.43022323214667901</v>
      </c>
      <c r="F112" s="34">
        <v>0.14014903871339501</v>
      </c>
      <c r="G112" s="86" t="s">
        <v>12</v>
      </c>
      <c r="H112" s="86" t="s">
        <v>12</v>
      </c>
      <c r="I112" s="34">
        <v>0.27343782401471151</v>
      </c>
      <c r="J112" s="34">
        <v>0.14267721422019086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107"/>
      <c r="AF112" s="107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  <c r="BC112" s="108"/>
      <c r="BD112" s="108"/>
      <c r="BE112" s="108"/>
      <c r="BF112" s="108"/>
      <c r="BG112" s="108"/>
      <c r="BH112" s="108"/>
      <c r="BI112" s="108"/>
      <c r="BJ112" s="108"/>
      <c r="BK112" s="108"/>
      <c r="BL112" s="108"/>
      <c r="BM112" s="108"/>
      <c r="BN112" s="108"/>
      <c r="BO112" s="108"/>
      <c r="BP112" s="108"/>
      <c r="BQ112" s="108"/>
      <c r="BR112" s="108"/>
      <c r="BS112" s="108"/>
      <c r="BT112" s="108"/>
      <c r="BU112" s="108"/>
      <c r="BV112" s="108"/>
      <c r="BW112" s="108"/>
      <c r="BX112" s="108"/>
      <c r="BY112" s="108"/>
      <c r="BZ112" s="108"/>
      <c r="CA112" s="108"/>
      <c r="CB112" s="108"/>
      <c r="CC112" s="108"/>
      <c r="CD112" s="108"/>
      <c r="CE112" s="108"/>
      <c r="CF112" s="108"/>
      <c r="CG112" s="108"/>
      <c r="CH112" s="108"/>
      <c r="CI112" s="108"/>
      <c r="CJ112" s="108"/>
      <c r="CK112" s="108"/>
      <c r="CL112" s="108"/>
      <c r="CM112" s="108"/>
      <c r="CN112" s="108"/>
      <c r="CO112" s="108"/>
      <c r="CP112" s="108"/>
      <c r="CQ112" s="108"/>
      <c r="CR112" s="108"/>
      <c r="CS112" s="108"/>
      <c r="CT112" s="108"/>
      <c r="CU112" s="108"/>
      <c r="CV112" s="108"/>
      <c r="CW112" s="108"/>
      <c r="CX112" s="108"/>
      <c r="CY112" s="108"/>
      <c r="CZ112" s="108"/>
      <c r="DA112" s="108"/>
      <c r="DB112" s="108"/>
      <c r="DC112" s="108"/>
      <c r="DD112" s="108"/>
      <c r="DE112" s="108"/>
      <c r="DF112" s="108"/>
      <c r="DG112" s="108"/>
      <c r="DH112" s="108"/>
      <c r="DI112" s="5"/>
      <c r="DJ112" s="34"/>
      <c r="DK112" s="34"/>
      <c r="DL112" s="34">
        <v>-0.25468420970839167</v>
      </c>
      <c r="DM112" s="34"/>
      <c r="DN112" s="34">
        <v>0.20838607586445579</v>
      </c>
      <c r="DO112" s="34">
        <v>0.23617416138624936</v>
      </c>
      <c r="DP112" s="34">
        <v>0.27283796353628231</v>
      </c>
      <c r="DQ112" s="34">
        <f>DQ79/DP79-1</f>
        <v>-0.13535960417034809</v>
      </c>
      <c r="DR112" s="34">
        <f>DR79/DQ79-1</f>
        <v>1.3590844062947083E-2</v>
      </c>
      <c r="DS112" s="34">
        <f>DS79/DR79-1</f>
        <v>-0.14114326040931557</v>
      </c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56"/>
      <c r="EE112" s="135"/>
      <c r="EF112" s="56"/>
      <c r="EG112" s="56"/>
    </row>
    <row r="113" spans="2:137" s="20" customFormat="1">
      <c r="B113" s="20" t="s">
        <v>42</v>
      </c>
      <c r="C113" s="86" t="s">
        <v>12</v>
      </c>
      <c r="D113" s="86" t="s">
        <v>12</v>
      </c>
      <c r="E113" s="33"/>
      <c r="F113" s="33"/>
      <c r="G113" s="86" t="s">
        <v>12</v>
      </c>
      <c r="H113" s="86" t="s">
        <v>12</v>
      </c>
      <c r="I113" s="33">
        <v>0.30643115658155562</v>
      </c>
      <c r="J113" s="33">
        <v>0.17124789823043063</v>
      </c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107"/>
      <c r="AF113" s="107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  <c r="BI113" s="108"/>
      <c r="BJ113" s="108"/>
      <c r="BK113" s="108"/>
      <c r="BL113" s="108"/>
      <c r="BM113" s="108"/>
      <c r="BN113" s="108"/>
      <c r="BO113" s="108"/>
      <c r="BP113" s="108"/>
      <c r="BQ113" s="108"/>
      <c r="BR113" s="108"/>
      <c r="BS113" s="108"/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5"/>
      <c r="DJ113" s="33"/>
      <c r="DK113" s="33"/>
      <c r="DL113" s="33"/>
      <c r="DM113" s="33"/>
      <c r="DN113" s="33">
        <v>0.24010160092268173</v>
      </c>
      <c r="DO113" s="33">
        <v>0.22959823690009884</v>
      </c>
      <c r="DP113" s="33">
        <v>0.26006430673578218</v>
      </c>
      <c r="DQ113" s="33">
        <v>0.18389813893782847</v>
      </c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52"/>
      <c r="EE113" s="21"/>
      <c r="EF113" s="52"/>
      <c r="EG113" s="52"/>
    </row>
    <row r="114" spans="2:137" s="20" customFormat="1">
      <c r="B114" s="20" t="s">
        <v>17</v>
      </c>
      <c r="C114" s="86" t="s">
        <v>12</v>
      </c>
      <c r="D114" s="86" t="s">
        <v>12</v>
      </c>
      <c r="E114" s="33">
        <v>0.94492985420368969</v>
      </c>
      <c r="F114" s="33">
        <v>-8.0257132892308958E-2</v>
      </c>
      <c r="G114" s="86" t="s">
        <v>12</v>
      </c>
      <c r="H114" s="86" t="s">
        <v>12</v>
      </c>
      <c r="I114" s="33">
        <v>2.6696798876403083E-2</v>
      </c>
      <c r="J114" s="33">
        <v>0.15339148720865947</v>
      </c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107"/>
      <c r="AF114" s="107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  <c r="BF114" s="108"/>
      <c r="BG114" s="108"/>
      <c r="BH114" s="108"/>
      <c r="BI114" s="108"/>
      <c r="BJ114" s="108"/>
      <c r="BK114" s="108"/>
      <c r="BL114" s="108"/>
      <c r="BM114" s="108"/>
      <c r="BN114" s="108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/>
      <c r="CA114" s="108"/>
      <c r="CB114" s="108"/>
      <c r="CC114" s="108"/>
      <c r="CD114" s="108"/>
      <c r="CE114" s="108"/>
      <c r="CF114" s="108"/>
      <c r="CG114" s="108"/>
      <c r="CH114" s="108"/>
      <c r="CI114" s="108"/>
      <c r="CJ114" s="108"/>
      <c r="CK114" s="108"/>
      <c r="CL114" s="108"/>
      <c r="CM114" s="108"/>
      <c r="CN114" s="108"/>
      <c r="CO114" s="108"/>
      <c r="CP114" s="108"/>
      <c r="CQ114" s="108"/>
      <c r="CR114" s="108"/>
      <c r="CS114" s="108"/>
      <c r="CT114" s="108"/>
      <c r="CU114" s="108"/>
      <c r="CV114" s="108"/>
      <c r="CW114" s="108"/>
      <c r="CX114" s="108"/>
      <c r="CY114" s="108"/>
      <c r="CZ114" s="108"/>
      <c r="DA114" s="108"/>
      <c r="DB114" s="108"/>
      <c r="DC114" s="108"/>
      <c r="DD114" s="108"/>
      <c r="DE114" s="108"/>
      <c r="DF114" s="108"/>
      <c r="DG114" s="108"/>
      <c r="DH114" s="108"/>
      <c r="DI114" s="5"/>
      <c r="DJ114" s="33"/>
      <c r="DK114" s="33"/>
      <c r="DL114" s="33">
        <v>-3.885011675710488</v>
      </c>
      <c r="DM114" s="33"/>
      <c r="DN114" s="33">
        <v>0.25609102568827624</v>
      </c>
      <c r="DO114" s="33">
        <v>0.22332428171071594</v>
      </c>
      <c r="DP114" s="33">
        <v>0.27283796353628231</v>
      </c>
      <c r="DQ114" s="33">
        <v>0.19103888723838436</v>
      </c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52"/>
      <c r="EE114" s="21"/>
      <c r="EF114" s="52"/>
      <c r="EG114" s="52"/>
    </row>
    <row r="115" spans="2:137" s="20" customFormat="1">
      <c r="C115" s="52"/>
      <c r="D115" s="52"/>
      <c r="E115" s="52"/>
      <c r="F115" s="52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107"/>
      <c r="AF115" s="107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  <c r="BI115" s="108"/>
      <c r="BJ115" s="108"/>
      <c r="BK115" s="108"/>
      <c r="BL115" s="108"/>
      <c r="BM115" s="108"/>
      <c r="BN115" s="108"/>
      <c r="BO115" s="108"/>
      <c r="BP115" s="108"/>
      <c r="BQ115" s="108"/>
      <c r="BR115" s="108"/>
      <c r="BS115" s="108"/>
      <c r="BT115" s="108"/>
      <c r="BU115" s="108"/>
      <c r="BV115" s="108"/>
      <c r="BW115" s="108"/>
      <c r="BX115" s="108"/>
      <c r="BY115" s="108"/>
      <c r="BZ115" s="108"/>
      <c r="CA115" s="108"/>
      <c r="CB115" s="108"/>
      <c r="CC115" s="108"/>
      <c r="CD115" s="108"/>
      <c r="CE115" s="108"/>
      <c r="CF115" s="108"/>
      <c r="CG115" s="108"/>
      <c r="CH115" s="108"/>
      <c r="CI115" s="108"/>
      <c r="CJ115" s="108"/>
      <c r="CK115" s="108"/>
      <c r="CL115" s="108"/>
      <c r="CM115" s="108"/>
      <c r="CN115" s="108"/>
      <c r="CO115" s="108"/>
      <c r="CP115" s="108"/>
      <c r="CQ115" s="108"/>
      <c r="CR115" s="108"/>
      <c r="CS115" s="108"/>
      <c r="CT115" s="108"/>
      <c r="CU115" s="108"/>
      <c r="CV115" s="108"/>
      <c r="CW115" s="108"/>
      <c r="CX115" s="108"/>
      <c r="CY115" s="108"/>
      <c r="CZ115" s="108"/>
      <c r="DA115" s="108"/>
      <c r="DB115" s="108"/>
      <c r="DC115" s="108"/>
      <c r="DD115" s="108"/>
      <c r="DE115" s="108"/>
      <c r="DF115" s="108"/>
      <c r="DG115" s="108"/>
      <c r="DH115" s="108"/>
      <c r="DI115" s="5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52"/>
      <c r="EE115" s="21"/>
      <c r="EF115" s="52"/>
      <c r="EG115" s="52"/>
    </row>
    <row r="116" spans="2:137" s="20" customFormat="1">
      <c r="B116" s="62" t="s">
        <v>487</v>
      </c>
      <c r="C116" s="28"/>
      <c r="D116" s="28"/>
      <c r="E116" s="52"/>
      <c r="F116" s="52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107"/>
      <c r="AF116" s="107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08"/>
      <c r="BW116" s="108"/>
      <c r="BX116" s="108"/>
      <c r="BY116" s="108"/>
      <c r="BZ116" s="108"/>
      <c r="CA116" s="108"/>
      <c r="CB116" s="108"/>
      <c r="CC116" s="108"/>
      <c r="CD116" s="108"/>
      <c r="CE116" s="108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08"/>
      <c r="CU116" s="108"/>
      <c r="CV116" s="108"/>
      <c r="CW116" s="108"/>
      <c r="CX116" s="108"/>
      <c r="CY116" s="108"/>
      <c r="CZ116" s="108"/>
      <c r="DA116" s="108"/>
      <c r="DB116" s="108"/>
      <c r="DC116" s="108"/>
      <c r="DD116" s="108"/>
      <c r="DE116" s="108"/>
      <c r="DF116" s="108"/>
      <c r="DG116" s="108"/>
      <c r="DH116" s="108"/>
      <c r="DI116" s="5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52"/>
      <c r="EE116" s="21"/>
      <c r="EF116" s="52"/>
      <c r="EG116" s="52"/>
    </row>
    <row r="117" spans="2:137" s="31" customFormat="1">
      <c r="B117" s="22" t="s">
        <v>138</v>
      </c>
      <c r="C117" s="29"/>
      <c r="D117" s="29"/>
      <c r="E117" s="29"/>
      <c r="F117" s="29"/>
      <c r="G117" s="29"/>
      <c r="H117" s="29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56"/>
      <c r="AF117" s="56"/>
      <c r="AG117" s="56"/>
      <c r="AH117" s="56"/>
      <c r="AI117" s="56"/>
      <c r="AJ117" s="114">
        <f t="shared" ref="AJ117:AS118" si="155">AJ15/AF15-1</f>
        <v>0.18797953964194369</v>
      </c>
      <c r="AK117" s="114">
        <f t="shared" si="155"/>
        <v>0.20546318289786214</v>
      </c>
      <c r="AL117" s="114">
        <f t="shared" si="155"/>
        <v>0.20113636363636367</v>
      </c>
      <c r="AM117" s="114">
        <f t="shared" si="155"/>
        <v>0.31922196796338675</v>
      </c>
      <c r="AN117" s="114">
        <f t="shared" si="155"/>
        <v>0.23358449946178683</v>
      </c>
      <c r="AO117" s="114">
        <f t="shared" si="155"/>
        <v>0.18423645320197046</v>
      </c>
      <c r="AP117" s="114">
        <f t="shared" si="155"/>
        <v>0.11352885525070966</v>
      </c>
      <c r="AQ117" s="114">
        <f t="shared" si="155"/>
        <v>0.1396357328707718</v>
      </c>
      <c r="AR117" s="114">
        <f t="shared" si="155"/>
        <v>0.14223385689354284</v>
      </c>
      <c r="AS117" s="114">
        <f t="shared" si="155"/>
        <v>0.16056572379367728</v>
      </c>
      <c r="AT117" s="114">
        <f t="shared" ref="AT117:BC118" si="156">AT15/AP15-1</f>
        <v>0.1724723874256584</v>
      </c>
      <c r="AU117" s="114">
        <f t="shared" si="156"/>
        <v>8.9802130898021248E-2</v>
      </c>
      <c r="AV117" s="114">
        <f t="shared" si="156"/>
        <v>7.4866310160427885E-2</v>
      </c>
      <c r="AW117" s="114">
        <f t="shared" si="156"/>
        <v>4.6594982078853153E-2</v>
      </c>
      <c r="AX117" s="114">
        <f t="shared" si="156"/>
        <v>6.6666666666666652E-2</v>
      </c>
      <c r="AY117" s="114">
        <f t="shared" si="156"/>
        <v>0.1061452513966481</v>
      </c>
      <c r="AZ117" s="114">
        <f t="shared" si="156"/>
        <v>5.2594171997156991E-2</v>
      </c>
      <c r="BA117" s="114">
        <f t="shared" si="156"/>
        <v>0.10753424657534238</v>
      </c>
      <c r="BB117" s="114">
        <f t="shared" si="156"/>
        <v>2.4456521739130377E-2</v>
      </c>
      <c r="BC117" s="114">
        <f t="shared" si="156"/>
        <v>-6.5025252525252486E-2</v>
      </c>
      <c r="BD117" s="114">
        <f t="shared" ref="BD117:BK118" si="157">BD15/AZ15-1</f>
        <v>8.4402430790006644E-2</v>
      </c>
      <c r="BE117" s="114">
        <f t="shared" si="157"/>
        <v>4.8237476808905333E-2</v>
      </c>
      <c r="BF117" s="114">
        <f t="shared" si="157"/>
        <v>7.9575596816976457E-3</v>
      </c>
      <c r="BG117" s="114">
        <f t="shared" si="157"/>
        <v>3.6461850101283E-2</v>
      </c>
      <c r="BH117" s="114">
        <f t="shared" si="157"/>
        <v>-3.1133250311332517E-2</v>
      </c>
      <c r="BI117" s="114">
        <f t="shared" si="157"/>
        <v>-0.11504424778761058</v>
      </c>
      <c r="BJ117" s="114">
        <f t="shared" si="157"/>
        <v>-0.10460526315789476</v>
      </c>
      <c r="BK117" s="114">
        <f t="shared" si="157"/>
        <v>3.4527687296416865E-2</v>
      </c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9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4"/>
      <c r="EE117" s="132"/>
      <c r="EF117" s="54"/>
      <c r="EG117" s="54"/>
    </row>
    <row r="118" spans="2:137" s="31" customFormat="1">
      <c r="B118" s="22" t="s">
        <v>24</v>
      </c>
      <c r="C118" s="29"/>
      <c r="D118" s="29"/>
      <c r="E118" s="29"/>
      <c r="F118" s="29"/>
      <c r="G118" s="29"/>
      <c r="H118" s="29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56"/>
      <c r="AF118" s="56"/>
      <c r="AG118" s="56"/>
      <c r="AH118" s="56"/>
      <c r="AI118" s="56"/>
      <c r="AJ118" s="114">
        <f t="shared" si="155"/>
        <v>0.19207317073170738</v>
      </c>
      <c r="AK118" s="114">
        <f t="shared" si="155"/>
        <v>0.2921348314606742</v>
      </c>
      <c r="AL118" s="114">
        <f t="shared" si="155"/>
        <v>0.58445040214477206</v>
      </c>
      <c r="AM118" s="114">
        <f t="shared" si="155"/>
        <v>0.86387535984716535</v>
      </c>
      <c r="AN118" s="114">
        <f t="shared" si="155"/>
        <v>1.2020460358056266</v>
      </c>
      <c r="AO118" s="114">
        <f t="shared" si="155"/>
        <v>1.0695652173913044</v>
      </c>
      <c r="AP118" s="114">
        <f t="shared" si="155"/>
        <v>0.7072758037225042</v>
      </c>
      <c r="AQ118" s="114">
        <f t="shared" si="155"/>
        <v>0.56960227272727271</v>
      </c>
      <c r="AR118" s="114">
        <f t="shared" si="155"/>
        <v>0.35656213704994189</v>
      </c>
      <c r="AS118" s="114">
        <f t="shared" si="155"/>
        <v>0.27521008403361336</v>
      </c>
      <c r="AT118" s="114">
        <f t="shared" si="156"/>
        <v>0.19821605550049548</v>
      </c>
      <c r="AU118" s="114">
        <f t="shared" si="156"/>
        <v>0.14117647058823524</v>
      </c>
      <c r="AV118" s="114">
        <f t="shared" si="156"/>
        <v>4.8801369863013644E-2</v>
      </c>
      <c r="AW118" s="114">
        <f t="shared" si="156"/>
        <v>2.883031301482708E-2</v>
      </c>
      <c r="AX118" s="114">
        <f t="shared" si="156"/>
        <v>7.1133167907361461E-2</v>
      </c>
      <c r="AY118" s="114">
        <f t="shared" si="156"/>
        <v>4.9167327517843029E-2</v>
      </c>
      <c r="AZ118" s="114">
        <f t="shared" si="156"/>
        <v>6.6938775510203996E-2</v>
      </c>
      <c r="BA118" s="114">
        <f t="shared" si="156"/>
        <v>7.125700560448367E-2</v>
      </c>
      <c r="BB118" s="114">
        <f t="shared" si="156"/>
        <v>2.4710424710424617E-2</v>
      </c>
      <c r="BC118" s="114">
        <f t="shared" si="156"/>
        <v>-2.1919879062736181E-2</v>
      </c>
      <c r="BD118" s="114">
        <f t="shared" si="157"/>
        <v>8.4162203519510426E-2</v>
      </c>
      <c r="BE118" s="114">
        <f t="shared" si="157"/>
        <v>3.811659192825112E-2</v>
      </c>
      <c r="BF118" s="114">
        <f t="shared" si="157"/>
        <v>2.2607385079125741E-2</v>
      </c>
      <c r="BG118" s="114">
        <f t="shared" si="157"/>
        <v>-2.1638330757341562E-2</v>
      </c>
      <c r="BH118" s="114">
        <f t="shared" si="157"/>
        <v>-2.1877205363443841E-2</v>
      </c>
      <c r="BI118" s="114">
        <f t="shared" si="157"/>
        <v>-4.2476601871850206E-2</v>
      </c>
      <c r="BJ118" s="114">
        <f t="shared" si="157"/>
        <v>-0.12380250552689753</v>
      </c>
      <c r="BK118" s="114">
        <f t="shared" si="157"/>
        <v>6.4770932069510234E-2</v>
      </c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  <c r="BZ118" s="114"/>
      <c r="CA118" s="114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9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4"/>
      <c r="EE118" s="132"/>
      <c r="EF118" s="54"/>
      <c r="EG118" s="54"/>
    </row>
    <row r="119" spans="2:137" s="31" customFormat="1">
      <c r="B119" s="22" t="s">
        <v>23</v>
      </c>
      <c r="C119" s="29"/>
      <c r="D119" s="29"/>
      <c r="E119" s="29"/>
      <c r="F119" s="29"/>
      <c r="G119" s="29"/>
      <c r="H119" s="29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56"/>
      <c r="AF119" s="56"/>
      <c r="AG119" s="56"/>
      <c r="AH119" s="56"/>
      <c r="AI119" s="56"/>
      <c r="AJ119" s="114">
        <f t="shared" ref="AJ119:BK119" si="158">AJ14/AF14-1</f>
        <v>4.416666666666667</v>
      </c>
      <c r="AK119" s="114">
        <f t="shared" si="158"/>
        <v>1.0532544378698225</v>
      </c>
      <c r="AL119" s="114">
        <f t="shared" si="158"/>
        <v>1.0680851063829788</v>
      </c>
      <c r="AM119" s="114">
        <f t="shared" si="158"/>
        <v>1.403361344537815</v>
      </c>
      <c r="AN119" s="114">
        <f t="shared" si="158"/>
        <v>1.6</v>
      </c>
      <c r="AO119" s="114">
        <f t="shared" si="158"/>
        <v>1.0547550432276656</v>
      </c>
      <c r="AP119" s="114">
        <f t="shared" si="158"/>
        <v>0.52469135802469147</v>
      </c>
      <c r="AQ119" s="114">
        <f t="shared" si="158"/>
        <v>0.45454545454545459</v>
      </c>
      <c r="AR119" s="114">
        <f t="shared" si="158"/>
        <v>0.36538461538461542</v>
      </c>
      <c r="AS119" s="114">
        <f t="shared" si="158"/>
        <v>0.38288920056100983</v>
      </c>
      <c r="AT119" s="114">
        <f t="shared" si="158"/>
        <v>0.4331983805668016</v>
      </c>
      <c r="AU119" s="114">
        <f t="shared" si="158"/>
        <v>0.36418269230769229</v>
      </c>
      <c r="AV119" s="114">
        <f t="shared" si="158"/>
        <v>0.22535211267605626</v>
      </c>
      <c r="AW119" s="114">
        <f t="shared" si="158"/>
        <v>0.23732251521298164</v>
      </c>
      <c r="AX119" s="114">
        <f t="shared" si="158"/>
        <v>0.27212806026365355</v>
      </c>
      <c r="AY119" s="114">
        <f t="shared" si="158"/>
        <v>0.32599118942731287</v>
      </c>
      <c r="AZ119" s="114">
        <f t="shared" si="158"/>
        <v>0.31299734748010599</v>
      </c>
      <c r="BA119" s="114">
        <f t="shared" si="158"/>
        <v>0.31557377049180335</v>
      </c>
      <c r="BB119" s="114">
        <f t="shared" si="158"/>
        <v>0.17986676535899337</v>
      </c>
      <c r="BC119" s="114">
        <f t="shared" si="158"/>
        <v>2.1926910299003399E-2</v>
      </c>
      <c r="BD119" s="114">
        <f t="shared" si="158"/>
        <v>0.12188552188552193</v>
      </c>
      <c r="BE119" s="114">
        <f t="shared" si="158"/>
        <v>7.6012461059190128E-2</v>
      </c>
      <c r="BF119" s="114">
        <f t="shared" si="158"/>
        <v>8.7829360100375453E-3</v>
      </c>
      <c r="BG119" s="114">
        <f t="shared" si="158"/>
        <v>-5.0715214564369338E-2</v>
      </c>
      <c r="BH119" s="114">
        <f t="shared" si="158"/>
        <v>-0.1494597839135654</v>
      </c>
      <c r="BI119" s="114">
        <f t="shared" si="158"/>
        <v>-0.2420382165605095</v>
      </c>
      <c r="BJ119" s="114">
        <f t="shared" si="158"/>
        <v>-0.24378109452736318</v>
      </c>
      <c r="BK119" s="114">
        <f t="shared" si="158"/>
        <v>-7.5342465753424626E-2</v>
      </c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  <c r="BZ119" s="114"/>
      <c r="CA119" s="114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9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4"/>
      <c r="EE119" s="132"/>
      <c r="EF119" s="54"/>
      <c r="EG119" s="54"/>
    </row>
    <row r="120" spans="2:137" s="31" customFormat="1">
      <c r="B120" s="20" t="s">
        <v>139</v>
      </c>
      <c r="C120" s="28"/>
      <c r="D120" s="28"/>
      <c r="E120" s="28"/>
      <c r="F120" s="28"/>
      <c r="G120" s="28"/>
      <c r="H120" s="28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107"/>
      <c r="AF120" s="107"/>
      <c r="AG120" s="107"/>
      <c r="AH120" s="107"/>
      <c r="AI120" s="107"/>
      <c r="AJ120" s="115">
        <f t="shared" ref="AJ120:BD120" si="159">AJ38/AF38-1</f>
        <v>5.5214723926380271E-2</v>
      </c>
      <c r="AK120" s="115">
        <f t="shared" si="159"/>
        <v>7.344632768361592E-2</v>
      </c>
      <c r="AL120" s="115">
        <f t="shared" si="159"/>
        <v>6.8181818181818121E-2</v>
      </c>
      <c r="AM120" s="115">
        <f t="shared" si="159"/>
        <v>0.12734082397003754</v>
      </c>
      <c r="AN120" s="115">
        <f t="shared" si="159"/>
        <v>3.6821705426356655E-2</v>
      </c>
      <c r="AO120" s="115">
        <f t="shared" si="159"/>
        <v>-8.7719298245614308E-3</v>
      </c>
      <c r="AP120" s="115">
        <f t="shared" si="159"/>
        <v>-5.1418439716312103E-2</v>
      </c>
      <c r="AQ120" s="115">
        <f t="shared" si="159"/>
        <v>-1.6611295681063121E-2</v>
      </c>
      <c r="AR120" s="115">
        <f t="shared" si="159"/>
        <v>-2.4299065420560706E-2</v>
      </c>
      <c r="AS120" s="115">
        <f t="shared" si="159"/>
        <v>-3.7168141592920367E-2</v>
      </c>
      <c r="AT120" s="115">
        <f t="shared" si="159"/>
        <v>-3.1775700934579487E-2</v>
      </c>
      <c r="AU120" s="115">
        <f t="shared" si="159"/>
        <v>-0.13851351351351349</v>
      </c>
      <c r="AV120" s="115">
        <f t="shared" si="159"/>
        <v>-0.15325670498084287</v>
      </c>
      <c r="AW120" s="115">
        <f t="shared" si="159"/>
        <v>-0.17279411764705888</v>
      </c>
      <c r="AX120" s="115">
        <f t="shared" si="159"/>
        <v>-0.17567567567567566</v>
      </c>
      <c r="AY120" s="115">
        <f t="shared" si="159"/>
        <v>-0.10784313725490191</v>
      </c>
      <c r="AZ120" s="115">
        <f t="shared" si="159"/>
        <v>-0.14479638009049778</v>
      </c>
      <c r="BA120" s="115">
        <f t="shared" si="159"/>
        <v>-8.666666666666667E-2</v>
      </c>
      <c r="BB120" s="115">
        <f t="shared" si="159"/>
        <v>-8.4309133489461341E-2</v>
      </c>
      <c r="BC120" s="115">
        <f t="shared" si="159"/>
        <v>-0.1648351648351648</v>
      </c>
      <c r="BD120" s="115">
        <f t="shared" si="159"/>
        <v>-0.10317460317460314</v>
      </c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15"/>
      <c r="CM120" s="115"/>
      <c r="CN120" s="115"/>
      <c r="CO120" s="115"/>
      <c r="CP120" s="115"/>
      <c r="CQ120" s="115"/>
      <c r="CR120" s="115"/>
      <c r="CS120" s="115"/>
      <c r="CT120" s="115"/>
      <c r="CU120" s="115"/>
      <c r="CV120" s="115"/>
      <c r="CW120" s="115"/>
      <c r="CX120" s="115"/>
      <c r="CY120" s="115"/>
      <c r="CZ120" s="115"/>
      <c r="DA120" s="115"/>
      <c r="DB120" s="115"/>
      <c r="DC120" s="115"/>
      <c r="DD120" s="115"/>
      <c r="DE120" s="115"/>
      <c r="DF120" s="115"/>
      <c r="DG120" s="115"/>
      <c r="DH120" s="115"/>
      <c r="DI120" s="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4"/>
      <c r="EE120" s="132"/>
      <c r="EF120" s="54"/>
      <c r="EG120" s="54"/>
    </row>
    <row r="121" spans="2:137" s="31" customFormat="1">
      <c r="B121" s="20" t="s">
        <v>33</v>
      </c>
      <c r="C121" s="28"/>
      <c r="D121" s="28"/>
      <c r="E121" s="28"/>
      <c r="F121" s="28"/>
      <c r="G121" s="28"/>
      <c r="H121" s="28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107"/>
      <c r="AF121" s="107"/>
      <c r="AG121" s="107"/>
      <c r="AH121" s="107"/>
      <c r="AI121" s="107"/>
      <c r="AJ121" s="115">
        <f t="shared" ref="AJ121:BD121" si="160">AJ43/AF43-1</f>
        <v>2.925925925925926</v>
      </c>
      <c r="AK121" s="115">
        <f t="shared" si="160"/>
        <v>7.2105263157894743</v>
      </c>
      <c r="AL121" s="115">
        <f t="shared" si="160"/>
        <v>1.5363636363636362</v>
      </c>
      <c r="AM121" s="115">
        <f t="shared" si="160"/>
        <v>6.5161290322580649</v>
      </c>
      <c r="AN121" s="115">
        <f t="shared" si="160"/>
        <v>0.41745283018867929</v>
      </c>
      <c r="AO121" s="115">
        <f t="shared" si="160"/>
        <v>1.3076923076923075</v>
      </c>
      <c r="AP121" s="115">
        <f t="shared" si="160"/>
        <v>1.3978494623655915</v>
      </c>
      <c r="AQ121" s="115">
        <f t="shared" si="160"/>
        <v>0.42632331902718179</v>
      </c>
      <c r="AR121" s="115">
        <f t="shared" si="160"/>
        <v>0.43926788685524132</v>
      </c>
      <c r="AS121" s="115">
        <f t="shared" si="160"/>
        <v>0.25277777777777777</v>
      </c>
      <c r="AT121" s="115">
        <f t="shared" si="160"/>
        <v>-0.61584454409566525</v>
      </c>
      <c r="AU121" s="115">
        <f t="shared" si="160"/>
        <v>-0.48645937813440321</v>
      </c>
      <c r="AV121" s="115">
        <f t="shared" si="160"/>
        <v>-0.67861271676300583</v>
      </c>
      <c r="AW121" s="115">
        <f t="shared" si="160"/>
        <v>-0.89135254988913526</v>
      </c>
      <c r="AX121" s="115">
        <f t="shared" si="160"/>
        <v>-0.60700389105058372</v>
      </c>
      <c r="AY121" s="115">
        <f t="shared" si="160"/>
        <v>-0.646484375</v>
      </c>
      <c r="AZ121" s="115">
        <f t="shared" si="160"/>
        <v>0.44244604316546754</v>
      </c>
      <c r="BA121" s="115">
        <f t="shared" si="160"/>
        <v>11.428571428571429</v>
      </c>
      <c r="BB121" s="115">
        <f t="shared" si="160"/>
        <v>8.8415841584158414</v>
      </c>
      <c r="BC121" s="115">
        <f t="shared" si="160"/>
        <v>5.6077348066298338</v>
      </c>
      <c r="BD121" s="115">
        <f t="shared" si="160"/>
        <v>0.28927680798004984</v>
      </c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15"/>
      <c r="CM121" s="115"/>
      <c r="CN121" s="115"/>
      <c r="CO121" s="115"/>
      <c r="CP121" s="115"/>
      <c r="CQ121" s="115"/>
      <c r="CR121" s="115"/>
      <c r="CS121" s="115"/>
      <c r="CT121" s="115"/>
      <c r="CU121" s="115"/>
      <c r="CV121" s="115"/>
      <c r="CW121" s="115"/>
      <c r="CX121" s="115"/>
      <c r="CY121" s="115"/>
      <c r="CZ121" s="115"/>
      <c r="DA121" s="115"/>
      <c r="DB121" s="115"/>
      <c r="DC121" s="115"/>
      <c r="DD121" s="115"/>
      <c r="DE121" s="115"/>
      <c r="DF121" s="115"/>
      <c r="DG121" s="115"/>
      <c r="DH121" s="115"/>
      <c r="DI121" s="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4"/>
      <c r="EE121" s="132"/>
      <c r="EF121" s="54"/>
      <c r="EG121" s="54"/>
    </row>
    <row r="122" spans="2:137" s="31" customFormat="1">
      <c r="B122" s="20" t="s">
        <v>40</v>
      </c>
      <c r="C122" s="28"/>
      <c r="D122" s="28"/>
      <c r="E122" s="28"/>
      <c r="F122" s="28"/>
      <c r="G122" s="28"/>
      <c r="H122" s="28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107"/>
      <c r="AF122" s="107"/>
      <c r="AG122" s="107"/>
      <c r="AH122" s="107"/>
      <c r="AI122" s="107"/>
      <c r="AJ122" s="115">
        <f t="shared" ref="AJ122:BD122" si="161">AJ28/AF28-1</f>
        <v>2.7100271002709064E-3</v>
      </c>
      <c r="AK122" s="115">
        <f t="shared" si="161"/>
        <v>0.22857142857142865</v>
      </c>
      <c r="AL122" s="115">
        <f t="shared" si="161"/>
        <v>0.3086053412462908</v>
      </c>
      <c r="AM122" s="115">
        <f t="shared" si="161"/>
        <v>0.33717579250720453</v>
      </c>
      <c r="AN122" s="115">
        <f t="shared" si="161"/>
        <v>0.22702702702702693</v>
      </c>
      <c r="AO122" s="115">
        <f t="shared" si="161"/>
        <v>1.6279069767441756E-2</v>
      </c>
      <c r="AP122" s="115">
        <f t="shared" si="161"/>
        <v>5.6689342403628107E-2</v>
      </c>
      <c r="AQ122" s="115">
        <f t="shared" si="161"/>
        <v>4.5258620689655249E-2</v>
      </c>
      <c r="AR122" s="115">
        <f t="shared" si="161"/>
        <v>4.8458149779735615E-2</v>
      </c>
      <c r="AS122" s="115">
        <f t="shared" si="161"/>
        <v>0.15102974828375282</v>
      </c>
      <c r="AT122" s="115">
        <f t="shared" si="161"/>
        <v>4.0772532188841248E-2</v>
      </c>
      <c r="AU122" s="115">
        <f t="shared" si="161"/>
        <v>0.12989690721649483</v>
      </c>
      <c r="AV122" s="115">
        <f t="shared" si="161"/>
        <v>2.3109243697478909E-2</v>
      </c>
      <c r="AW122" s="115">
        <f t="shared" si="161"/>
        <v>3.9761431411530879E-2</v>
      </c>
      <c r="AX122" s="115">
        <f t="shared" si="161"/>
        <v>5.7731958762886615E-2</v>
      </c>
      <c r="AY122" s="115">
        <f t="shared" si="161"/>
        <v>5.1094890510948954E-2</v>
      </c>
      <c r="AZ122" s="115">
        <f t="shared" si="161"/>
        <v>6.1601642710472193E-2</v>
      </c>
      <c r="BA122" s="115">
        <f t="shared" si="161"/>
        <v>-0.21606118546845121</v>
      </c>
      <c r="BB122" s="115">
        <f t="shared" si="161"/>
        <v>-0.29434697855750491</v>
      </c>
      <c r="BC122" s="115">
        <f t="shared" si="161"/>
        <v>-0.50173611111111116</v>
      </c>
      <c r="BD122" s="115">
        <f t="shared" si="161"/>
        <v>-0.30947775628626695</v>
      </c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  <c r="CI122" s="115"/>
      <c r="CJ122" s="115"/>
      <c r="CK122" s="115"/>
      <c r="CL122" s="115"/>
      <c r="CM122" s="115"/>
      <c r="CN122" s="115"/>
      <c r="CO122" s="115"/>
      <c r="CP122" s="115"/>
      <c r="CQ122" s="115"/>
      <c r="CR122" s="115"/>
      <c r="CS122" s="115"/>
      <c r="CT122" s="115"/>
      <c r="CU122" s="115"/>
      <c r="CV122" s="115"/>
      <c r="CW122" s="115"/>
      <c r="CX122" s="115"/>
      <c r="CY122" s="115"/>
      <c r="CZ122" s="115"/>
      <c r="DA122" s="115"/>
      <c r="DB122" s="115"/>
      <c r="DC122" s="115"/>
      <c r="DD122" s="115"/>
      <c r="DE122" s="115"/>
      <c r="DF122" s="115"/>
      <c r="DG122" s="115"/>
      <c r="DH122" s="115"/>
      <c r="DI122" s="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4"/>
      <c r="EE122" s="132"/>
      <c r="EF122" s="54"/>
      <c r="EG122" s="54"/>
    </row>
    <row r="123" spans="2:137" s="31" customFormat="1">
      <c r="B123" s="20" t="s">
        <v>34</v>
      </c>
      <c r="C123" s="28"/>
      <c r="D123" s="28"/>
      <c r="E123" s="28"/>
      <c r="F123" s="28"/>
      <c r="G123" s="28"/>
      <c r="H123" s="28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107"/>
      <c r="AF123" s="107"/>
      <c r="AG123" s="107"/>
      <c r="AH123" s="107"/>
      <c r="AI123" s="107"/>
      <c r="AJ123" s="115">
        <f t="shared" ref="AJ123:AS124" si="162">AJ39/AF39-1</f>
        <v>0.12456747404844282</v>
      </c>
      <c r="AK123" s="115">
        <f t="shared" si="162"/>
        <v>0.20338983050847448</v>
      </c>
      <c r="AL123" s="115">
        <f t="shared" si="162"/>
        <v>0.18243243243243246</v>
      </c>
      <c r="AM123" s="115">
        <f t="shared" si="162"/>
        <v>0.24749163879598668</v>
      </c>
      <c r="AN123" s="115">
        <f t="shared" si="162"/>
        <v>7.6923076923076872E-2</v>
      </c>
      <c r="AO123" s="115">
        <f t="shared" si="162"/>
        <v>5.3521126760563309E-2</v>
      </c>
      <c r="AP123" s="115">
        <f t="shared" si="162"/>
        <v>0</v>
      </c>
      <c r="AQ123" s="115">
        <f t="shared" si="162"/>
        <v>5.3619302949061698E-2</v>
      </c>
      <c r="AR123" s="115">
        <f t="shared" si="162"/>
        <v>0.14285714285714279</v>
      </c>
      <c r="AS123" s="115">
        <f t="shared" si="162"/>
        <v>8.8235294117646967E-2</v>
      </c>
      <c r="AT123" s="115">
        <f t="shared" ref="AT123:BC124" si="163">AT39/AP39-1</f>
        <v>9.4285714285714306E-2</v>
      </c>
      <c r="AU123" s="115">
        <f t="shared" si="163"/>
        <v>0.13740458015267176</v>
      </c>
      <c r="AV123" s="115">
        <f t="shared" si="163"/>
        <v>-7.7500000000000013E-2</v>
      </c>
      <c r="AW123" s="115">
        <f t="shared" si="163"/>
        <v>2.2113022113022129E-2</v>
      </c>
      <c r="AX123" s="115">
        <f t="shared" si="163"/>
        <v>5.7441253263707637E-2</v>
      </c>
      <c r="AY123" s="115">
        <f t="shared" si="163"/>
        <v>-4.4742729306487261E-3</v>
      </c>
      <c r="AZ123" s="115">
        <f t="shared" si="163"/>
        <v>6.5040650406503975E-2</v>
      </c>
      <c r="BA123" s="115">
        <f t="shared" si="163"/>
        <v>7.9326923076923128E-2</v>
      </c>
      <c r="BB123" s="115">
        <f t="shared" si="163"/>
        <v>8.1481481481481488E-2</v>
      </c>
      <c r="BC123" s="115">
        <f t="shared" si="163"/>
        <v>-0.15730337078651691</v>
      </c>
      <c r="BD123" s="115">
        <f t="shared" ref="BD123:BD124" si="164">BD39/AZ39-1</f>
        <v>0.12213740458015265</v>
      </c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  <c r="CI123" s="115"/>
      <c r="CJ123" s="115"/>
      <c r="CK123" s="115"/>
      <c r="CL123" s="115"/>
      <c r="CM123" s="115"/>
      <c r="CN123" s="115"/>
      <c r="CO123" s="115"/>
      <c r="CP123" s="115"/>
      <c r="CQ123" s="115"/>
      <c r="CR123" s="115"/>
      <c r="CS123" s="115"/>
      <c r="CT123" s="115"/>
      <c r="CU123" s="115"/>
      <c r="CV123" s="115"/>
      <c r="CW123" s="115"/>
      <c r="CX123" s="115"/>
      <c r="CY123" s="115"/>
      <c r="CZ123" s="115"/>
      <c r="DA123" s="115"/>
      <c r="DB123" s="115"/>
      <c r="DC123" s="115"/>
      <c r="DD123" s="115"/>
      <c r="DE123" s="115"/>
      <c r="DF123" s="115"/>
      <c r="DG123" s="115"/>
      <c r="DH123" s="115"/>
      <c r="DI123" s="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4"/>
      <c r="EE123" s="132"/>
      <c r="EF123" s="54"/>
      <c r="EG123" s="54"/>
    </row>
    <row r="124" spans="2:137" s="31" customFormat="1">
      <c r="B124" s="20" t="s">
        <v>31</v>
      </c>
      <c r="C124" s="28"/>
      <c r="D124" s="28"/>
      <c r="E124" s="28"/>
      <c r="F124" s="28"/>
      <c r="G124" s="28"/>
      <c r="H124" s="28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107"/>
      <c r="AF124" s="107"/>
      <c r="AG124" s="107"/>
      <c r="AH124" s="107"/>
      <c r="AI124" s="107"/>
      <c r="AJ124" s="115">
        <f t="shared" si="162"/>
        <v>0.43478260869565211</v>
      </c>
      <c r="AK124" s="115">
        <f t="shared" si="162"/>
        <v>0.484375</v>
      </c>
      <c r="AL124" s="115">
        <f t="shared" si="162"/>
        <v>0.46896551724137936</v>
      </c>
      <c r="AM124" s="115">
        <f t="shared" si="162"/>
        <v>0.56164383561643838</v>
      </c>
      <c r="AN124" s="115">
        <f t="shared" si="162"/>
        <v>0.44242424242424239</v>
      </c>
      <c r="AO124" s="115">
        <f t="shared" si="162"/>
        <v>0.23157894736842111</v>
      </c>
      <c r="AP124" s="115">
        <f t="shared" si="162"/>
        <v>0.1220657276995305</v>
      </c>
      <c r="AQ124" s="115">
        <f t="shared" si="162"/>
        <v>0.14035087719298245</v>
      </c>
      <c r="AR124" s="115">
        <f t="shared" si="162"/>
        <v>0.12184873949579833</v>
      </c>
      <c r="AS124" s="115">
        <f t="shared" si="162"/>
        <v>0.20512820512820507</v>
      </c>
      <c r="AT124" s="115">
        <f t="shared" si="163"/>
        <v>0.21338912133891208</v>
      </c>
      <c r="AU124" s="115">
        <f t="shared" si="163"/>
        <v>0.19999999999999996</v>
      </c>
      <c r="AV124" s="115">
        <f t="shared" si="163"/>
        <v>5.2434456928838857E-2</v>
      </c>
      <c r="AW124" s="115">
        <f t="shared" si="163"/>
        <v>3.5460992907801359E-2</v>
      </c>
      <c r="AX124" s="115">
        <f t="shared" si="163"/>
        <v>5.862068965517242E-2</v>
      </c>
      <c r="AY124" s="115">
        <f t="shared" si="163"/>
        <v>6.0897435897435903E-2</v>
      </c>
      <c r="AZ124" s="115">
        <f t="shared" si="163"/>
        <v>5.3380782918149405E-2</v>
      </c>
      <c r="BA124" s="115">
        <f t="shared" si="163"/>
        <v>0.13013698630136994</v>
      </c>
      <c r="BB124" s="115">
        <f t="shared" si="163"/>
        <v>6.1889250814332275E-2</v>
      </c>
      <c r="BC124" s="115">
        <f t="shared" si="163"/>
        <v>-6.9486404833836835E-2</v>
      </c>
      <c r="BD124" s="115">
        <f t="shared" si="164"/>
        <v>0.18918918918918926</v>
      </c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115"/>
      <c r="DH124" s="115"/>
      <c r="DI124" s="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4"/>
      <c r="EE124" s="132"/>
      <c r="EF124" s="54"/>
      <c r="EG124" s="54"/>
    </row>
    <row r="125" spans="2:137" s="31" customFormat="1">
      <c r="B125" s="20" t="s">
        <v>25</v>
      </c>
      <c r="C125" s="28"/>
      <c r="D125" s="28"/>
      <c r="E125" s="28"/>
      <c r="F125" s="28"/>
      <c r="G125" s="28"/>
      <c r="H125" s="28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107"/>
      <c r="AF125" s="107"/>
      <c r="AG125" s="107"/>
      <c r="AH125" s="107"/>
      <c r="AI125" s="107"/>
      <c r="AJ125" s="115"/>
      <c r="AK125" s="115"/>
      <c r="AL125" s="115"/>
      <c r="AM125" s="115">
        <f t="shared" ref="AM125:BD125" si="165">AM41/AI41-1</f>
        <v>7.2941176470588243</v>
      </c>
      <c r="AN125" s="115">
        <f t="shared" si="165"/>
        <v>2.0175438596491229</v>
      </c>
      <c r="AO125" s="115">
        <f t="shared" si="165"/>
        <v>1.2159090909090908</v>
      </c>
      <c r="AP125" s="115">
        <f t="shared" si="165"/>
        <v>1.0891089108910892</v>
      </c>
      <c r="AQ125" s="115">
        <f t="shared" si="165"/>
        <v>0.66666666666666674</v>
      </c>
      <c r="AR125" s="115">
        <f t="shared" si="165"/>
        <v>0.41279069767441867</v>
      </c>
      <c r="AS125" s="115">
        <f t="shared" si="165"/>
        <v>0.33333333333333326</v>
      </c>
      <c r="AT125" s="115">
        <f t="shared" si="165"/>
        <v>0.28436018957345977</v>
      </c>
      <c r="AU125" s="115">
        <f t="shared" si="165"/>
        <v>0.22553191489361701</v>
      </c>
      <c r="AV125" s="115">
        <f t="shared" si="165"/>
        <v>0.17695473251028804</v>
      </c>
      <c r="AW125" s="115">
        <f t="shared" si="165"/>
        <v>0.1576923076923078</v>
      </c>
      <c r="AX125" s="115">
        <f t="shared" si="165"/>
        <v>9.9630996309963082E-2</v>
      </c>
      <c r="AY125" s="115">
        <f t="shared" si="165"/>
        <v>0.14583333333333326</v>
      </c>
      <c r="AZ125" s="115">
        <f t="shared" si="165"/>
        <v>0.11888111888111896</v>
      </c>
      <c r="BA125" s="115">
        <f t="shared" si="165"/>
        <v>7.3089700996677776E-2</v>
      </c>
      <c r="BB125" s="115">
        <f t="shared" si="165"/>
        <v>7.0469798657718075E-2</v>
      </c>
      <c r="BC125" s="115">
        <f t="shared" si="165"/>
        <v>3.6363636363636376E-2</v>
      </c>
      <c r="BD125" s="115">
        <f t="shared" si="165"/>
        <v>1.8750000000000044E-2</v>
      </c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15"/>
      <c r="CM125" s="115"/>
      <c r="CN125" s="115"/>
      <c r="CO125" s="115"/>
      <c r="CP125" s="115"/>
      <c r="CQ125" s="115"/>
      <c r="CR125" s="115"/>
      <c r="CS125" s="115"/>
      <c r="CT125" s="115"/>
      <c r="CU125" s="115"/>
      <c r="CV125" s="115"/>
      <c r="CW125" s="115"/>
      <c r="CX125" s="115"/>
      <c r="CY125" s="115"/>
      <c r="CZ125" s="115"/>
      <c r="DA125" s="115"/>
      <c r="DB125" s="115"/>
      <c r="DC125" s="115"/>
      <c r="DD125" s="115"/>
      <c r="DE125" s="115"/>
      <c r="DF125" s="115"/>
      <c r="DG125" s="115"/>
      <c r="DH125" s="115"/>
      <c r="DI125" s="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4"/>
      <c r="EE125" s="132"/>
      <c r="EF125" s="54"/>
      <c r="EG125" s="54"/>
    </row>
    <row r="126" spans="2:137" s="31" customFormat="1">
      <c r="B126" s="20" t="s">
        <v>29</v>
      </c>
      <c r="C126" s="28"/>
      <c r="D126" s="28"/>
      <c r="E126" s="28"/>
      <c r="F126" s="28"/>
      <c r="G126" s="28"/>
      <c r="H126" s="28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77"/>
      <c r="AQ126" s="77"/>
      <c r="AR126" s="77"/>
      <c r="AS126" s="77"/>
      <c r="AT126" s="115">
        <f t="shared" ref="AT126:BD126" si="166">AT21/AP21-1</f>
        <v>0.24479166666666674</v>
      </c>
      <c r="AU126" s="115">
        <f t="shared" si="166"/>
        <v>-0.1648351648351648</v>
      </c>
      <c r="AV126" s="115">
        <f t="shared" si="166"/>
        <v>-0.18250950570342206</v>
      </c>
      <c r="AW126" s="115">
        <f t="shared" si="166"/>
        <v>-0.13793103448275867</v>
      </c>
      <c r="AX126" s="115">
        <f t="shared" si="166"/>
        <v>2.9288702928870203E-2</v>
      </c>
      <c r="AY126" s="115">
        <f t="shared" si="166"/>
        <v>0.20175438596491224</v>
      </c>
      <c r="AZ126" s="115">
        <f t="shared" si="166"/>
        <v>0.29767441860465116</v>
      </c>
      <c r="BA126" s="115">
        <f t="shared" si="166"/>
        <v>0.30666666666666664</v>
      </c>
      <c r="BB126" s="115">
        <f t="shared" si="166"/>
        <v>0.20325203252032531</v>
      </c>
      <c r="BC126" s="115">
        <f t="shared" si="166"/>
        <v>0.2007299270072993</v>
      </c>
      <c r="BD126" s="115">
        <f t="shared" si="166"/>
        <v>0.17204301075268824</v>
      </c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  <c r="CI126" s="115"/>
      <c r="CJ126" s="115"/>
      <c r="CK126" s="115"/>
      <c r="CL126" s="115"/>
      <c r="CM126" s="115"/>
      <c r="CN126" s="115"/>
      <c r="CO126" s="115"/>
      <c r="CP126" s="115"/>
      <c r="CQ126" s="115"/>
      <c r="CR126" s="115"/>
      <c r="CS126" s="115"/>
      <c r="CT126" s="115"/>
      <c r="CU126" s="115"/>
      <c r="CV126" s="115"/>
      <c r="CW126" s="115"/>
      <c r="CX126" s="115"/>
      <c r="CY126" s="115"/>
      <c r="CZ126" s="115"/>
      <c r="DA126" s="115"/>
      <c r="DB126" s="115"/>
      <c r="DC126" s="115"/>
      <c r="DD126" s="115"/>
      <c r="DE126" s="115"/>
      <c r="DF126" s="115"/>
      <c r="DG126" s="115"/>
      <c r="DH126" s="115"/>
      <c r="DI126" s="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4"/>
      <c r="EE126" s="132"/>
      <c r="EF126" s="54"/>
      <c r="EG126" s="54"/>
    </row>
    <row r="127" spans="2:137" s="31" customFormat="1">
      <c r="B127" s="20" t="s">
        <v>140</v>
      </c>
      <c r="C127" s="28"/>
      <c r="D127" s="28"/>
      <c r="E127" s="28"/>
      <c r="F127" s="28"/>
      <c r="G127" s="28"/>
      <c r="H127" s="28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107"/>
      <c r="AF127" s="107"/>
      <c r="AG127" s="107"/>
      <c r="AH127" s="107"/>
      <c r="AI127" s="107"/>
      <c r="AJ127" s="115"/>
      <c r="AK127" s="115"/>
      <c r="AL127" s="115"/>
      <c r="AM127" s="115"/>
      <c r="AN127" s="115"/>
      <c r="AO127" s="115">
        <f t="shared" ref="AO127:BD127" si="167">AO42/AK42-1</f>
        <v>3.3809523809523814</v>
      </c>
      <c r="AP127" s="115">
        <f t="shared" si="167"/>
        <v>9.1428571428571423</v>
      </c>
      <c r="AQ127" s="115">
        <f t="shared" si="167"/>
        <v>2.5098039215686274</v>
      </c>
      <c r="AR127" s="115">
        <f t="shared" si="167"/>
        <v>1.2666666666666666</v>
      </c>
      <c r="AS127" s="115">
        <f t="shared" si="167"/>
        <v>1.2173913043478262</v>
      </c>
      <c r="AT127" s="115">
        <f t="shared" si="167"/>
        <v>0.61971830985915499</v>
      </c>
      <c r="AU127" s="115">
        <f t="shared" si="167"/>
        <v>0.58100558659217882</v>
      </c>
      <c r="AV127" s="115">
        <f t="shared" si="167"/>
        <v>0.41764705882352948</v>
      </c>
      <c r="AW127" s="115">
        <f t="shared" si="167"/>
        <v>0.30392156862745101</v>
      </c>
      <c r="AX127" s="115">
        <f t="shared" si="167"/>
        <v>0.16521739130434776</v>
      </c>
      <c r="AY127" s="115">
        <f t="shared" si="167"/>
        <v>0.1766784452296819</v>
      </c>
      <c r="AZ127" s="115">
        <f t="shared" si="167"/>
        <v>3.3195020746888071E-2</v>
      </c>
      <c r="BA127" s="115">
        <f t="shared" si="167"/>
        <v>3.7593984962406068E-2</v>
      </c>
      <c r="BB127" s="115">
        <f t="shared" si="167"/>
        <v>-4.8507462686567138E-2</v>
      </c>
      <c r="BC127" s="115">
        <f t="shared" si="167"/>
        <v>-0.16516516516516522</v>
      </c>
      <c r="BD127" s="115">
        <f t="shared" si="167"/>
        <v>0.11244979919678721</v>
      </c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  <c r="CI127" s="115"/>
      <c r="CJ127" s="115"/>
      <c r="CK127" s="115"/>
      <c r="CL127" s="115"/>
      <c r="CM127" s="115"/>
      <c r="CN127" s="115"/>
      <c r="CO127" s="115"/>
      <c r="CP127" s="115"/>
      <c r="CQ127" s="115"/>
      <c r="CR127" s="115"/>
      <c r="CS127" s="115"/>
      <c r="CT127" s="115"/>
      <c r="CU127" s="115"/>
      <c r="CV127" s="115"/>
      <c r="CW127" s="115"/>
      <c r="CX127" s="115"/>
      <c r="CY127" s="115"/>
      <c r="CZ127" s="115"/>
      <c r="DA127" s="115"/>
      <c r="DB127" s="115"/>
      <c r="DC127" s="115"/>
      <c r="DD127" s="115"/>
      <c r="DE127" s="115"/>
      <c r="DF127" s="115"/>
      <c r="DG127" s="115"/>
      <c r="DH127" s="115"/>
      <c r="DI127" s="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4"/>
      <c r="EE127" s="132"/>
      <c r="EF127" s="54"/>
      <c r="EG127" s="54"/>
    </row>
    <row r="128" spans="2:137" s="31" customFormat="1">
      <c r="B128" s="20" t="s">
        <v>39</v>
      </c>
      <c r="C128" s="28"/>
      <c r="D128" s="28"/>
      <c r="E128" s="28"/>
      <c r="F128" s="28"/>
      <c r="G128" s="28"/>
      <c r="H128" s="28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107"/>
      <c r="AF128" s="107"/>
      <c r="AG128" s="107"/>
      <c r="AH128" s="107"/>
      <c r="AI128" s="107"/>
      <c r="AJ128" s="115">
        <f t="shared" ref="AJ128:BD128" si="168">AJ49/AF49-1</f>
        <v>6.8493150684931781E-3</v>
      </c>
      <c r="AK128" s="115">
        <f t="shared" si="168"/>
        <v>0</v>
      </c>
      <c r="AL128" s="115">
        <f t="shared" si="168"/>
        <v>0.11724137931034484</v>
      </c>
      <c r="AM128" s="115">
        <f t="shared" si="168"/>
        <v>0.17518248175182483</v>
      </c>
      <c r="AN128" s="115">
        <f t="shared" si="168"/>
        <v>0.23129251700680276</v>
      </c>
      <c r="AO128" s="115">
        <f t="shared" si="168"/>
        <v>0.10303030303030303</v>
      </c>
      <c r="AP128" s="115">
        <f t="shared" si="168"/>
        <v>-1.2345679012345734E-2</v>
      </c>
      <c r="AQ128" s="115">
        <f t="shared" si="168"/>
        <v>5.5900621118012417E-2</v>
      </c>
      <c r="AR128" s="115">
        <f t="shared" si="168"/>
        <v>-9.9447513812154664E-2</v>
      </c>
      <c r="AS128" s="115">
        <f t="shared" si="168"/>
        <v>-3.2967032967032961E-2</v>
      </c>
      <c r="AT128" s="115">
        <f t="shared" si="168"/>
        <v>-5.6250000000000022E-2</v>
      </c>
      <c r="AU128" s="115">
        <f t="shared" si="168"/>
        <v>-0.16470588235294115</v>
      </c>
      <c r="AV128" s="115">
        <f t="shared" si="168"/>
        <v>-0.16564417177914115</v>
      </c>
      <c r="AW128" s="115">
        <f t="shared" si="168"/>
        <v>-0.27272727272727271</v>
      </c>
      <c r="AX128" s="115">
        <f t="shared" si="168"/>
        <v>-0.16556291390728473</v>
      </c>
      <c r="AY128" s="115">
        <f t="shared" si="168"/>
        <v>-0.21126760563380287</v>
      </c>
      <c r="AZ128" s="115">
        <f t="shared" si="168"/>
        <v>-0.24264705882352944</v>
      </c>
      <c r="BA128" s="115">
        <f t="shared" si="168"/>
        <v>-0.171875</v>
      </c>
      <c r="BB128" s="115">
        <f t="shared" si="168"/>
        <v>-0.22222222222222221</v>
      </c>
      <c r="BC128" s="115">
        <f t="shared" si="168"/>
        <v>-0.1964285714285714</v>
      </c>
      <c r="BD128" s="115">
        <f t="shared" si="168"/>
        <v>-0.11650485436893199</v>
      </c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  <c r="CI128" s="115"/>
      <c r="CJ128" s="115"/>
      <c r="CK128" s="115"/>
      <c r="CL128" s="115"/>
      <c r="CM128" s="115"/>
      <c r="CN128" s="115"/>
      <c r="CO128" s="115"/>
      <c r="CP128" s="115"/>
      <c r="CQ128" s="115"/>
      <c r="CR128" s="115"/>
      <c r="CS128" s="115"/>
      <c r="CT128" s="115"/>
      <c r="CU128" s="115"/>
      <c r="CV128" s="115"/>
      <c r="CW128" s="115"/>
      <c r="CX128" s="115"/>
      <c r="CY128" s="115"/>
      <c r="CZ128" s="115"/>
      <c r="DA128" s="115"/>
      <c r="DB128" s="115"/>
      <c r="DC128" s="115"/>
      <c r="DD128" s="115"/>
      <c r="DE128" s="115"/>
      <c r="DF128" s="115"/>
      <c r="DG128" s="115"/>
      <c r="DH128" s="115"/>
      <c r="DI128" s="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4"/>
      <c r="EE128" s="132"/>
      <c r="EF128" s="54"/>
      <c r="EG128" s="54"/>
    </row>
    <row r="129" spans="2:137" s="31" customFormat="1">
      <c r="B129" s="20" t="s">
        <v>28</v>
      </c>
      <c r="C129" s="28"/>
      <c r="D129" s="28"/>
      <c r="E129" s="28"/>
      <c r="F129" s="28"/>
      <c r="G129" s="28"/>
      <c r="H129" s="28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107"/>
      <c r="AF129" s="107"/>
      <c r="AG129" s="107"/>
      <c r="AH129" s="107"/>
      <c r="AI129" s="107"/>
      <c r="AJ129" s="115">
        <f t="shared" ref="AJ129:BD129" si="169">AJ19/AF19-1</f>
        <v>1.1315789473684212</v>
      </c>
      <c r="AK129" s="115">
        <f t="shared" si="169"/>
        <v>0.81818181818181812</v>
      </c>
      <c r="AL129" s="115">
        <f t="shared" si="169"/>
        <v>0.52941176470588225</v>
      </c>
      <c r="AM129" s="115">
        <f t="shared" si="169"/>
        <v>0.68493150684931514</v>
      </c>
      <c r="AN129" s="115">
        <f t="shared" si="169"/>
        <v>0.53086419753086411</v>
      </c>
      <c r="AO129" s="115">
        <f t="shared" si="169"/>
        <v>0.33000000000000007</v>
      </c>
      <c r="AP129" s="115">
        <f t="shared" si="169"/>
        <v>0.29807692307692313</v>
      </c>
      <c r="AQ129" s="115">
        <f t="shared" si="169"/>
        <v>0.17886178861788626</v>
      </c>
      <c r="AR129" s="115">
        <f t="shared" si="169"/>
        <v>9.6774193548387011E-2</v>
      </c>
      <c r="AS129" s="115">
        <f t="shared" si="169"/>
        <v>0.11278195488721798</v>
      </c>
      <c r="AT129" s="115">
        <f t="shared" si="169"/>
        <v>7.4074074074074181E-2</v>
      </c>
      <c r="AU129" s="115">
        <f t="shared" si="169"/>
        <v>-4.8275862068965503E-2</v>
      </c>
      <c r="AV129" s="115">
        <f t="shared" si="169"/>
        <v>-8.0882352941176516E-2</v>
      </c>
      <c r="AW129" s="115">
        <f t="shared" si="169"/>
        <v>-9.4594594594594628E-2</v>
      </c>
      <c r="AX129" s="115">
        <f t="shared" si="169"/>
        <v>0</v>
      </c>
      <c r="AY129" s="115">
        <f t="shared" si="169"/>
        <v>0.13043478260869557</v>
      </c>
      <c r="AZ129" s="115">
        <f t="shared" si="169"/>
        <v>0.21599999999999997</v>
      </c>
      <c r="BA129" s="115">
        <f t="shared" si="169"/>
        <v>0.20149253731343286</v>
      </c>
      <c r="BB129" s="115">
        <f t="shared" si="169"/>
        <v>8.2758620689655116E-2</v>
      </c>
      <c r="BC129" s="115">
        <f t="shared" si="169"/>
        <v>-3.8461538461538436E-2</v>
      </c>
      <c r="BD129" s="115">
        <f t="shared" si="169"/>
        <v>-2.6315789473684181E-2</v>
      </c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115"/>
      <c r="CL129" s="115"/>
      <c r="CM129" s="115"/>
      <c r="CN129" s="115"/>
      <c r="CO129" s="115"/>
      <c r="CP129" s="115"/>
      <c r="CQ129" s="115"/>
      <c r="CR129" s="115"/>
      <c r="CS129" s="115"/>
      <c r="CT129" s="115"/>
      <c r="CU129" s="115"/>
      <c r="CV129" s="115"/>
      <c r="CW129" s="115"/>
      <c r="CX129" s="115"/>
      <c r="CY129" s="115"/>
      <c r="CZ129" s="115"/>
      <c r="DA129" s="115"/>
      <c r="DB129" s="115"/>
      <c r="DC129" s="115"/>
      <c r="DD129" s="115"/>
      <c r="DE129" s="115"/>
      <c r="DF129" s="115"/>
      <c r="DG129" s="115"/>
      <c r="DH129" s="115"/>
      <c r="DI129" s="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4"/>
      <c r="EE129" s="132"/>
      <c r="EF129" s="54"/>
      <c r="EG129" s="54"/>
    </row>
    <row r="130" spans="2:137" s="31" customFormat="1">
      <c r="B130" s="20" t="s">
        <v>141</v>
      </c>
      <c r="C130" s="28"/>
      <c r="D130" s="28"/>
      <c r="E130" s="28"/>
      <c r="F130" s="28"/>
      <c r="G130" s="28"/>
      <c r="H130" s="28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107"/>
      <c r="AF130" s="107"/>
      <c r="AG130" s="107"/>
      <c r="AH130" s="107"/>
      <c r="AI130" s="107"/>
      <c r="AJ130" s="115">
        <f t="shared" ref="AJ130:AS131" si="170">AJ44/AF44-1</f>
        <v>0</v>
      </c>
      <c r="AK130" s="115">
        <f t="shared" si="170"/>
        <v>0.25316455696202533</v>
      </c>
      <c r="AL130" s="115">
        <f t="shared" si="170"/>
        <v>0.23456790123456783</v>
      </c>
      <c r="AM130" s="115">
        <f t="shared" si="170"/>
        <v>0.31325301204819267</v>
      </c>
      <c r="AN130" s="115">
        <f t="shared" si="170"/>
        <v>0.27906976744186052</v>
      </c>
      <c r="AO130" s="115">
        <f t="shared" si="170"/>
        <v>0.14141414141414144</v>
      </c>
      <c r="AP130" s="115">
        <f t="shared" si="170"/>
        <v>0.26</v>
      </c>
      <c r="AQ130" s="115">
        <f t="shared" si="170"/>
        <v>0.27522935779816504</v>
      </c>
      <c r="AR130" s="115">
        <f t="shared" si="170"/>
        <v>0.1272727272727272</v>
      </c>
      <c r="AS130" s="115">
        <f t="shared" si="170"/>
        <v>0.21238938053097356</v>
      </c>
      <c r="AT130" s="115">
        <f t="shared" ref="AT130:BC131" si="171">AT44/AP44-1</f>
        <v>8.7301587301587213E-2</v>
      </c>
      <c r="AU130" s="115">
        <f t="shared" si="171"/>
        <v>3.5971223021582732E-2</v>
      </c>
      <c r="AV130" s="115">
        <f t="shared" si="171"/>
        <v>3.2258064516129004E-2</v>
      </c>
      <c r="AW130" s="115">
        <f t="shared" si="171"/>
        <v>-7.2992700729926918E-3</v>
      </c>
      <c r="AX130" s="115">
        <f t="shared" si="171"/>
        <v>4.3795620437956151E-2</v>
      </c>
      <c r="AY130" s="115">
        <f t="shared" si="171"/>
        <v>3.4722222222222321E-2</v>
      </c>
      <c r="AZ130" s="115">
        <f t="shared" si="171"/>
        <v>2.34375E-2</v>
      </c>
      <c r="BA130" s="115">
        <f t="shared" si="171"/>
        <v>5.1470588235294157E-2</v>
      </c>
      <c r="BB130" s="115">
        <f t="shared" si="171"/>
        <v>3.4965034965035002E-2</v>
      </c>
      <c r="BC130" s="115">
        <f t="shared" si="171"/>
        <v>-4.6979865771812124E-2</v>
      </c>
      <c r="BD130" s="115">
        <f t="shared" ref="BD130:BD131" si="172">BD44/AZ44-1</f>
        <v>0.13740458015267176</v>
      </c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  <c r="CI130" s="115"/>
      <c r="CJ130" s="115"/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15"/>
      <c r="DE130" s="115"/>
      <c r="DF130" s="115"/>
      <c r="DG130" s="115"/>
      <c r="DH130" s="115"/>
      <c r="DI130" s="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4"/>
      <c r="EE130" s="132"/>
      <c r="EF130" s="54"/>
      <c r="EG130" s="54"/>
    </row>
    <row r="131" spans="2:137" s="31" customFormat="1">
      <c r="B131" s="20" t="s">
        <v>142</v>
      </c>
      <c r="C131" s="28"/>
      <c r="D131" s="28"/>
      <c r="E131" s="28"/>
      <c r="F131" s="28"/>
      <c r="G131" s="28"/>
      <c r="H131" s="28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107"/>
      <c r="AF131" s="107"/>
      <c r="AG131" s="107"/>
      <c r="AH131" s="107"/>
      <c r="AI131" s="107"/>
      <c r="AJ131" s="115">
        <f t="shared" si="170"/>
        <v>9.1743119266054496E-3</v>
      </c>
      <c r="AK131" s="115">
        <f t="shared" si="170"/>
        <v>5.1724137931034475E-2</v>
      </c>
      <c r="AL131" s="115">
        <f t="shared" si="170"/>
        <v>5.4545454545454453E-2</v>
      </c>
      <c r="AM131" s="115">
        <f t="shared" si="170"/>
        <v>0.12280701754385959</v>
      </c>
      <c r="AN131" s="115">
        <f t="shared" si="170"/>
        <v>7.2727272727272751E-2</v>
      </c>
      <c r="AO131" s="115">
        <f t="shared" si="170"/>
        <v>3.2786885245901676E-2</v>
      </c>
      <c r="AP131" s="115">
        <f t="shared" si="170"/>
        <v>1.7241379310344751E-2</v>
      </c>
      <c r="AQ131" s="115">
        <f t="shared" si="170"/>
        <v>3.125E-2</v>
      </c>
      <c r="AR131" s="115">
        <f t="shared" si="170"/>
        <v>-8.4745762711864181E-3</v>
      </c>
      <c r="AS131" s="115">
        <f t="shared" si="170"/>
        <v>-3.1746031746031744E-2</v>
      </c>
      <c r="AT131" s="115">
        <f t="shared" si="171"/>
        <v>0</v>
      </c>
      <c r="AU131" s="115">
        <f t="shared" si="171"/>
        <v>-0.14393939393939392</v>
      </c>
      <c r="AV131" s="115">
        <f t="shared" si="171"/>
        <v>-0.17094017094017089</v>
      </c>
      <c r="AW131" s="115">
        <f t="shared" si="171"/>
        <v>-0.19672131147540983</v>
      </c>
      <c r="AX131" s="115">
        <f t="shared" si="171"/>
        <v>-0.10169491525423724</v>
      </c>
      <c r="AY131" s="115">
        <f t="shared" si="171"/>
        <v>-8.8495575221239076E-3</v>
      </c>
      <c r="AZ131" s="115">
        <f t="shared" si="171"/>
        <v>7.2164948453608213E-2</v>
      </c>
      <c r="BA131" s="115">
        <f t="shared" si="171"/>
        <v>9.1836734693877542E-2</v>
      </c>
      <c r="BB131" s="115">
        <f t="shared" si="171"/>
        <v>-5.6603773584905648E-2</v>
      </c>
      <c r="BC131" s="115">
        <f t="shared" si="171"/>
        <v>-0.2053571428571429</v>
      </c>
      <c r="BD131" s="115">
        <f t="shared" si="172"/>
        <v>-0.125</v>
      </c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15"/>
      <c r="DE131" s="115"/>
      <c r="DF131" s="115"/>
      <c r="DG131" s="115"/>
      <c r="DH131" s="115"/>
      <c r="DI131" s="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4"/>
      <c r="EE131" s="132"/>
      <c r="EF131" s="54"/>
      <c r="EG131" s="54"/>
    </row>
    <row r="132" spans="2:137" s="31" customFormat="1">
      <c r="B132" s="20" t="s">
        <v>27</v>
      </c>
      <c r="C132" s="28"/>
      <c r="D132" s="28"/>
      <c r="E132" s="28"/>
      <c r="F132" s="28"/>
      <c r="G132" s="28"/>
      <c r="H132" s="28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107"/>
      <c r="AF132" s="107"/>
      <c r="AG132" s="107"/>
      <c r="AH132" s="107"/>
      <c r="AI132" s="107"/>
      <c r="AJ132" s="115">
        <f t="shared" ref="AJ132:BD132" si="173">AJ27/AF27-1</f>
        <v>5.9523809523809534E-2</v>
      </c>
      <c r="AK132" s="115">
        <f t="shared" si="173"/>
        <v>0.18586636397103939</v>
      </c>
      <c r="AL132" s="115">
        <f t="shared" si="173"/>
        <v>0.16279069767441867</v>
      </c>
      <c r="AM132" s="115">
        <f t="shared" si="173"/>
        <v>0.2441860465116279</v>
      </c>
      <c r="AN132" s="115">
        <f t="shared" si="173"/>
        <v>0.22471910112359561</v>
      </c>
      <c r="AO132" s="115">
        <f t="shared" si="173"/>
        <v>6.1855670103092786E-2</v>
      </c>
      <c r="AP132" s="115">
        <f t="shared" si="173"/>
        <v>8.0000000000000071E-2</v>
      </c>
      <c r="AQ132" s="115">
        <f t="shared" si="173"/>
        <v>8.4112149532710179E-2</v>
      </c>
      <c r="AR132" s="115">
        <f t="shared" si="173"/>
        <v>1.8348623853210899E-2</v>
      </c>
      <c r="AS132" s="115">
        <f t="shared" si="173"/>
        <v>0.16504854368932032</v>
      </c>
      <c r="AT132" s="115">
        <f t="shared" si="173"/>
        <v>0.14814814814814814</v>
      </c>
      <c r="AU132" s="115">
        <f t="shared" si="173"/>
        <v>0.10344827586206895</v>
      </c>
      <c r="AV132" s="115">
        <f t="shared" si="173"/>
        <v>5.4054054054053946E-2</v>
      </c>
      <c r="AW132" s="115">
        <f t="shared" si="173"/>
        <v>0</v>
      </c>
      <c r="AX132" s="115">
        <f t="shared" si="173"/>
        <v>-3.2258064516129004E-2</v>
      </c>
      <c r="AY132" s="115">
        <f t="shared" si="173"/>
        <v>8.59375E-2</v>
      </c>
      <c r="AZ132" s="115">
        <f t="shared" si="173"/>
        <v>2.564102564102555E-2</v>
      </c>
      <c r="BA132" s="115">
        <f t="shared" si="173"/>
        <v>6.6666666666666652E-2</v>
      </c>
      <c r="BB132" s="115">
        <f t="shared" si="173"/>
        <v>4.1666666666666741E-2</v>
      </c>
      <c r="BC132" s="115">
        <f t="shared" si="173"/>
        <v>-7.9136690647481966E-2</v>
      </c>
      <c r="BD132" s="115">
        <f t="shared" si="173"/>
        <v>0.125</v>
      </c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115"/>
      <c r="CU132" s="115"/>
      <c r="CV132" s="115"/>
      <c r="CW132" s="115"/>
      <c r="CX132" s="115"/>
      <c r="CY132" s="115"/>
      <c r="CZ132" s="115"/>
      <c r="DA132" s="115"/>
      <c r="DB132" s="115"/>
      <c r="DC132" s="115"/>
      <c r="DD132" s="115"/>
      <c r="DE132" s="115"/>
      <c r="DF132" s="115"/>
      <c r="DG132" s="115"/>
      <c r="DH132" s="115"/>
      <c r="DI132" s="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4"/>
      <c r="EE132" s="132"/>
      <c r="EF132" s="54"/>
      <c r="EG132" s="54"/>
    </row>
    <row r="133" spans="2:137" s="31" customFormat="1">
      <c r="B133" s="20" t="s">
        <v>37</v>
      </c>
      <c r="C133" s="28"/>
      <c r="D133" s="28"/>
      <c r="E133" s="28"/>
      <c r="F133" s="28"/>
      <c r="G133" s="28"/>
      <c r="H133" s="28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77"/>
      <c r="AQ133" s="77"/>
      <c r="AR133" s="77"/>
      <c r="AS133" s="7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/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107"/>
      <c r="CU133" s="107"/>
      <c r="CV133" s="107"/>
      <c r="CW133" s="107"/>
      <c r="CX133" s="107"/>
      <c r="CY133" s="107"/>
      <c r="CZ133" s="107"/>
      <c r="DA133" s="107"/>
      <c r="DB133" s="107"/>
      <c r="DC133" s="107"/>
      <c r="DD133" s="107"/>
      <c r="DE133" s="107"/>
      <c r="DF133" s="107"/>
      <c r="DG133" s="107"/>
      <c r="DH133" s="107"/>
      <c r="DI133" s="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4"/>
      <c r="EE133" s="132"/>
      <c r="EF133" s="54"/>
      <c r="EG133" s="54"/>
    </row>
    <row r="134" spans="2:137" s="31" customFormat="1">
      <c r="B134" s="20" t="s">
        <v>30</v>
      </c>
      <c r="C134" s="28"/>
      <c r="D134" s="28"/>
      <c r="E134" s="28"/>
      <c r="F134" s="28"/>
      <c r="G134" s="28"/>
      <c r="H134" s="28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77"/>
      <c r="AQ134" s="77"/>
      <c r="AR134" s="77"/>
      <c r="AS134" s="7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4"/>
      <c r="EE134" s="132"/>
      <c r="EF134" s="54"/>
      <c r="EG134" s="54"/>
    </row>
    <row r="135" spans="2:137" s="31" customFormat="1">
      <c r="B135" s="20" t="s">
        <v>26</v>
      </c>
      <c r="C135" s="28"/>
      <c r="D135" s="28"/>
      <c r="E135" s="28"/>
      <c r="F135" s="28"/>
      <c r="G135" s="28"/>
      <c r="H135" s="28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77"/>
      <c r="AQ135" s="77"/>
      <c r="AR135" s="77"/>
      <c r="AS135" s="7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A135" s="107"/>
      <c r="DB135" s="107"/>
      <c r="DC135" s="107"/>
      <c r="DD135" s="107"/>
      <c r="DE135" s="107"/>
      <c r="DF135" s="107"/>
      <c r="DG135" s="107"/>
      <c r="DH135" s="107"/>
      <c r="DI135" s="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4"/>
      <c r="EE135" s="132"/>
      <c r="EF135" s="54"/>
      <c r="EG135" s="54"/>
    </row>
    <row r="136" spans="2:137" s="31" customFormat="1">
      <c r="C136" s="28"/>
      <c r="D136" s="28"/>
      <c r="E136" s="28"/>
      <c r="F136" s="28"/>
      <c r="G136" s="28"/>
      <c r="H136" s="28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77"/>
      <c r="AQ136" s="77"/>
      <c r="AR136" s="77"/>
      <c r="AS136" s="7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A136" s="107"/>
      <c r="DB136" s="107"/>
      <c r="DC136" s="107"/>
      <c r="DD136" s="107"/>
      <c r="DE136" s="107"/>
      <c r="DF136" s="107"/>
      <c r="DG136" s="107"/>
      <c r="DH136" s="107"/>
      <c r="DI136" s="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4"/>
      <c r="EE136" s="132"/>
      <c r="EF136" s="54"/>
      <c r="EG136" s="54"/>
    </row>
    <row r="137" spans="2:137" s="31" customFormat="1">
      <c r="B137" s="62" t="s">
        <v>610</v>
      </c>
      <c r="C137" s="28"/>
      <c r="D137" s="28"/>
      <c r="E137" s="28"/>
      <c r="F137" s="28"/>
      <c r="G137" s="28"/>
      <c r="H137" s="28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77"/>
      <c r="AQ137" s="77"/>
      <c r="AR137" s="77"/>
      <c r="AS137" s="7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A137" s="107"/>
      <c r="DB137" s="107"/>
      <c r="DC137" s="107"/>
      <c r="DD137" s="107"/>
      <c r="DE137" s="107"/>
      <c r="DF137" s="107"/>
      <c r="DG137" s="107"/>
      <c r="DH137" s="107"/>
      <c r="DI137" s="5"/>
      <c r="DJ137" s="55"/>
      <c r="DK137" s="55"/>
      <c r="DL137" s="55"/>
      <c r="DM137" s="55"/>
      <c r="DN137" s="55"/>
      <c r="DO137" s="55"/>
      <c r="DP137" s="55"/>
      <c r="DQ137" s="28">
        <f>DQ78</f>
        <v>9786</v>
      </c>
      <c r="DR137" s="28">
        <f t="shared" ref="DR137" si="174">DR78</f>
        <v>9919</v>
      </c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4"/>
      <c r="EE137" s="132"/>
      <c r="EF137" s="54"/>
      <c r="EG137" s="54"/>
    </row>
    <row r="138" spans="2:137" s="20" customFormat="1">
      <c r="B138" s="62" t="s">
        <v>607</v>
      </c>
      <c r="C138" s="28"/>
      <c r="D138" s="28"/>
      <c r="E138" s="52"/>
      <c r="F138" s="52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107"/>
      <c r="AF138" s="107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  <c r="BL138" s="108"/>
      <c r="BM138" s="108"/>
      <c r="BN138" s="108"/>
      <c r="BO138" s="108"/>
      <c r="BP138" s="108"/>
      <c r="BQ138" s="108"/>
      <c r="BR138" s="108"/>
      <c r="BS138" s="108"/>
      <c r="BT138" s="108"/>
      <c r="BU138" s="108"/>
      <c r="BV138" s="108"/>
      <c r="BW138" s="108"/>
      <c r="BX138" s="108"/>
      <c r="BY138" s="108"/>
      <c r="BZ138" s="108"/>
      <c r="CA138" s="108"/>
      <c r="CB138" s="108"/>
      <c r="CC138" s="108"/>
      <c r="CD138" s="108"/>
      <c r="CE138" s="108"/>
      <c r="CF138" s="108"/>
      <c r="CG138" s="108"/>
      <c r="CH138" s="108"/>
      <c r="CI138" s="108"/>
      <c r="CJ138" s="108"/>
      <c r="CK138" s="108"/>
      <c r="CL138" s="108"/>
      <c r="CM138" s="108"/>
      <c r="CN138" s="108"/>
      <c r="CO138" s="108"/>
      <c r="CP138" s="108"/>
      <c r="CQ138" s="108"/>
      <c r="CR138" s="108"/>
      <c r="CS138" s="108"/>
      <c r="CT138" s="108"/>
      <c r="CU138" s="108"/>
      <c r="CV138" s="108"/>
      <c r="CW138" s="108"/>
      <c r="CX138" s="108"/>
      <c r="CY138" s="108"/>
      <c r="CZ138" s="108"/>
      <c r="DA138" s="108"/>
      <c r="DB138" s="108"/>
      <c r="DC138" s="108"/>
      <c r="DD138" s="108"/>
      <c r="DE138" s="108"/>
      <c r="DF138" s="108"/>
      <c r="DG138" s="108"/>
      <c r="DH138" s="108"/>
      <c r="DI138" s="5"/>
      <c r="DJ138" s="28"/>
      <c r="DK138" s="28"/>
      <c r="DL138" s="28"/>
      <c r="DM138" s="28"/>
      <c r="DN138" s="28"/>
      <c r="DO138" s="28"/>
      <c r="DP138" s="28"/>
      <c r="DQ138" s="28">
        <v>12177</v>
      </c>
      <c r="DR138" s="28">
        <v>16877</v>
      </c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52"/>
      <c r="EE138" s="21"/>
      <c r="EF138" s="52"/>
      <c r="EG138" s="52"/>
    </row>
    <row r="139" spans="2:137" s="20" customFormat="1">
      <c r="B139" s="62" t="s">
        <v>608</v>
      </c>
      <c r="C139" s="28"/>
      <c r="D139" s="28"/>
      <c r="E139" s="28"/>
      <c r="F139" s="28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107"/>
      <c r="AF139" s="107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/>
      <c r="BV139" s="108"/>
      <c r="BW139" s="108"/>
      <c r="BX139" s="108"/>
      <c r="BY139" s="108"/>
      <c r="BZ139" s="108"/>
      <c r="CA139" s="108"/>
      <c r="CB139" s="108"/>
      <c r="CC139" s="108"/>
      <c r="CD139" s="108"/>
      <c r="CE139" s="108"/>
      <c r="CF139" s="108"/>
      <c r="CG139" s="108"/>
      <c r="CH139" s="108"/>
      <c r="CI139" s="108"/>
      <c r="CJ139" s="108"/>
      <c r="CK139" s="108"/>
      <c r="CL139" s="108"/>
      <c r="CM139" s="108"/>
      <c r="CN139" s="108"/>
      <c r="CO139" s="108"/>
      <c r="CP139" s="108"/>
      <c r="CQ139" s="108"/>
      <c r="CR139" s="108"/>
      <c r="CS139" s="108"/>
      <c r="CT139" s="108"/>
      <c r="CU139" s="108"/>
      <c r="CV139" s="108"/>
      <c r="CW139" s="108"/>
      <c r="CX139" s="108"/>
      <c r="CY139" s="108"/>
      <c r="CZ139" s="108"/>
      <c r="DA139" s="108"/>
      <c r="DB139" s="108"/>
      <c r="DC139" s="108"/>
      <c r="DD139" s="108"/>
      <c r="DE139" s="108"/>
      <c r="DF139" s="108"/>
      <c r="DG139" s="108"/>
      <c r="DH139" s="108"/>
      <c r="DI139" s="5"/>
      <c r="DJ139" s="28"/>
      <c r="DK139" s="28"/>
      <c r="DL139" s="28"/>
      <c r="DM139" s="28"/>
      <c r="DN139" s="28"/>
      <c r="DO139" s="28"/>
      <c r="DP139" s="28"/>
      <c r="DQ139" s="28">
        <v>3139</v>
      </c>
      <c r="DR139" s="28">
        <v>2984</v>
      </c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52"/>
      <c r="EE139" s="21"/>
      <c r="EF139" s="52"/>
      <c r="EG139" s="52"/>
    </row>
    <row r="140" spans="2:137" s="20" customFormat="1">
      <c r="B140" s="62" t="s">
        <v>609</v>
      </c>
      <c r="C140" s="28"/>
      <c r="D140" s="28"/>
      <c r="E140" s="33"/>
      <c r="F140" s="33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107"/>
      <c r="AF140" s="107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  <c r="BF140" s="108"/>
      <c r="BG140" s="108"/>
      <c r="BH140" s="108"/>
      <c r="BI140" s="108"/>
      <c r="BJ140" s="108"/>
      <c r="BK140" s="108"/>
      <c r="BL140" s="108"/>
      <c r="BM140" s="108"/>
      <c r="BN140" s="108"/>
      <c r="BO140" s="108"/>
      <c r="BP140" s="108"/>
      <c r="BQ140" s="108"/>
      <c r="BR140" s="108"/>
      <c r="BS140" s="108"/>
      <c r="BT140" s="108"/>
      <c r="BU140" s="108"/>
      <c r="BV140" s="108"/>
      <c r="BW140" s="108"/>
      <c r="BX140" s="108"/>
      <c r="BY140" s="108"/>
      <c r="BZ140" s="108"/>
      <c r="CA140" s="108"/>
      <c r="CB140" s="108"/>
      <c r="CC140" s="108"/>
      <c r="CD140" s="108"/>
      <c r="CE140" s="108"/>
      <c r="CF140" s="108"/>
      <c r="CG140" s="108"/>
      <c r="CH140" s="108"/>
      <c r="CI140" s="108"/>
      <c r="CJ140" s="108"/>
      <c r="CK140" s="108"/>
      <c r="CL140" s="108"/>
      <c r="CM140" s="108"/>
      <c r="CN140" s="108"/>
      <c r="CO140" s="108"/>
      <c r="CP140" s="108"/>
      <c r="CQ140" s="108"/>
      <c r="CR140" s="108"/>
      <c r="CS140" s="108"/>
      <c r="CT140" s="108"/>
      <c r="CU140" s="108"/>
      <c r="CV140" s="108"/>
      <c r="CW140" s="108"/>
      <c r="CX140" s="108"/>
      <c r="CY140" s="108"/>
      <c r="CZ140" s="108"/>
      <c r="DA140" s="108"/>
      <c r="DB140" s="108"/>
      <c r="DC140" s="108"/>
      <c r="DD140" s="108"/>
      <c r="DE140" s="108"/>
      <c r="DF140" s="108"/>
      <c r="DG140" s="108"/>
      <c r="DH140" s="108"/>
      <c r="DI140" s="5"/>
      <c r="DJ140" s="28"/>
      <c r="DK140" s="28"/>
      <c r="DL140" s="28"/>
      <c r="DM140" s="28"/>
      <c r="DN140" s="28"/>
      <c r="DO140" s="28"/>
      <c r="DP140" s="28"/>
      <c r="DQ140" s="28">
        <f>+DQ138-DQ139</f>
        <v>9038</v>
      </c>
      <c r="DR140" s="28">
        <f>+DR138-DR139</f>
        <v>13893</v>
      </c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52"/>
      <c r="EE140" s="21"/>
      <c r="EF140" s="52"/>
      <c r="EG140" s="52"/>
    </row>
    <row r="141" spans="2:137" s="20" customFormat="1">
      <c r="C141" s="28"/>
      <c r="D141" s="28"/>
      <c r="E141" s="28"/>
      <c r="F141" s="28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107"/>
      <c r="AF141" s="107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108"/>
      <c r="BF141" s="108"/>
      <c r="BG141" s="108"/>
      <c r="BH141" s="108"/>
      <c r="BI141" s="108"/>
      <c r="BJ141" s="108"/>
      <c r="BK141" s="108"/>
      <c r="BL141" s="108"/>
      <c r="BM141" s="108"/>
      <c r="BN141" s="108"/>
      <c r="BO141" s="108"/>
      <c r="BP141" s="108"/>
      <c r="BQ141" s="108"/>
      <c r="BR141" s="108"/>
      <c r="BS141" s="108"/>
      <c r="BT141" s="108"/>
      <c r="BU141" s="108"/>
      <c r="BV141" s="108"/>
      <c r="BW141" s="108"/>
      <c r="BX141" s="108"/>
      <c r="BY141" s="108"/>
      <c r="BZ141" s="108"/>
      <c r="CA141" s="108"/>
      <c r="CB141" s="108"/>
      <c r="CC141" s="108"/>
      <c r="CD141" s="108"/>
      <c r="CE141" s="108"/>
      <c r="CF141" s="108"/>
      <c r="CG141" s="108"/>
      <c r="CH141" s="108"/>
      <c r="CI141" s="108"/>
      <c r="CJ141" s="108"/>
      <c r="CK141" s="108"/>
      <c r="CL141" s="108"/>
      <c r="CM141" s="108"/>
      <c r="CN141" s="108"/>
      <c r="CO141" s="108"/>
      <c r="CP141" s="108"/>
      <c r="CQ141" s="108"/>
      <c r="CR141" s="108"/>
      <c r="CS141" s="108"/>
      <c r="CT141" s="108"/>
      <c r="CU141" s="108"/>
      <c r="CV141" s="108"/>
      <c r="CW141" s="108"/>
      <c r="CX141" s="108"/>
      <c r="CY141" s="108"/>
      <c r="CZ141" s="108"/>
      <c r="DA141" s="108"/>
      <c r="DB141" s="108"/>
      <c r="DC141" s="108"/>
      <c r="DD141" s="108"/>
      <c r="DE141" s="108"/>
      <c r="DF141" s="108"/>
      <c r="DG141" s="108"/>
      <c r="DH141" s="108"/>
      <c r="DI141" s="5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52"/>
      <c r="EE141" s="21"/>
      <c r="EF141" s="52"/>
      <c r="EG141" s="52"/>
    </row>
    <row r="142" spans="2:137" s="20" customFormat="1">
      <c r="B142" s="62" t="s">
        <v>819</v>
      </c>
      <c r="C142" s="28"/>
      <c r="D142" s="28"/>
      <c r="E142" s="28"/>
      <c r="F142" s="28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107"/>
      <c r="AF142" s="107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108"/>
      <c r="BF142" s="108"/>
      <c r="BG142" s="108"/>
      <c r="BH142" s="108"/>
      <c r="BI142" s="108"/>
      <c r="BJ142" s="108"/>
      <c r="BK142" s="108"/>
      <c r="BL142" s="108"/>
      <c r="BM142" s="108"/>
      <c r="BN142" s="108"/>
      <c r="BO142" s="108"/>
      <c r="BP142" s="108"/>
      <c r="BQ142" s="108"/>
      <c r="BR142" s="108"/>
      <c r="BS142" s="108"/>
      <c r="BT142" s="108"/>
      <c r="BU142" s="108"/>
      <c r="BV142" s="108"/>
      <c r="BW142" s="108"/>
      <c r="BX142" s="108"/>
      <c r="BY142" s="108"/>
      <c r="BZ142" s="108"/>
      <c r="CA142" s="108"/>
      <c r="CB142" s="108"/>
      <c r="CC142" s="108"/>
      <c r="CD142" s="108"/>
      <c r="CE142" s="108"/>
      <c r="CF142" s="108"/>
      <c r="CG142" s="108"/>
      <c r="CH142" s="108"/>
      <c r="CI142" s="108"/>
      <c r="CJ142" s="108"/>
      <c r="CK142" s="108"/>
      <c r="CL142" s="108"/>
      <c r="CM142" s="108"/>
      <c r="CN142" s="108"/>
      <c r="CO142" s="108"/>
      <c r="CP142" s="108"/>
      <c r="CQ142" s="108"/>
      <c r="CR142" s="108"/>
      <c r="CS142" s="108"/>
      <c r="CT142" s="108"/>
      <c r="CU142" s="108"/>
      <c r="CV142" s="108"/>
      <c r="CW142" s="108"/>
      <c r="CX142" s="108"/>
      <c r="CY142" s="108"/>
      <c r="CZ142" s="108"/>
      <c r="DA142" s="108"/>
      <c r="DB142" s="108"/>
      <c r="DC142" s="108"/>
      <c r="DD142" s="108"/>
      <c r="DE142" s="108"/>
      <c r="DF142" s="108"/>
      <c r="DG142" s="108"/>
      <c r="DH142" s="108"/>
      <c r="DI142" s="5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>
        <v>82089</v>
      </c>
      <c r="DV142" s="28">
        <v>85080</v>
      </c>
      <c r="DW142" s="28">
        <v>88509</v>
      </c>
      <c r="DX142" s="28">
        <v>91747</v>
      </c>
      <c r="DY142" s="28">
        <v>94052</v>
      </c>
      <c r="DZ142" s="28">
        <v>93734</v>
      </c>
      <c r="EA142" s="28">
        <v>94442</v>
      </c>
      <c r="EB142" s="28">
        <v>97735</v>
      </c>
      <c r="EC142" s="28">
        <v>101465</v>
      </c>
      <c r="ED142" s="28">
        <v>100920</v>
      </c>
      <c r="EE142" s="21"/>
      <c r="EF142" s="52"/>
      <c r="EG142" s="52"/>
    </row>
    <row r="143" spans="2:137" s="20" customFormat="1">
      <c r="C143" s="28"/>
      <c r="D143" s="28"/>
      <c r="E143" s="28"/>
      <c r="F143" s="28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107"/>
      <c r="AF143" s="107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108"/>
      <c r="BF143" s="108"/>
      <c r="BG143" s="108"/>
      <c r="BH143" s="108"/>
      <c r="BI143" s="108"/>
      <c r="BJ143" s="108"/>
      <c r="BK143" s="108"/>
      <c r="BL143" s="108"/>
      <c r="BM143" s="108"/>
      <c r="BN143" s="108"/>
      <c r="BO143" s="108"/>
      <c r="BP143" s="108"/>
      <c r="BQ143" s="108"/>
      <c r="BR143" s="108"/>
      <c r="BS143" s="108"/>
      <c r="BT143" s="108"/>
      <c r="BU143" s="108"/>
      <c r="BV143" s="108"/>
      <c r="BW143" s="108"/>
      <c r="BX143" s="108"/>
      <c r="BY143" s="108"/>
      <c r="BZ143" s="108"/>
      <c r="CA143" s="108"/>
      <c r="CB143" s="108"/>
      <c r="CC143" s="108"/>
      <c r="CD143" s="108"/>
      <c r="CE143" s="108"/>
      <c r="CF143" s="108"/>
      <c r="CG143" s="108"/>
      <c r="CH143" s="108"/>
      <c r="CI143" s="108"/>
      <c r="CJ143" s="108"/>
      <c r="CK143" s="108"/>
      <c r="CL143" s="108"/>
      <c r="CM143" s="108"/>
      <c r="CN143" s="108"/>
      <c r="CO143" s="108"/>
      <c r="CP143" s="108"/>
      <c r="CQ143" s="108"/>
      <c r="CR143" s="108"/>
      <c r="CS143" s="108"/>
      <c r="CT143" s="108"/>
      <c r="CU143" s="108"/>
      <c r="CV143" s="108"/>
      <c r="CW143" s="108"/>
      <c r="CX143" s="108"/>
      <c r="CY143" s="108"/>
      <c r="CZ143" s="108"/>
      <c r="DA143" s="108"/>
      <c r="DB143" s="108"/>
      <c r="DC143" s="108"/>
      <c r="DD143" s="108"/>
      <c r="DE143" s="108"/>
      <c r="DF143" s="108"/>
      <c r="DG143" s="108"/>
      <c r="DH143" s="108"/>
      <c r="DI143" s="5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52"/>
      <c r="EE143" s="21"/>
      <c r="EF143" s="52"/>
      <c r="EG143" s="52"/>
    </row>
    <row r="144" spans="2:137" s="20" customFormat="1">
      <c r="B144" s="62" t="s">
        <v>820</v>
      </c>
      <c r="C144" s="28"/>
      <c r="D144" s="28"/>
      <c r="E144" s="28"/>
      <c r="F144" s="28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107"/>
      <c r="AF144" s="107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108"/>
      <c r="BF144" s="108"/>
      <c r="BG144" s="108"/>
      <c r="BH144" s="108"/>
      <c r="BI144" s="108"/>
      <c r="BJ144" s="108"/>
      <c r="BK144" s="108"/>
      <c r="BL144" s="108"/>
      <c r="BM144" s="108"/>
      <c r="BN144" s="108"/>
      <c r="BO144" s="108"/>
      <c r="BP144" s="108"/>
      <c r="BQ144" s="108"/>
      <c r="BR144" s="108"/>
      <c r="BS144" s="108"/>
      <c r="BT144" s="108"/>
      <c r="BU144" s="108"/>
      <c r="BV144" s="108"/>
      <c r="BW144" s="108"/>
      <c r="BX144" s="108"/>
      <c r="BY144" s="108"/>
      <c r="BZ144" s="108"/>
      <c r="CA144" s="108"/>
      <c r="CB144" s="108"/>
      <c r="CC144" s="108"/>
      <c r="CD144" s="108"/>
      <c r="CE144" s="108"/>
      <c r="CF144" s="108"/>
      <c r="CG144" s="108"/>
      <c r="CH144" s="108"/>
      <c r="CI144" s="108"/>
      <c r="CJ144" s="108"/>
      <c r="CK144" s="108"/>
      <c r="CL144" s="108"/>
      <c r="CM144" s="108"/>
      <c r="CN144" s="108"/>
      <c r="CO144" s="108"/>
      <c r="CP144" s="108"/>
      <c r="CQ144" s="108"/>
      <c r="CR144" s="108"/>
      <c r="CS144" s="108"/>
      <c r="CT144" s="108"/>
      <c r="CU144" s="108"/>
      <c r="CV144" s="108"/>
      <c r="CW144" s="108"/>
      <c r="CX144" s="108"/>
      <c r="CY144" s="108"/>
      <c r="CZ144" s="108"/>
      <c r="DA144" s="108"/>
      <c r="DB144" s="108"/>
      <c r="DC144" s="108"/>
      <c r="DD144" s="108"/>
      <c r="DE144" s="108"/>
      <c r="DF144" s="108"/>
      <c r="DG144" s="108"/>
      <c r="DH144" s="108"/>
      <c r="DI144" s="5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52"/>
      <c r="EE144" s="21"/>
      <c r="EF144" s="52"/>
      <c r="EG144" s="52"/>
    </row>
    <row r="145" spans="3:137" s="20" customFormat="1">
      <c r="C145" s="28"/>
      <c r="D145" s="28"/>
      <c r="E145" s="28"/>
      <c r="F145" s="28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107"/>
      <c r="AF145" s="107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108"/>
      <c r="BF145" s="108"/>
      <c r="BG145" s="108"/>
      <c r="BH145" s="108"/>
      <c r="BI145" s="108"/>
      <c r="BJ145" s="108"/>
      <c r="BK145" s="108"/>
      <c r="BL145" s="108"/>
      <c r="BM145" s="108"/>
      <c r="BN145" s="108"/>
      <c r="BO145" s="108"/>
      <c r="BP145" s="108"/>
      <c r="BQ145" s="108"/>
      <c r="BR145" s="108"/>
      <c r="BS145" s="108"/>
      <c r="BT145" s="108"/>
      <c r="BU145" s="108"/>
      <c r="BV145" s="108"/>
      <c r="BW145" s="108"/>
      <c r="BX145" s="108"/>
      <c r="BY145" s="108"/>
      <c r="BZ145" s="108"/>
      <c r="CA145" s="108"/>
      <c r="CB145" s="108"/>
      <c r="CC145" s="108"/>
      <c r="CD145" s="108"/>
      <c r="CE145" s="108"/>
      <c r="CF145" s="108"/>
      <c r="CG145" s="108"/>
      <c r="CH145" s="108"/>
      <c r="CI145" s="108"/>
      <c r="CJ145" s="108"/>
      <c r="CK145" s="108"/>
      <c r="CL145" s="108"/>
      <c r="CM145" s="108"/>
      <c r="CN145" s="108"/>
      <c r="CO145" s="108"/>
      <c r="CP145" s="108"/>
      <c r="CQ145" s="108"/>
      <c r="CR145" s="108"/>
      <c r="CS145" s="108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8"/>
      <c r="DD145" s="108"/>
      <c r="DE145" s="108"/>
      <c r="DF145" s="108"/>
      <c r="DG145" s="108"/>
      <c r="DH145" s="108"/>
      <c r="DI145" s="5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52"/>
      <c r="EE145" s="21"/>
      <c r="EF145" s="52"/>
      <c r="EG145" s="52"/>
    </row>
    <row r="146" spans="3:137" s="20" customFormat="1">
      <c r="C146" s="28"/>
      <c r="D146" s="28"/>
      <c r="E146" s="28"/>
      <c r="F146" s="28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107"/>
      <c r="AF146" s="107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  <c r="BG146" s="108"/>
      <c r="BH146" s="108"/>
      <c r="BI146" s="108"/>
      <c r="BJ146" s="108"/>
      <c r="BK146" s="108"/>
      <c r="BL146" s="108"/>
      <c r="BM146" s="108"/>
      <c r="BN146" s="108"/>
      <c r="BO146" s="108"/>
      <c r="BP146" s="108"/>
      <c r="BQ146" s="108"/>
      <c r="BR146" s="108"/>
      <c r="BS146" s="108"/>
      <c r="BT146" s="108"/>
      <c r="BU146" s="108"/>
      <c r="BV146" s="108"/>
      <c r="BW146" s="108"/>
      <c r="BX146" s="108"/>
      <c r="BY146" s="108"/>
      <c r="BZ146" s="108"/>
      <c r="CA146" s="108"/>
      <c r="CB146" s="108"/>
      <c r="CC146" s="108"/>
      <c r="CD146" s="108"/>
      <c r="CE146" s="108"/>
      <c r="CF146" s="108"/>
      <c r="CG146" s="108"/>
      <c r="CH146" s="108"/>
      <c r="CI146" s="108"/>
      <c r="CJ146" s="108"/>
      <c r="CK146" s="108"/>
      <c r="CL146" s="108"/>
      <c r="CM146" s="108"/>
      <c r="CN146" s="108"/>
      <c r="CO146" s="108"/>
      <c r="CP146" s="108"/>
      <c r="CQ146" s="108"/>
      <c r="CR146" s="108"/>
      <c r="CS146" s="108"/>
      <c r="CT146" s="108"/>
      <c r="CU146" s="108"/>
      <c r="CV146" s="108"/>
      <c r="CW146" s="108"/>
      <c r="CX146" s="108"/>
      <c r="CY146" s="108"/>
      <c r="CZ146" s="108"/>
      <c r="DA146" s="108"/>
      <c r="DB146" s="108"/>
      <c r="DC146" s="108"/>
      <c r="DD146" s="108"/>
      <c r="DE146" s="108"/>
      <c r="DF146" s="108"/>
      <c r="DG146" s="108"/>
      <c r="DH146" s="108"/>
      <c r="DI146" s="5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52"/>
      <c r="EE146" s="21"/>
      <c r="EF146" s="52"/>
      <c r="EG146" s="52"/>
    </row>
    <row r="147" spans="3:137" s="20" customFormat="1">
      <c r="C147" s="28"/>
      <c r="D147" s="28"/>
      <c r="E147" s="28"/>
      <c r="F147" s="28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107"/>
      <c r="AF147" s="107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  <c r="BG147" s="108"/>
      <c r="BH147" s="108"/>
      <c r="BI147" s="108"/>
      <c r="BJ147" s="108"/>
      <c r="BK147" s="108"/>
      <c r="BL147" s="108"/>
      <c r="BM147" s="108"/>
      <c r="BN147" s="108"/>
      <c r="BO147" s="108"/>
      <c r="BP147" s="108"/>
      <c r="BQ147" s="108"/>
      <c r="BR147" s="108"/>
      <c r="BS147" s="108"/>
      <c r="BT147" s="108"/>
      <c r="BU147" s="108"/>
      <c r="BV147" s="108"/>
      <c r="BW147" s="108"/>
      <c r="BX147" s="108"/>
      <c r="BY147" s="108"/>
      <c r="BZ147" s="108"/>
      <c r="CA147" s="108"/>
      <c r="CB147" s="108"/>
      <c r="CC147" s="108"/>
      <c r="CD147" s="108"/>
      <c r="CE147" s="108"/>
      <c r="CF147" s="108"/>
      <c r="CG147" s="108"/>
      <c r="CH147" s="108"/>
      <c r="CI147" s="108"/>
      <c r="CJ147" s="108"/>
      <c r="CK147" s="108"/>
      <c r="CL147" s="108"/>
      <c r="CM147" s="108"/>
      <c r="CN147" s="108"/>
      <c r="CO147" s="108"/>
      <c r="CP147" s="108"/>
      <c r="CQ147" s="108"/>
      <c r="CR147" s="108"/>
      <c r="CS147" s="108"/>
      <c r="CT147" s="108"/>
      <c r="CU147" s="108"/>
      <c r="CV147" s="108"/>
      <c r="CW147" s="108"/>
      <c r="CX147" s="108"/>
      <c r="CY147" s="108"/>
      <c r="CZ147" s="108"/>
      <c r="DA147" s="108"/>
      <c r="DB147" s="108"/>
      <c r="DC147" s="108"/>
      <c r="DD147" s="108"/>
      <c r="DE147" s="108"/>
      <c r="DF147" s="108"/>
      <c r="DG147" s="108"/>
      <c r="DH147" s="108"/>
      <c r="DI147" s="5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52"/>
      <c r="EE147" s="21"/>
      <c r="EF147" s="52"/>
      <c r="EG147" s="52"/>
    </row>
    <row r="148" spans="3:137" s="20" customFormat="1">
      <c r="C148" s="28"/>
      <c r="D148" s="28"/>
      <c r="E148" s="28"/>
      <c r="F148" s="28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107"/>
      <c r="AF148" s="107"/>
      <c r="AG148" s="108"/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  <c r="BG148" s="108"/>
      <c r="BH148" s="108"/>
      <c r="BI148" s="108"/>
      <c r="BJ148" s="108"/>
      <c r="BK148" s="108"/>
      <c r="BL148" s="108"/>
      <c r="BM148" s="108"/>
      <c r="BN148" s="108"/>
      <c r="BO148" s="108"/>
      <c r="BP148" s="108"/>
      <c r="BQ148" s="108"/>
      <c r="BR148" s="108"/>
      <c r="BS148" s="108"/>
      <c r="BT148" s="108"/>
      <c r="BU148" s="108"/>
      <c r="BV148" s="108"/>
      <c r="BW148" s="108"/>
      <c r="BX148" s="108"/>
      <c r="BY148" s="108"/>
      <c r="BZ148" s="108"/>
      <c r="CA148" s="108"/>
      <c r="CB148" s="108"/>
      <c r="CC148" s="108"/>
      <c r="CD148" s="108"/>
      <c r="CE148" s="108"/>
      <c r="CF148" s="108"/>
      <c r="CG148" s="108"/>
      <c r="CH148" s="108"/>
      <c r="CI148" s="108"/>
      <c r="CJ148" s="108"/>
      <c r="CK148" s="108"/>
      <c r="CL148" s="108"/>
      <c r="CM148" s="108"/>
      <c r="CN148" s="108"/>
      <c r="CO148" s="108"/>
      <c r="CP148" s="108"/>
      <c r="CQ148" s="108"/>
      <c r="CR148" s="108"/>
      <c r="CS148" s="108"/>
      <c r="CT148" s="108"/>
      <c r="CU148" s="108"/>
      <c r="CV148" s="108"/>
      <c r="CW148" s="108"/>
      <c r="CX148" s="108"/>
      <c r="CY148" s="108"/>
      <c r="CZ148" s="108"/>
      <c r="DA148" s="108"/>
      <c r="DB148" s="108"/>
      <c r="DC148" s="108"/>
      <c r="DD148" s="108"/>
      <c r="DE148" s="108"/>
      <c r="DF148" s="108"/>
      <c r="DG148" s="108"/>
      <c r="DH148" s="108"/>
      <c r="DI148" s="5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52"/>
      <c r="EE148" s="21"/>
      <c r="EF148" s="52"/>
      <c r="EG148" s="52"/>
    </row>
    <row r="149" spans="3:137" s="20" customFormat="1">
      <c r="C149" s="28"/>
      <c r="D149" s="28"/>
      <c r="E149" s="28"/>
      <c r="F149" s="28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107"/>
      <c r="AF149" s="107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  <c r="BG149" s="108"/>
      <c r="BH149" s="108"/>
      <c r="BI149" s="108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/>
      <c r="BY149" s="108"/>
      <c r="BZ149" s="108"/>
      <c r="CA149" s="108"/>
      <c r="CB149" s="108"/>
      <c r="CC149" s="108"/>
      <c r="CD149" s="108"/>
      <c r="CE149" s="108"/>
      <c r="CF149" s="108"/>
      <c r="CG149" s="108"/>
      <c r="CH149" s="108"/>
      <c r="CI149" s="108"/>
      <c r="CJ149" s="108"/>
      <c r="CK149" s="108"/>
      <c r="CL149" s="108"/>
      <c r="CM149" s="108"/>
      <c r="CN149" s="108"/>
      <c r="CO149" s="108"/>
      <c r="CP149" s="108"/>
      <c r="CQ149" s="108"/>
      <c r="CR149" s="108"/>
      <c r="CS149" s="108"/>
      <c r="CT149" s="108"/>
      <c r="CU149" s="108"/>
      <c r="CV149" s="108"/>
      <c r="CW149" s="108"/>
      <c r="CX149" s="108"/>
      <c r="CY149" s="108"/>
      <c r="CZ149" s="108"/>
      <c r="DA149" s="108"/>
      <c r="DB149" s="108"/>
      <c r="DC149" s="108"/>
      <c r="DD149" s="108"/>
      <c r="DE149" s="108"/>
      <c r="DF149" s="108"/>
      <c r="DG149" s="108"/>
      <c r="DH149" s="108"/>
      <c r="DI149" s="5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52"/>
      <c r="EE149" s="21"/>
      <c r="EF149" s="52"/>
      <c r="EG149" s="52"/>
    </row>
    <row r="150" spans="3:137" s="20" customFormat="1">
      <c r="C150" s="28"/>
      <c r="D150" s="28"/>
      <c r="E150" s="28"/>
      <c r="F150" s="28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107"/>
      <c r="AF150" s="107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  <c r="BG150" s="108"/>
      <c r="BH150" s="108"/>
      <c r="BI150" s="108"/>
      <c r="BJ150" s="108"/>
      <c r="BK150" s="108"/>
      <c r="BL150" s="108"/>
      <c r="BM150" s="108"/>
      <c r="BN150" s="108"/>
      <c r="BO150" s="108"/>
      <c r="BP150" s="108"/>
      <c r="BQ150" s="108"/>
      <c r="BR150" s="108"/>
      <c r="BS150" s="108"/>
      <c r="BT150" s="108"/>
      <c r="BU150" s="108"/>
      <c r="BV150" s="108"/>
      <c r="BW150" s="108"/>
      <c r="BX150" s="108"/>
      <c r="BY150" s="108"/>
      <c r="BZ150" s="108"/>
      <c r="CA150" s="108"/>
      <c r="CB150" s="108"/>
      <c r="CC150" s="108"/>
      <c r="CD150" s="108"/>
      <c r="CE150" s="108"/>
      <c r="CF150" s="108"/>
      <c r="CG150" s="108"/>
      <c r="CH150" s="108"/>
      <c r="CI150" s="108"/>
      <c r="CJ150" s="108"/>
      <c r="CK150" s="108"/>
      <c r="CL150" s="108"/>
      <c r="CM150" s="108"/>
      <c r="CN150" s="108"/>
      <c r="CO150" s="108"/>
      <c r="CP150" s="108"/>
      <c r="CQ150" s="108"/>
      <c r="CR150" s="108"/>
      <c r="CS150" s="108"/>
      <c r="CT150" s="108"/>
      <c r="CU150" s="108"/>
      <c r="CV150" s="108"/>
      <c r="CW150" s="108"/>
      <c r="CX150" s="108"/>
      <c r="CY150" s="108"/>
      <c r="CZ150" s="108"/>
      <c r="DA150" s="108"/>
      <c r="DB150" s="108"/>
      <c r="DC150" s="108"/>
      <c r="DD150" s="108"/>
      <c r="DE150" s="108"/>
      <c r="DF150" s="108"/>
      <c r="DG150" s="108"/>
      <c r="DH150" s="108"/>
      <c r="DI150" s="5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52"/>
      <c r="EE150" s="21"/>
      <c r="EF150" s="52"/>
      <c r="EG150" s="52"/>
    </row>
    <row r="151" spans="3:137" s="20" customFormat="1">
      <c r="C151" s="28"/>
      <c r="D151" s="28"/>
      <c r="E151" s="28"/>
      <c r="F151" s="28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107"/>
      <c r="AF151" s="107"/>
      <c r="AG151" s="108"/>
      <c r="AH151" s="108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/>
      <c r="BF151" s="108"/>
      <c r="BG151" s="108"/>
      <c r="BH151" s="108"/>
      <c r="BI151" s="108"/>
      <c r="BJ151" s="108"/>
      <c r="BK151" s="108"/>
      <c r="BL151" s="108"/>
      <c r="BM151" s="108"/>
      <c r="BN151" s="108"/>
      <c r="BO151" s="108"/>
      <c r="BP151" s="108"/>
      <c r="BQ151" s="108"/>
      <c r="BR151" s="108"/>
      <c r="BS151" s="108"/>
      <c r="BT151" s="108"/>
      <c r="BU151" s="108"/>
      <c r="BV151" s="108"/>
      <c r="BW151" s="108"/>
      <c r="BX151" s="108"/>
      <c r="BY151" s="108"/>
      <c r="BZ151" s="108"/>
      <c r="CA151" s="108"/>
      <c r="CB151" s="108"/>
      <c r="CC151" s="108"/>
      <c r="CD151" s="108"/>
      <c r="CE151" s="108"/>
      <c r="CF151" s="108"/>
      <c r="CG151" s="108"/>
      <c r="CH151" s="108"/>
      <c r="CI151" s="108"/>
      <c r="CJ151" s="108"/>
      <c r="CK151" s="108"/>
      <c r="CL151" s="108"/>
      <c r="CM151" s="108"/>
      <c r="CN151" s="108"/>
      <c r="CO151" s="108"/>
      <c r="CP151" s="108"/>
      <c r="CQ151" s="108"/>
      <c r="CR151" s="108"/>
      <c r="CS151" s="108"/>
      <c r="CT151" s="108"/>
      <c r="CU151" s="108"/>
      <c r="CV151" s="108"/>
      <c r="CW151" s="108"/>
      <c r="CX151" s="108"/>
      <c r="CY151" s="108"/>
      <c r="CZ151" s="108"/>
      <c r="DA151" s="108"/>
      <c r="DB151" s="108"/>
      <c r="DC151" s="108"/>
      <c r="DD151" s="108"/>
      <c r="DE151" s="108"/>
      <c r="DF151" s="108"/>
      <c r="DG151" s="108"/>
      <c r="DH151" s="108"/>
      <c r="DI151" s="5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52"/>
      <c r="EE151" s="21"/>
      <c r="EF151" s="52"/>
      <c r="EG151" s="52"/>
    </row>
    <row r="152" spans="3:137" s="20" customFormat="1">
      <c r="C152" s="28"/>
      <c r="D152" s="28"/>
      <c r="E152" s="28"/>
      <c r="F152" s="28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107"/>
      <c r="AF152" s="107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  <c r="BI152" s="108"/>
      <c r="BJ152" s="108"/>
      <c r="BK152" s="108"/>
      <c r="BL152" s="108"/>
      <c r="BM152" s="108"/>
      <c r="BN152" s="108"/>
      <c r="BO152" s="108"/>
      <c r="BP152" s="108"/>
      <c r="BQ152" s="108"/>
      <c r="BR152" s="108"/>
      <c r="BS152" s="108"/>
      <c r="BT152" s="108"/>
      <c r="BU152" s="108"/>
      <c r="BV152" s="108"/>
      <c r="BW152" s="108"/>
      <c r="BX152" s="108"/>
      <c r="BY152" s="108"/>
      <c r="BZ152" s="108"/>
      <c r="CA152" s="108"/>
      <c r="CB152" s="108"/>
      <c r="CC152" s="108"/>
      <c r="CD152" s="108"/>
      <c r="CE152" s="108"/>
      <c r="CF152" s="108"/>
      <c r="CG152" s="108"/>
      <c r="CH152" s="108"/>
      <c r="CI152" s="108"/>
      <c r="CJ152" s="108"/>
      <c r="CK152" s="108"/>
      <c r="CL152" s="108"/>
      <c r="CM152" s="108"/>
      <c r="CN152" s="108"/>
      <c r="CO152" s="108"/>
      <c r="CP152" s="108"/>
      <c r="CQ152" s="108"/>
      <c r="CR152" s="108"/>
      <c r="CS152" s="108"/>
      <c r="CT152" s="108"/>
      <c r="CU152" s="108"/>
      <c r="CV152" s="108"/>
      <c r="CW152" s="108"/>
      <c r="CX152" s="108"/>
      <c r="CY152" s="108"/>
      <c r="CZ152" s="108"/>
      <c r="DA152" s="108"/>
      <c r="DB152" s="108"/>
      <c r="DC152" s="108"/>
      <c r="DD152" s="108"/>
      <c r="DE152" s="108"/>
      <c r="DF152" s="108"/>
      <c r="DG152" s="108"/>
      <c r="DH152" s="108"/>
      <c r="DI152" s="5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52"/>
      <c r="EE152" s="21"/>
      <c r="EF152" s="52"/>
      <c r="EG152" s="52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1"/>
  <sheetViews>
    <sheetView workbookViewId="0">
      <selection activeCell="C6" sqref="C6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47" t="s">
        <v>55</v>
      </c>
    </row>
    <row r="2" spans="1:3">
      <c r="B2" s="2" t="s">
        <v>825</v>
      </c>
      <c r="C2" s="2" t="s">
        <v>805</v>
      </c>
    </row>
    <row r="3" spans="1:3">
      <c r="B3" s="2" t="s">
        <v>826</v>
      </c>
      <c r="C3" s="2" t="s">
        <v>827</v>
      </c>
    </row>
    <row r="4" spans="1:3">
      <c r="B4" s="2" t="s">
        <v>44</v>
      </c>
      <c r="C4" s="2" t="s">
        <v>828</v>
      </c>
    </row>
    <row r="5" spans="1:3">
      <c r="B5" s="2"/>
      <c r="C5" s="2" t="s">
        <v>844</v>
      </c>
    </row>
    <row r="6" spans="1:3">
      <c r="B6" s="2" t="s">
        <v>829</v>
      </c>
      <c r="C6" s="2" t="s">
        <v>823</v>
      </c>
    </row>
    <row r="7" spans="1:3">
      <c r="B7" s="2" t="s">
        <v>53</v>
      </c>
    </row>
    <row r="8" spans="1:3">
      <c r="C8" s="48" t="s">
        <v>843</v>
      </c>
    </row>
    <row r="9" spans="1:3">
      <c r="C9" s="2" t="s">
        <v>840</v>
      </c>
    </row>
    <row r="10" spans="1:3">
      <c r="C10" s="2" t="s">
        <v>841</v>
      </c>
    </row>
    <row r="11" spans="1:3">
      <c r="C11" s="2" t="s">
        <v>842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/>
  </sheetViews>
  <sheetFormatPr defaultRowHeight="12.75"/>
  <cols>
    <col min="1" max="1" width="5" bestFit="1" customWidth="1"/>
    <col min="2" max="2" width="22.7109375" customWidth="1"/>
    <col min="3" max="3" width="12.140625" customWidth="1"/>
  </cols>
  <sheetData>
    <row r="1" spans="1:5">
      <c r="A1" s="47" t="s">
        <v>55</v>
      </c>
    </row>
    <row r="2" spans="1:5">
      <c r="B2" s="2" t="s">
        <v>410</v>
      </c>
    </row>
    <row r="3" spans="1:5">
      <c r="B3" s="2" t="s">
        <v>508</v>
      </c>
    </row>
    <row r="4" spans="1:5">
      <c r="B4" s="2" t="s">
        <v>409</v>
      </c>
    </row>
    <row r="5" spans="1:5">
      <c r="B5" s="3" t="s">
        <v>403</v>
      </c>
    </row>
    <row r="6" spans="1:5">
      <c r="B6" s="3" t="s">
        <v>404</v>
      </c>
    </row>
    <row r="7" spans="1:5">
      <c r="B7" s="2" t="s">
        <v>412</v>
      </c>
    </row>
    <row r="8" spans="1:5">
      <c r="B8" s="2" t="s">
        <v>411</v>
      </c>
    </row>
    <row r="9" spans="1:5">
      <c r="B9" s="2" t="s">
        <v>459</v>
      </c>
    </row>
    <row r="11" spans="1:5">
      <c r="B11" s="48" t="s">
        <v>461</v>
      </c>
      <c r="C11" s="75" t="s">
        <v>486</v>
      </c>
      <c r="E11" s="48" t="s">
        <v>668</v>
      </c>
    </row>
    <row r="12" spans="1:5">
      <c r="B12" s="2" t="s">
        <v>462</v>
      </c>
      <c r="C12" s="76">
        <f>3363/7365</f>
        <v>0.4566191446028513</v>
      </c>
      <c r="E12" s="2" t="s">
        <v>671</v>
      </c>
    </row>
    <row r="13" spans="1:5">
      <c r="B13" s="2" t="s">
        <v>463</v>
      </c>
      <c r="C13" s="76">
        <f>346/7365</f>
        <v>4.6978954514596064E-2</v>
      </c>
      <c r="E13" s="2" t="s">
        <v>672</v>
      </c>
    </row>
    <row r="14" spans="1:5">
      <c r="B14" s="2" t="s">
        <v>464</v>
      </c>
      <c r="C14" s="76">
        <f>2158/7365</f>
        <v>0.29300746775288528</v>
      </c>
      <c r="E14" s="2" t="s">
        <v>669</v>
      </c>
    </row>
    <row r="15" spans="1:5">
      <c r="B15" s="2" t="s">
        <v>484</v>
      </c>
      <c r="C15" s="76">
        <f>882/7365</f>
        <v>0.11975560081466395</v>
      </c>
      <c r="E15" s="2" t="s">
        <v>670</v>
      </c>
    </row>
    <row r="16" spans="1:5">
      <c r="B16" s="2" t="s">
        <v>485</v>
      </c>
      <c r="C16" s="76">
        <f>616/7365</f>
        <v>8.3638832315003395E-2</v>
      </c>
      <c r="E16" s="2" t="s">
        <v>673</v>
      </c>
    </row>
    <row r="17" spans="5:5">
      <c r="E17" s="2"/>
    </row>
  </sheetData>
  <hyperlinks>
    <hyperlink ref="A1" location="Main!A1" display="Main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workbookViewId="0">
      <selection activeCell="C41" sqref="C41"/>
    </sheetView>
  </sheetViews>
  <sheetFormatPr defaultRowHeight="12.75"/>
  <cols>
    <col min="1" max="1" width="5" style="5" bestFit="1" customWidth="1"/>
    <col min="2" max="2" width="12.85546875" style="5" bestFit="1" customWidth="1"/>
    <col min="3" max="3" width="19.28515625" style="5" customWidth="1"/>
    <col min="4" max="16384" width="9.140625" style="5"/>
  </cols>
  <sheetData>
    <row r="1" spans="1:3">
      <c r="A1" s="15" t="s">
        <v>55</v>
      </c>
    </row>
    <row r="2" spans="1:3">
      <c r="B2" s="5" t="s">
        <v>49</v>
      </c>
      <c r="C2" s="5" t="s">
        <v>165</v>
      </c>
    </row>
    <row r="3" spans="1:3">
      <c r="B3" s="5" t="s">
        <v>51</v>
      </c>
      <c r="C3" s="5" t="s">
        <v>166</v>
      </c>
    </row>
    <row r="4" spans="1:3">
      <c r="B4" s="5" t="s">
        <v>44</v>
      </c>
      <c r="C4" s="17" t="s">
        <v>307</v>
      </c>
    </row>
    <row r="5" spans="1:3">
      <c r="B5" s="5" t="s">
        <v>65</v>
      </c>
      <c r="C5" s="5" t="s">
        <v>208</v>
      </c>
    </row>
    <row r="6" spans="1:3">
      <c r="B6" s="5" t="s">
        <v>168</v>
      </c>
      <c r="C6" s="5" t="s">
        <v>169</v>
      </c>
    </row>
    <row r="7" spans="1:3">
      <c r="B7" s="5" t="s">
        <v>106</v>
      </c>
      <c r="C7" s="5" t="s">
        <v>287</v>
      </c>
    </row>
    <row r="8" spans="1:3">
      <c r="B8" s="17" t="s">
        <v>9</v>
      </c>
      <c r="C8" s="17" t="s">
        <v>301</v>
      </c>
    </row>
    <row r="9" spans="1:3">
      <c r="B9" s="3" t="s">
        <v>81</v>
      </c>
      <c r="C9" s="3" t="s">
        <v>529</v>
      </c>
    </row>
    <row r="10" spans="1:3">
      <c r="B10" s="3" t="s">
        <v>74</v>
      </c>
      <c r="C10" s="3" t="s">
        <v>614</v>
      </c>
    </row>
    <row r="11" spans="1:3">
      <c r="B11" s="3" t="s">
        <v>75</v>
      </c>
      <c r="C11" s="3" t="s">
        <v>489</v>
      </c>
    </row>
    <row r="12" spans="1:3" s="41" customFormat="1">
      <c r="B12" s="41" t="s">
        <v>53</v>
      </c>
    </row>
    <row r="13" spans="1:3">
      <c r="C13" s="18" t="s">
        <v>167</v>
      </c>
    </row>
    <row r="14" spans="1:3">
      <c r="C14" s="5" t="s">
        <v>170</v>
      </c>
    </row>
    <row r="16" spans="1:3">
      <c r="C16" s="18" t="s">
        <v>293</v>
      </c>
    </row>
    <row r="17" spans="3:3">
      <c r="C17" s="5" t="s">
        <v>171</v>
      </c>
    </row>
    <row r="19" spans="3:3">
      <c r="C19" s="18" t="s">
        <v>218</v>
      </c>
    </row>
    <row r="20" spans="3:3">
      <c r="C20" s="5" t="s">
        <v>219</v>
      </c>
    </row>
    <row r="22" spans="3:3">
      <c r="C22" s="18" t="s">
        <v>220</v>
      </c>
    </row>
    <row r="24" spans="3:3">
      <c r="C24" s="18" t="s">
        <v>405</v>
      </c>
    </row>
    <row r="25" spans="3:3">
      <c r="C25" s="3" t="s">
        <v>398</v>
      </c>
    </row>
    <row r="26" spans="3:3">
      <c r="C26" s="3"/>
    </row>
    <row r="27" spans="3:3">
      <c r="C27" s="18" t="s">
        <v>520</v>
      </c>
    </row>
    <row r="28" spans="3:3">
      <c r="C28" s="3" t="s">
        <v>521</v>
      </c>
    </row>
    <row r="29" spans="3:3">
      <c r="C29" s="3"/>
    </row>
    <row r="30" spans="3:3">
      <c r="C30" s="18" t="s">
        <v>522</v>
      </c>
    </row>
    <row r="31" spans="3:3">
      <c r="C31" s="3" t="s">
        <v>523</v>
      </c>
    </row>
    <row r="32" spans="3:3">
      <c r="C32" s="3"/>
    </row>
    <row r="33" spans="3:29">
      <c r="C33" s="18" t="s">
        <v>517</v>
      </c>
    </row>
    <row r="34" spans="3:29">
      <c r="C34" s="3" t="s">
        <v>524</v>
      </c>
    </row>
    <row r="35" spans="3:29">
      <c r="C35" s="3"/>
    </row>
    <row r="36" spans="3:29">
      <c r="C36" s="18" t="s">
        <v>688</v>
      </c>
    </row>
    <row r="37" spans="3:29">
      <c r="C37" s="3" t="s">
        <v>689</v>
      </c>
    </row>
    <row r="38" spans="3:29">
      <c r="C38" s="3"/>
    </row>
    <row r="39" spans="3:29">
      <c r="C39" s="18" t="s">
        <v>690</v>
      </c>
    </row>
    <row r="40" spans="3:29">
      <c r="C40" s="3" t="s">
        <v>691</v>
      </c>
    </row>
    <row r="42" spans="3:29">
      <c r="C42" s="36" t="s">
        <v>56</v>
      </c>
      <c r="D42" s="56" t="s">
        <v>157</v>
      </c>
      <c r="E42" s="56" t="s">
        <v>156</v>
      </c>
      <c r="F42" s="56" t="s">
        <v>155</v>
      </c>
      <c r="G42" s="56" t="s">
        <v>154</v>
      </c>
      <c r="H42" s="56" t="s">
        <v>153</v>
      </c>
      <c r="I42" s="56" t="s">
        <v>152</v>
      </c>
      <c r="J42" s="56" t="s">
        <v>151</v>
      </c>
      <c r="K42" s="56" t="s">
        <v>150</v>
      </c>
      <c r="L42" s="56" t="s">
        <v>131</v>
      </c>
      <c r="M42" s="56" t="s">
        <v>160</v>
      </c>
      <c r="N42" s="56" t="s">
        <v>132</v>
      </c>
      <c r="O42" s="56" t="s">
        <v>133</v>
      </c>
      <c r="P42" s="56" t="s">
        <v>134</v>
      </c>
      <c r="Q42" s="56" t="s">
        <v>135</v>
      </c>
      <c r="R42" s="56" t="s">
        <v>136</v>
      </c>
      <c r="S42" s="56" t="s">
        <v>137</v>
      </c>
      <c r="T42" s="56" t="s">
        <v>195</v>
      </c>
      <c r="U42" s="108"/>
      <c r="V42" s="56" t="s">
        <v>57</v>
      </c>
      <c r="W42" s="56" t="s">
        <v>58</v>
      </c>
      <c r="X42" s="56" t="s">
        <v>59</v>
      </c>
      <c r="Y42" s="56" t="s">
        <v>60</v>
      </c>
      <c r="Z42" s="56">
        <v>2005</v>
      </c>
      <c r="AA42" s="56">
        <v>2006</v>
      </c>
      <c r="AB42" s="56">
        <f t="shared" ref="AB42:AC42" si="0">AA42+1</f>
        <v>2007</v>
      </c>
      <c r="AC42" s="56">
        <f t="shared" si="0"/>
        <v>2008</v>
      </c>
    </row>
    <row r="43" spans="3:29">
      <c r="C43" s="22" t="s">
        <v>61</v>
      </c>
      <c r="D43" s="126">
        <f>SUM(D44:D46)</f>
        <v>782</v>
      </c>
      <c r="E43" s="126">
        <f>SUM(E44:E46)</f>
        <v>842</v>
      </c>
      <c r="F43" s="126">
        <f>SUM(F44:F46)</f>
        <v>880</v>
      </c>
      <c r="G43" s="126">
        <f>SUM(G44:G46)</f>
        <v>874</v>
      </c>
      <c r="H43" s="126">
        <f>SUM(H44:H46)</f>
        <v>929</v>
      </c>
      <c r="I43" s="126">
        <f t="shared" ref="I43:T43" si="1">SUM(I44:I46)</f>
        <v>1015</v>
      </c>
      <c r="J43" s="126">
        <f t="shared" si="1"/>
        <v>1057</v>
      </c>
      <c r="K43" s="126">
        <f t="shared" si="1"/>
        <v>1153</v>
      </c>
      <c r="L43" s="126">
        <f t="shared" si="1"/>
        <v>1146</v>
      </c>
      <c r="M43" s="126">
        <f t="shared" si="1"/>
        <v>1202</v>
      </c>
      <c r="N43" s="126">
        <f t="shared" si="1"/>
        <v>1177</v>
      </c>
      <c r="O43" s="126">
        <f t="shared" si="1"/>
        <v>1314</v>
      </c>
      <c r="P43" s="126">
        <f t="shared" si="1"/>
        <v>1309</v>
      </c>
      <c r="Q43" s="126">
        <f t="shared" si="1"/>
        <v>1395</v>
      </c>
      <c r="R43" s="126">
        <f t="shared" si="1"/>
        <v>1380</v>
      </c>
      <c r="S43" s="126">
        <f t="shared" si="1"/>
        <v>1432</v>
      </c>
      <c r="T43" s="126">
        <f t="shared" si="1"/>
        <v>1407</v>
      </c>
      <c r="U43" s="108"/>
      <c r="V43" s="127">
        <v>1721.3157894736842</v>
      </c>
      <c r="W43" s="127">
        <v>2402</v>
      </c>
      <c r="X43" s="127">
        <v>2775</v>
      </c>
      <c r="Y43" s="126">
        <f>SUM(D43:G43)</f>
        <v>3378</v>
      </c>
      <c r="Z43" s="126">
        <f t="shared" ref="Z43:Z46" si="2">SUM(H43:K43)</f>
        <v>4154</v>
      </c>
      <c r="AA43" s="126">
        <f t="shared" ref="AA43:AA46" si="3">SUM(L43:O43)</f>
        <v>4839</v>
      </c>
      <c r="AB43" s="126">
        <f>SUM(P43:S43)</f>
        <v>5516</v>
      </c>
      <c r="AC43" s="126"/>
    </row>
    <row r="44" spans="3:29">
      <c r="C44" s="20" t="s">
        <v>93</v>
      </c>
      <c r="D44" s="128">
        <v>484</v>
      </c>
      <c r="E44" s="128">
        <v>514</v>
      </c>
      <c r="F44" s="128">
        <v>531</v>
      </c>
      <c r="G44" s="128">
        <v>514</v>
      </c>
      <c r="H44" s="128">
        <v>540</v>
      </c>
      <c r="I44" s="128">
        <v>573</v>
      </c>
      <c r="J44" s="128">
        <v>612</v>
      </c>
      <c r="K44" s="128">
        <v>672</v>
      </c>
      <c r="L44" s="128">
        <v>634</v>
      </c>
      <c r="M44" s="128">
        <v>675</v>
      </c>
      <c r="N44" s="128">
        <v>650</v>
      </c>
      <c r="O44" s="128">
        <v>737</v>
      </c>
      <c r="P44" s="128">
        <v>682</v>
      </c>
      <c r="Q44" s="128">
        <v>742</v>
      </c>
      <c r="R44" s="128">
        <v>718</v>
      </c>
      <c r="S44" s="128">
        <v>709</v>
      </c>
      <c r="T44" s="128">
        <v>675</v>
      </c>
      <c r="U44" s="108"/>
      <c r="V44" s="129">
        <v>1365</v>
      </c>
      <c r="W44" s="129">
        <v>1760</v>
      </c>
      <c r="X44" s="129">
        <v>1923</v>
      </c>
      <c r="Y44" s="130">
        <f>SUM(D44:G44)</f>
        <v>2043</v>
      </c>
      <c r="Z44" s="130">
        <f>SUM(H44:K44)</f>
        <v>2397</v>
      </c>
      <c r="AA44" s="130">
        <f t="shared" si="3"/>
        <v>2696</v>
      </c>
      <c r="AB44" s="128"/>
      <c r="AC44" s="128"/>
    </row>
    <row r="45" spans="3:29">
      <c r="C45" s="20" t="s">
        <v>92</v>
      </c>
      <c r="D45" s="128">
        <v>39</v>
      </c>
      <c r="E45" s="128">
        <v>48</v>
      </c>
      <c r="F45" s="128">
        <v>49</v>
      </c>
      <c r="G45" s="128">
        <v>58</v>
      </c>
      <c r="H45" s="128">
        <v>40</v>
      </c>
      <c r="I45" s="128">
        <v>52</v>
      </c>
      <c r="J45" s="128">
        <v>50</v>
      </c>
      <c r="K45" s="128">
        <v>59</v>
      </c>
      <c r="L45" s="128">
        <v>41</v>
      </c>
      <c r="M45" s="128">
        <v>48</v>
      </c>
      <c r="N45" s="128">
        <v>49</v>
      </c>
      <c r="O45" s="128">
        <v>56</v>
      </c>
      <c r="P45" s="128">
        <v>38</v>
      </c>
      <c r="Q45" s="128">
        <v>48</v>
      </c>
      <c r="R45" s="128">
        <v>49</v>
      </c>
      <c r="S45" s="128">
        <v>55</v>
      </c>
      <c r="T45" s="128">
        <v>43</v>
      </c>
      <c r="U45" s="108"/>
      <c r="V45" s="129">
        <v>26.315789473684209</v>
      </c>
      <c r="W45" s="129">
        <v>70</v>
      </c>
      <c r="X45" s="129">
        <v>109</v>
      </c>
      <c r="Y45" s="130">
        <f t="shared" ref="Y45:Y46" si="4">SUM(D45:G45)</f>
        <v>194</v>
      </c>
      <c r="Z45" s="130">
        <f t="shared" si="2"/>
        <v>201</v>
      </c>
      <c r="AA45" s="130">
        <f t="shared" si="3"/>
        <v>194</v>
      </c>
      <c r="AB45" s="128"/>
      <c r="AC45" s="128"/>
    </row>
    <row r="46" spans="3:29">
      <c r="C46" s="20" t="s">
        <v>162</v>
      </c>
      <c r="D46" s="128">
        <v>259</v>
      </c>
      <c r="E46" s="128">
        <v>280</v>
      </c>
      <c r="F46" s="128">
        <v>300</v>
      </c>
      <c r="G46" s="128">
        <v>302</v>
      </c>
      <c r="H46" s="128">
        <v>349</v>
      </c>
      <c r="I46" s="128">
        <v>390</v>
      </c>
      <c r="J46" s="128">
        <v>395</v>
      </c>
      <c r="K46" s="128">
        <v>422</v>
      </c>
      <c r="L46" s="128">
        <v>471</v>
      </c>
      <c r="M46" s="128">
        <v>479</v>
      </c>
      <c r="N46" s="77">
        <v>478</v>
      </c>
      <c r="O46" s="77">
        <v>521</v>
      </c>
      <c r="P46" s="77">
        <v>589</v>
      </c>
      <c r="Q46" s="77">
        <v>605</v>
      </c>
      <c r="R46" s="77">
        <v>613</v>
      </c>
      <c r="S46" s="128">
        <v>668</v>
      </c>
      <c r="T46" s="128">
        <v>689</v>
      </c>
      <c r="U46" s="108"/>
      <c r="V46" s="129">
        <v>330</v>
      </c>
      <c r="W46" s="129">
        <v>572</v>
      </c>
      <c r="X46" s="129">
        <v>743</v>
      </c>
      <c r="Y46" s="130">
        <f t="shared" si="4"/>
        <v>1141</v>
      </c>
      <c r="Z46" s="130">
        <f t="shared" si="2"/>
        <v>1556</v>
      </c>
      <c r="AA46" s="130">
        <f t="shared" si="3"/>
        <v>1949</v>
      </c>
      <c r="AB46" s="128"/>
      <c r="AC46" s="128"/>
    </row>
    <row r="49" spans="2:4">
      <c r="B49" s="3" t="s">
        <v>399</v>
      </c>
    </row>
    <row r="50" spans="2:4">
      <c r="C50" s="66">
        <v>39387</v>
      </c>
      <c r="D50" s="5">
        <v>197</v>
      </c>
    </row>
    <row r="51" spans="2:4">
      <c r="C51" s="66">
        <v>39356</v>
      </c>
      <c r="D51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/>
  <cols>
    <col min="1" max="1" width="5" style="5" bestFit="1" customWidth="1"/>
    <col min="2" max="2" width="14.140625" style="5" bestFit="1" customWidth="1"/>
    <col min="3" max="16384" width="9.140625" style="5"/>
  </cols>
  <sheetData>
    <row r="1" spans="1:3">
      <c r="A1" s="15" t="s">
        <v>55</v>
      </c>
    </row>
    <row r="2" spans="1:3">
      <c r="A2" s="15"/>
      <c r="B2" s="5" t="s">
        <v>49</v>
      </c>
      <c r="C2" s="5" t="s">
        <v>23</v>
      </c>
    </row>
    <row r="3" spans="1:3">
      <c r="A3" s="15"/>
      <c r="B3" s="5" t="s">
        <v>51</v>
      </c>
      <c r="C3" s="5" t="s">
        <v>190</v>
      </c>
    </row>
    <row r="4" spans="1:3">
      <c r="A4" s="15"/>
      <c r="B4" s="5" t="s">
        <v>44</v>
      </c>
      <c r="C4" s="5" t="s">
        <v>231</v>
      </c>
    </row>
    <row r="5" spans="1:3">
      <c r="A5" s="15"/>
      <c r="C5" s="3" t="s">
        <v>539</v>
      </c>
    </row>
    <row r="6" spans="1:3">
      <c r="A6" s="15"/>
      <c r="B6" s="5" t="s">
        <v>191</v>
      </c>
      <c r="C6" s="5" t="s">
        <v>192</v>
      </c>
    </row>
    <row r="7" spans="1:3">
      <c r="A7" s="15"/>
      <c r="C7" s="5" t="s">
        <v>193</v>
      </c>
    </row>
    <row r="8" spans="1:3">
      <c r="B8" s="5" t="s">
        <v>65</v>
      </c>
      <c r="C8" s="3" t="s">
        <v>537</v>
      </c>
    </row>
    <row r="9" spans="1:3">
      <c r="B9" s="5" t="s">
        <v>66</v>
      </c>
      <c r="C9" s="3" t="s">
        <v>536</v>
      </c>
    </row>
    <row r="10" spans="1:3">
      <c r="B10" s="5" t="s">
        <v>81</v>
      </c>
      <c r="C10" s="5" t="s">
        <v>531</v>
      </c>
    </row>
    <row r="11" spans="1:3">
      <c r="B11" s="3" t="s">
        <v>75</v>
      </c>
      <c r="C11" s="3" t="s">
        <v>566</v>
      </c>
    </row>
    <row r="12" spans="1:3">
      <c r="B12" s="3" t="s">
        <v>96</v>
      </c>
      <c r="C12" s="3" t="s">
        <v>538</v>
      </c>
    </row>
    <row r="13" spans="1:3">
      <c r="B13" s="3"/>
      <c r="C13" s="3" t="s">
        <v>540</v>
      </c>
    </row>
    <row r="14" spans="1:3">
      <c r="B14" s="3"/>
      <c r="C14" s="3" t="s">
        <v>543</v>
      </c>
    </row>
    <row r="15" spans="1:3">
      <c r="B15" s="3"/>
      <c r="C15" s="3" t="s">
        <v>550</v>
      </c>
    </row>
    <row r="16" spans="1:3">
      <c r="B16" s="3"/>
      <c r="C16" s="3" t="s">
        <v>559</v>
      </c>
    </row>
    <row r="17" spans="2:3">
      <c r="B17" s="3"/>
      <c r="C17" s="3" t="s">
        <v>567</v>
      </c>
    </row>
    <row r="18" spans="2:3">
      <c r="B18" s="3"/>
      <c r="C18" s="3" t="s">
        <v>573</v>
      </c>
    </row>
    <row r="19" spans="2:3">
      <c r="B19" s="5" t="s">
        <v>53</v>
      </c>
    </row>
    <row r="20" spans="2:3">
      <c r="C20" s="18" t="s">
        <v>432</v>
      </c>
    </row>
    <row r="21" spans="2:3">
      <c r="C21" s="3" t="s">
        <v>430</v>
      </c>
    </row>
    <row r="22" spans="2:3">
      <c r="C22" s="3" t="s">
        <v>431</v>
      </c>
    </row>
    <row r="23" spans="2:3">
      <c r="C23" s="3"/>
    </row>
    <row r="24" spans="2:3">
      <c r="C24" s="18" t="s">
        <v>602</v>
      </c>
    </row>
    <row r="25" spans="2:3">
      <c r="C25" s="3" t="s">
        <v>676</v>
      </c>
    </row>
    <row r="26" spans="2:3">
      <c r="C26" s="18"/>
    </row>
    <row r="27" spans="2:3">
      <c r="C27" s="18" t="s">
        <v>603</v>
      </c>
    </row>
    <row r="28" spans="2:3">
      <c r="C28" s="3" t="s">
        <v>674</v>
      </c>
    </row>
    <row r="29" spans="2:3">
      <c r="C29" s="3" t="s">
        <v>675</v>
      </c>
    </row>
    <row r="30" spans="2:3">
      <c r="C30" s="3"/>
    </row>
    <row r="31" spans="2:3">
      <c r="C31" s="18"/>
    </row>
    <row r="32" spans="2:3">
      <c r="C32" s="18" t="s">
        <v>604</v>
      </c>
    </row>
    <row r="33" spans="3:3">
      <c r="C33" s="18" t="s">
        <v>677</v>
      </c>
    </row>
    <row r="34" spans="3:3">
      <c r="C34" s="3"/>
    </row>
    <row r="35" spans="3:3">
      <c r="C35" s="18" t="s">
        <v>530</v>
      </c>
    </row>
    <row r="36" spans="3:3">
      <c r="C36" s="3" t="s">
        <v>572</v>
      </c>
    </row>
    <row r="37" spans="3:3">
      <c r="C37" s="3" t="s">
        <v>571</v>
      </c>
    </row>
    <row r="38" spans="3:3">
      <c r="C38" s="18"/>
    </row>
    <row r="39" spans="3:3">
      <c r="C39" s="18" t="s">
        <v>226</v>
      </c>
    </row>
    <row r="40" spans="3:3">
      <c r="C40" s="5" t="s">
        <v>223</v>
      </c>
    </row>
    <row r="41" spans="3:3">
      <c r="C41" s="5" t="s">
        <v>224</v>
      </c>
    </row>
    <row r="42" spans="3:3">
      <c r="C42" s="5" t="s">
        <v>225</v>
      </c>
    </row>
    <row r="43" spans="3:3">
      <c r="C43" s="3" t="s">
        <v>546</v>
      </c>
    </row>
    <row r="45" spans="3:3">
      <c r="C45" s="18" t="s">
        <v>545</v>
      </c>
    </row>
    <row r="46" spans="3:3">
      <c r="C46" s="3" t="s">
        <v>544</v>
      </c>
    </row>
    <row r="47" spans="3:3">
      <c r="C47" s="3" t="s">
        <v>547</v>
      </c>
    </row>
    <row r="48" spans="3:3">
      <c r="C48" s="3"/>
    </row>
    <row r="49" spans="3:3">
      <c r="C49" s="18" t="s">
        <v>428</v>
      </c>
    </row>
    <row r="50" spans="3:3">
      <c r="C50" s="17" t="s">
        <v>229</v>
      </c>
    </row>
    <row r="52" spans="3:3">
      <c r="C52" s="18" t="s">
        <v>227</v>
      </c>
    </row>
    <row r="53" spans="3:3">
      <c r="C53" s="5" t="s">
        <v>228</v>
      </c>
    </row>
    <row r="55" spans="3:3">
      <c r="C55" s="18" t="s">
        <v>425</v>
      </c>
    </row>
    <row r="56" spans="3:3">
      <c r="C56" s="3" t="s">
        <v>429</v>
      </c>
    </row>
    <row r="57" spans="3:3">
      <c r="C57" s="18"/>
    </row>
    <row r="58" spans="3:3">
      <c r="C58" s="3" t="s">
        <v>426</v>
      </c>
    </row>
    <row r="59" spans="3:3">
      <c r="C59" s="3" t="s">
        <v>427</v>
      </c>
    </row>
    <row r="60" spans="3:3">
      <c r="C60" s="3"/>
    </row>
    <row r="61" spans="3:3">
      <c r="C61" s="18" t="s">
        <v>541</v>
      </c>
    </row>
    <row r="62" spans="3:3">
      <c r="C62" s="3" t="s">
        <v>542</v>
      </c>
    </row>
    <row r="63" spans="3:3">
      <c r="C63" s="5" t="s">
        <v>230</v>
      </c>
    </row>
    <row r="65" spans="3:3">
      <c r="C65" s="18" t="s">
        <v>258</v>
      </c>
    </row>
    <row r="66" spans="3:3">
      <c r="C66" s="5" t="s">
        <v>259</v>
      </c>
    </row>
    <row r="68" spans="3:3">
      <c r="C68" s="18" t="s">
        <v>560</v>
      </c>
    </row>
    <row r="69" spans="3:3">
      <c r="C69" s="3" t="s">
        <v>561</v>
      </c>
    </row>
    <row r="70" spans="3:3">
      <c r="C70" s="3" t="s">
        <v>562</v>
      </c>
    </row>
    <row r="71" spans="3:3">
      <c r="C71" s="3" t="s">
        <v>563</v>
      </c>
    </row>
    <row r="73" spans="3:3">
      <c r="C73" s="18" t="s">
        <v>441</v>
      </c>
    </row>
    <row r="74" spans="3:3">
      <c r="C74" s="3" t="s">
        <v>439</v>
      </c>
    </row>
    <row r="75" spans="3:3">
      <c r="C75" s="3" t="s">
        <v>442</v>
      </c>
    </row>
    <row r="76" spans="3:3">
      <c r="C76" s="3" t="s">
        <v>443</v>
      </c>
    </row>
    <row r="77" spans="3:3">
      <c r="C77" s="3"/>
    </row>
    <row r="78" spans="3:3">
      <c r="C78" s="18" t="s">
        <v>434</v>
      </c>
    </row>
    <row r="79" spans="3:3">
      <c r="C79" s="3" t="s">
        <v>435</v>
      </c>
    </row>
    <row r="80" spans="3:3">
      <c r="C80" s="3"/>
    </row>
    <row r="81" spans="3:3">
      <c r="C81" s="18" t="s">
        <v>436</v>
      </c>
    </row>
    <row r="82" spans="3:3">
      <c r="C82" s="3" t="s">
        <v>437</v>
      </c>
    </row>
    <row r="83" spans="3:3">
      <c r="C83" s="3"/>
    </row>
    <row r="84" spans="3:3">
      <c r="C84" s="3" t="s">
        <v>417</v>
      </c>
    </row>
    <row r="85" spans="3:3">
      <c r="C85" s="18" t="s">
        <v>440</v>
      </c>
    </row>
    <row r="86" spans="3:3">
      <c r="C86" s="18"/>
    </row>
    <row r="87" spans="3:3">
      <c r="C87" s="18" t="s">
        <v>527</v>
      </c>
    </row>
    <row r="88" spans="3:3">
      <c r="C88" s="3" t="s">
        <v>528</v>
      </c>
    </row>
    <row r="89" spans="3:3">
      <c r="C89" s="3"/>
    </row>
    <row r="90" spans="3:3">
      <c r="C90" s="18" t="s">
        <v>551</v>
      </c>
    </row>
    <row r="91" spans="3:3">
      <c r="C91" s="3" t="s">
        <v>552</v>
      </c>
    </row>
    <row r="92" spans="3:3">
      <c r="C92" s="3"/>
    </row>
    <row r="93" spans="3:3">
      <c r="C93" s="18" t="s">
        <v>564</v>
      </c>
    </row>
    <row r="94" spans="3:3">
      <c r="C94" s="3"/>
    </row>
    <row r="95" spans="3:3">
      <c r="C95" s="18" t="s">
        <v>565</v>
      </c>
    </row>
    <row r="96" spans="3:3">
      <c r="C96" s="18"/>
    </row>
    <row r="97" spans="2:4">
      <c r="C97" s="18" t="s">
        <v>568</v>
      </c>
    </row>
    <row r="98" spans="2:4">
      <c r="C98" s="18"/>
    </row>
    <row r="99" spans="2:4">
      <c r="C99" s="18" t="s">
        <v>569</v>
      </c>
    </row>
    <row r="100" spans="2:4">
      <c r="C100" s="18"/>
    </row>
    <row r="101" spans="2:4">
      <c r="C101" s="18" t="s">
        <v>570</v>
      </c>
    </row>
    <row r="102" spans="2:4">
      <c r="C102" s="18"/>
    </row>
    <row r="103" spans="2:4">
      <c r="C103" s="18" t="s">
        <v>574</v>
      </c>
    </row>
    <row r="104" spans="2:4">
      <c r="C104" s="3" t="s">
        <v>575</v>
      </c>
    </row>
    <row r="105" spans="2:4">
      <c r="C105" s="18"/>
    </row>
    <row r="106" spans="2:4">
      <c r="C106" s="18" t="s">
        <v>576</v>
      </c>
    </row>
    <row r="107" spans="2:4">
      <c r="C107" s="18"/>
    </row>
    <row r="108" spans="2:4">
      <c r="C108" s="18"/>
    </row>
    <row r="109" spans="2:4">
      <c r="C109" s="18"/>
    </row>
    <row r="110" spans="2:4">
      <c r="B110" s="3" t="s">
        <v>399</v>
      </c>
    </row>
    <row r="111" spans="2:4">
      <c r="C111" s="66">
        <v>39387</v>
      </c>
      <c r="D111" s="5">
        <v>194</v>
      </c>
    </row>
    <row r="112" spans="2:4">
      <c r="C112" s="66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Herceptin</vt:lpstr>
      <vt:lpstr>Pegasys</vt:lpstr>
      <vt:lpstr>Xeloda</vt:lpstr>
      <vt:lpstr>Actemra</vt:lpstr>
      <vt:lpstr>Lucentis</vt:lpstr>
      <vt:lpstr>Tarceva</vt:lpstr>
      <vt:lpstr>R1626</vt:lpstr>
      <vt:lpstr>pertuzumab</vt:lpstr>
      <vt:lpstr>dalcetrapib</vt:lpstr>
      <vt:lpstr>taspoglutide</vt:lpstr>
      <vt:lpstr>Mircera</vt:lpstr>
      <vt:lpstr>aleglitazar</vt:lpstr>
      <vt:lpstr>Failures</vt:lpstr>
      <vt:lpstr>ocrelizumab</vt:lpstr>
      <vt:lpstr>Kadcyla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2022-07-30T16:39:30Z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